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A\Prosjekter\500 Øk-adm\2015\Baksaas Økonomistyring 1 utg\11 web\"/>
    </mc:Choice>
  </mc:AlternateContent>
  <bookViews>
    <workbookView xWindow="360" yWindow="45" windowWidth="11580" windowHeight="9345"/>
  </bookViews>
  <sheets>
    <sheet name="14.1" sheetId="1" r:id="rId1"/>
    <sheet name="14.2" sheetId="4" r:id="rId2"/>
    <sheet name="14.3" sheetId="5" r:id="rId3"/>
    <sheet name="14.4 og 14.5" sheetId="6" r:id="rId4"/>
    <sheet name="14.6" sheetId="7" r:id="rId5"/>
    <sheet name="14.7" sheetId="8" r:id="rId6"/>
    <sheet name="14.8" sheetId="9" r:id="rId7"/>
    <sheet name="14.9" sheetId="18" r:id="rId8"/>
    <sheet name="14.10" sheetId="13" r:id="rId9"/>
    <sheet name="14.11" sheetId="19" r:id="rId10"/>
    <sheet name="14.12" sheetId="10" r:id="rId11"/>
    <sheet name="14.13" sheetId="12" r:id="rId12"/>
    <sheet name="14.14 og 14.15" sheetId="14" r:id="rId13"/>
    <sheet name="14.16" sheetId="15" r:id="rId14"/>
    <sheet name="14.17 og 14.18" sheetId="16" r:id="rId15"/>
  </sheets>
  <calcPr calcId="152511"/>
</workbook>
</file>

<file path=xl/calcChain.xml><?xml version="1.0" encoding="utf-8"?>
<calcChain xmlns="http://schemas.openxmlformats.org/spreadsheetml/2006/main">
  <c r="B119" i="19" l="1"/>
  <c r="F114" i="19"/>
  <c r="F109" i="19"/>
  <c r="F108" i="19"/>
  <c r="F107" i="19"/>
  <c r="F98" i="19"/>
  <c r="E95" i="19"/>
  <c r="E117" i="19"/>
  <c r="D95" i="19"/>
  <c r="D117" i="19" s="1"/>
  <c r="C95" i="19"/>
  <c r="C117" i="19"/>
  <c r="D91" i="19"/>
  <c r="C101" i="19" s="1"/>
  <c r="G87" i="19"/>
  <c r="C87" i="19"/>
  <c r="F78" i="19"/>
  <c r="D66" i="19"/>
  <c r="D70" i="19" s="1"/>
  <c r="F55" i="19"/>
  <c r="E34" i="19"/>
  <c r="E55" i="19" s="1"/>
  <c r="D34" i="19"/>
  <c r="D55" i="19" s="1"/>
  <c r="C34" i="19"/>
  <c r="C55" i="19" s="1"/>
  <c r="E32" i="19"/>
  <c r="E49" i="19" s="1"/>
  <c r="D32" i="19"/>
  <c r="C32" i="19"/>
  <c r="F23" i="19"/>
  <c r="D23" i="19"/>
  <c r="F18" i="19"/>
  <c r="C44" i="19" s="1"/>
  <c r="D18" i="19"/>
  <c r="F17" i="19"/>
  <c r="G17" i="19" s="1"/>
  <c r="D17" i="19"/>
  <c r="F16" i="19"/>
  <c r="G16" i="19" s="1"/>
  <c r="D16" i="19"/>
  <c r="D15" i="19"/>
  <c r="C15" i="19"/>
  <c r="F15" i="19"/>
  <c r="C13" i="19"/>
  <c r="D13" i="19" s="1"/>
  <c r="F12" i="19"/>
  <c r="D12" i="19"/>
  <c r="D11" i="19"/>
  <c r="F9" i="19"/>
  <c r="D35" i="19" s="1"/>
  <c r="D9" i="19"/>
  <c r="G8" i="19"/>
  <c r="F8" i="19"/>
  <c r="B90" i="18"/>
  <c r="C9" i="18"/>
  <c r="C15" i="18" s="1"/>
  <c r="D15" i="18" s="1"/>
  <c r="C10" i="4"/>
  <c r="B72" i="18"/>
  <c r="B71" i="18"/>
  <c r="B70" i="18"/>
  <c r="F98" i="18"/>
  <c r="F93" i="18"/>
  <c r="F92" i="18"/>
  <c r="F83" i="18"/>
  <c r="D69" i="18"/>
  <c r="D73" i="18"/>
  <c r="C86" i="18" s="1"/>
  <c r="D51" i="18"/>
  <c r="D55" i="18" s="1"/>
  <c r="E28" i="18"/>
  <c r="F50" i="18" s="1"/>
  <c r="F68" i="18" s="1"/>
  <c r="E80" i="18" s="1"/>
  <c r="D28" i="18"/>
  <c r="E50" i="18"/>
  <c r="E68" i="18" s="1"/>
  <c r="D80" i="18" s="1"/>
  <c r="C28" i="18"/>
  <c r="D50" i="18"/>
  <c r="D68" i="18" s="1"/>
  <c r="C80" i="18" s="1"/>
  <c r="E26" i="18"/>
  <c r="E37" i="18"/>
  <c r="E91" i="18" s="1"/>
  <c r="D26" i="18"/>
  <c r="D37" i="18" s="1"/>
  <c r="C26" i="18"/>
  <c r="C37" i="18" s="1"/>
  <c r="C91" i="18" s="1"/>
  <c r="E19" i="18"/>
  <c r="E43" i="18" s="1"/>
  <c r="D19" i="18"/>
  <c r="E14" i="18"/>
  <c r="D14" i="18"/>
  <c r="E12" i="18"/>
  <c r="D36" i="18" s="1"/>
  <c r="D90" i="18" s="1"/>
  <c r="D12" i="18"/>
  <c r="E11" i="18"/>
  <c r="E35" i="18" s="1"/>
  <c r="E89" i="18" s="1"/>
  <c r="D11" i="18"/>
  <c r="E10" i="18"/>
  <c r="E34" i="18" s="1"/>
  <c r="D10" i="18"/>
  <c r="E8" i="18"/>
  <c r="E32" i="18" s="1"/>
  <c r="E87" i="18" s="1"/>
  <c r="D8" i="18"/>
  <c r="D7" i="18"/>
  <c r="E5" i="18"/>
  <c r="D5" i="18"/>
  <c r="F4" i="18"/>
  <c r="E4" i="18"/>
  <c r="F5" i="1"/>
  <c r="G5" i="1"/>
  <c r="D6" i="1"/>
  <c r="F6" i="1"/>
  <c r="G6" i="1"/>
  <c r="D8" i="1"/>
  <c r="F8" i="1"/>
  <c r="G8" i="1" s="1"/>
  <c r="D9" i="1"/>
  <c r="F9" i="1"/>
  <c r="G9" i="1"/>
  <c r="D10" i="1"/>
  <c r="F10" i="1"/>
  <c r="G10" i="1" s="1"/>
  <c r="D11" i="1"/>
  <c r="F11" i="1"/>
  <c r="G11" i="1"/>
  <c r="D12" i="1"/>
  <c r="F12" i="1"/>
  <c r="G12" i="1" s="1"/>
  <c r="C13" i="1"/>
  <c r="D13" i="1" s="1"/>
  <c r="D17" i="1"/>
  <c r="G17" i="1"/>
  <c r="F6" i="12"/>
  <c r="F8" i="12"/>
  <c r="F9" i="12"/>
  <c r="F10" i="12"/>
  <c r="F11" i="12"/>
  <c r="F12" i="12"/>
  <c r="F13" i="12"/>
  <c r="F14" i="12"/>
  <c r="F15" i="12"/>
  <c r="F16" i="12"/>
  <c r="C17" i="12"/>
  <c r="C19" i="12" s="1"/>
  <c r="F19" i="12" s="1"/>
  <c r="D17" i="12"/>
  <c r="E17" i="12"/>
  <c r="E19" i="12" s="1"/>
  <c r="E24" i="12" s="1"/>
  <c r="D19" i="12"/>
  <c r="D24" i="12" s="1"/>
  <c r="F21" i="12"/>
  <c r="F22" i="12"/>
  <c r="D30" i="12"/>
  <c r="D34" i="12" s="1"/>
  <c r="C61" i="12" s="1"/>
  <c r="C31" i="12"/>
  <c r="D31" i="12"/>
  <c r="E31" i="12" s="1"/>
  <c r="E34" i="12" s="1"/>
  <c r="D61" i="12" s="1"/>
  <c r="D63" i="12" s="1"/>
  <c r="C32" i="12"/>
  <c r="E32" i="12"/>
  <c r="F32" i="12" s="1"/>
  <c r="C33" i="12"/>
  <c r="F33" i="12"/>
  <c r="D38" i="12"/>
  <c r="E38" i="12"/>
  <c r="E40" i="12" s="1"/>
  <c r="F38" i="12"/>
  <c r="F40" i="12" s="1"/>
  <c r="D40" i="12"/>
  <c r="D41" i="12" s="1"/>
  <c r="D42" i="12" s="1"/>
  <c r="C49" i="12" s="1"/>
  <c r="E49" i="12" s="1"/>
  <c r="E52" i="12" s="1"/>
  <c r="D65" i="12" s="1"/>
  <c r="D75" i="12" s="1"/>
  <c r="D48" i="12"/>
  <c r="D52" i="12" s="1"/>
  <c r="C65" i="12" s="1"/>
  <c r="C59" i="12"/>
  <c r="D59" i="12"/>
  <c r="E59" i="12"/>
  <c r="F62" i="12"/>
  <c r="C66" i="12"/>
  <c r="D66" i="12"/>
  <c r="E66" i="12"/>
  <c r="F67" i="12"/>
  <c r="C68" i="12"/>
  <c r="D68" i="12"/>
  <c r="E68" i="12"/>
  <c r="C69" i="12"/>
  <c r="D69" i="12"/>
  <c r="E69" i="12"/>
  <c r="F69" i="12"/>
  <c r="C70" i="12"/>
  <c r="D70" i="12"/>
  <c r="E70" i="12"/>
  <c r="F70" i="12"/>
  <c r="C71" i="12"/>
  <c r="D71" i="12"/>
  <c r="E71" i="12"/>
  <c r="F71" i="12"/>
  <c r="E72" i="12"/>
  <c r="F72" i="12"/>
  <c r="F73" i="12"/>
  <c r="F74" i="12"/>
  <c r="F79" i="12"/>
  <c r="C82" i="12"/>
  <c r="D82" i="12"/>
  <c r="E82" i="12"/>
  <c r="F4" i="14"/>
  <c r="H4" i="14" s="1"/>
  <c r="G4" i="14"/>
  <c r="I4" i="14"/>
  <c r="E5" i="14"/>
  <c r="G5" i="14"/>
  <c r="H5" i="14"/>
  <c r="I5" i="14"/>
  <c r="E6" i="14"/>
  <c r="G6" i="14"/>
  <c r="H6" i="14"/>
  <c r="I6" i="14"/>
  <c r="D7" i="14"/>
  <c r="E7" i="14" s="1"/>
  <c r="F7" i="14"/>
  <c r="F18" i="14"/>
  <c r="H18" i="14" s="1"/>
  <c r="G18" i="14"/>
  <c r="I18" i="14" s="1"/>
  <c r="E19" i="14"/>
  <c r="G19" i="14"/>
  <c r="H19" i="14"/>
  <c r="I19" i="14" s="1"/>
  <c r="E20" i="14"/>
  <c r="G20" i="14"/>
  <c r="H20" i="14"/>
  <c r="I20" i="14" s="1"/>
  <c r="D21" i="14"/>
  <c r="F21" i="14"/>
  <c r="E22" i="14"/>
  <c r="G22" i="14"/>
  <c r="H22" i="14"/>
  <c r="I22" i="14"/>
  <c r="C29" i="14"/>
  <c r="F3" i="15"/>
  <c r="H3" i="15" s="1"/>
  <c r="G3" i="15"/>
  <c r="I3" i="15" s="1"/>
  <c r="E4" i="15"/>
  <c r="G4" i="15"/>
  <c r="H4" i="15"/>
  <c r="F18" i="15" s="1"/>
  <c r="E5" i="15"/>
  <c r="F5" i="15"/>
  <c r="H5" i="15" s="1"/>
  <c r="I5" i="15" s="1"/>
  <c r="G5" i="15"/>
  <c r="D6" i="15"/>
  <c r="E6" i="15" s="1"/>
  <c r="F10" i="15"/>
  <c r="F11" i="15"/>
  <c r="F12" i="15"/>
  <c r="F14" i="15"/>
  <c r="F16" i="15" s="1"/>
  <c r="F15" i="15"/>
  <c r="E4" i="16"/>
  <c r="G4" i="16" s="1"/>
  <c r="F4" i="16"/>
  <c r="H4" i="16" s="1"/>
  <c r="D5" i="16"/>
  <c r="F5" i="16"/>
  <c r="G5" i="16"/>
  <c r="H5" i="16" s="1"/>
  <c r="D7" i="16"/>
  <c r="F7" i="16"/>
  <c r="G7" i="16"/>
  <c r="H7" i="16" s="1"/>
  <c r="D8" i="16"/>
  <c r="F8" i="16"/>
  <c r="G8" i="16"/>
  <c r="H8" i="16" s="1"/>
  <c r="D9" i="16"/>
  <c r="F9" i="16"/>
  <c r="G9" i="16"/>
  <c r="H9" i="16" s="1"/>
  <c r="D10" i="16"/>
  <c r="F10" i="16"/>
  <c r="G10" i="16"/>
  <c r="H10" i="16" s="1"/>
  <c r="D11" i="16"/>
  <c r="F11" i="16"/>
  <c r="G11" i="16"/>
  <c r="H11" i="16" s="1"/>
  <c r="C13" i="16"/>
  <c r="D13" i="16" s="1"/>
  <c r="E13" i="16"/>
  <c r="E15" i="16" s="1"/>
  <c r="F15" i="16" s="1"/>
  <c r="F13" i="16"/>
  <c r="D17" i="16"/>
  <c r="F17" i="16"/>
  <c r="G17" i="16"/>
  <c r="H17" i="16" s="1"/>
  <c r="E26" i="16"/>
  <c r="F26" i="16"/>
  <c r="H26" i="16" s="1"/>
  <c r="G26" i="16"/>
  <c r="D27" i="16"/>
  <c r="F27" i="16"/>
  <c r="G27" i="16"/>
  <c r="H27" i="16" s="1"/>
  <c r="D28" i="16"/>
  <c r="F28" i="16"/>
  <c r="G28" i="16"/>
  <c r="H28" i="16" s="1"/>
  <c r="C29" i="16"/>
  <c r="D29" i="16"/>
  <c r="E29" i="16"/>
  <c r="F29" i="16" s="1"/>
  <c r="D31" i="16"/>
  <c r="F31" i="16"/>
  <c r="G31" i="16"/>
  <c r="H31" i="16" s="1"/>
  <c r="D32" i="16"/>
  <c r="F32" i="16"/>
  <c r="G32" i="16"/>
  <c r="H32" i="16" s="1"/>
  <c r="D33" i="16"/>
  <c r="F33" i="16"/>
  <c r="G33" i="16"/>
  <c r="H33" i="16" s="1"/>
  <c r="D34" i="16"/>
  <c r="F34" i="16"/>
  <c r="G34" i="16"/>
  <c r="H34" i="16" s="1"/>
  <c r="D35" i="16"/>
  <c r="F35" i="16"/>
  <c r="G35" i="16"/>
  <c r="H35" i="16" s="1"/>
  <c r="D36" i="16"/>
  <c r="F36" i="16"/>
  <c r="G36" i="16"/>
  <c r="H36" i="16" s="1"/>
  <c r="C37" i="16"/>
  <c r="D37" i="16" s="1"/>
  <c r="D39" i="16"/>
  <c r="F39" i="16"/>
  <c r="G39" i="16"/>
  <c r="H39" i="16" s="1"/>
  <c r="B43" i="16"/>
  <c r="E5" i="4"/>
  <c r="F5" i="4"/>
  <c r="D6" i="4"/>
  <c r="E6" i="4"/>
  <c r="F6" i="4"/>
  <c r="D8" i="4"/>
  <c r="D9" i="4"/>
  <c r="E9" i="4"/>
  <c r="D12" i="4"/>
  <c r="E12" i="4"/>
  <c r="D13" i="4"/>
  <c r="E13" i="4"/>
  <c r="E37" i="4" s="1"/>
  <c r="D15" i="4"/>
  <c r="E15" i="4"/>
  <c r="E39" i="4" s="1"/>
  <c r="D20" i="4"/>
  <c r="E20" i="4"/>
  <c r="F20" i="4"/>
  <c r="C27" i="4"/>
  <c r="D27" i="4"/>
  <c r="D36" i="4" s="1"/>
  <c r="E27" i="4"/>
  <c r="C29" i="4"/>
  <c r="D29" i="4"/>
  <c r="E29" i="4"/>
  <c r="D30" i="4"/>
  <c r="E30" i="4"/>
  <c r="E36" i="4"/>
  <c r="D38" i="4"/>
  <c r="E38" i="4"/>
  <c r="D44" i="4"/>
  <c r="E44" i="4"/>
  <c r="D56" i="4"/>
  <c r="C60" i="4"/>
  <c r="C66" i="4"/>
  <c r="E5" i="5"/>
  <c r="F5" i="5"/>
  <c r="D6" i="5"/>
  <c r="E6" i="5"/>
  <c r="E8" i="5" s="1"/>
  <c r="C8" i="5"/>
  <c r="D11" i="5" s="1"/>
  <c r="D7" i="5"/>
  <c r="D8" i="5"/>
  <c r="D10" i="5"/>
  <c r="E10" i="5"/>
  <c r="E11" i="5"/>
  <c r="F11" i="5" s="1"/>
  <c r="D12" i="5"/>
  <c r="E12" i="5"/>
  <c r="F12" i="5"/>
  <c r="E13" i="5"/>
  <c r="C14" i="5"/>
  <c r="D14" i="5"/>
  <c r="D18" i="5"/>
  <c r="E18" i="5"/>
  <c r="F18" i="5" s="1"/>
  <c r="E19" i="5"/>
  <c r="C12" i="6"/>
  <c r="C13" i="6"/>
  <c r="C35" i="6"/>
  <c r="C36" i="6"/>
  <c r="C37" i="6"/>
  <c r="C52" i="6"/>
  <c r="E5" i="7"/>
  <c r="E6" i="7"/>
  <c r="E13" i="7" s="1"/>
  <c r="E8" i="7"/>
  <c r="E9" i="7" s="1"/>
  <c r="E17" i="7"/>
  <c r="C6" i="8"/>
  <c r="D6" i="8"/>
  <c r="D7" i="8"/>
  <c r="D8" i="8" s="1"/>
  <c r="E6" i="8"/>
  <c r="C7" i="8"/>
  <c r="E7" i="8"/>
  <c r="E8" i="8" s="1"/>
  <c r="F6" i="9"/>
  <c r="F7" i="9"/>
  <c r="C8" i="9"/>
  <c r="C9" i="9" s="1"/>
  <c r="D8" i="9"/>
  <c r="D9" i="9" s="1"/>
  <c r="E8" i="9"/>
  <c r="E9" i="9" s="1"/>
  <c r="E10" i="9" s="1"/>
  <c r="E23" i="9" s="1"/>
  <c r="B17" i="9"/>
  <c r="C17" i="9" s="1"/>
  <c r="B18" i="9"/>
  <c r="C18" i="9"/>
  <c r="F21" i="9"/>
  <c r="C29" i="9"/>
  <c r="C43" i="9" s="1"/>
  <c r="D29" i="9"/>
  <c r="D43" i="9" s="1"/>
  <c r="E29" i="9"/>
  <c r="B31" i="9"/>
  <c r="B37" i="9"/>
  <c r="E43" i="9"/>
  <c r="B44" i="9"/>
  <c r="C44" i="9" s="1"/>
  <c r="F5" i="10"/>
  <c r="C6" i="10"/>
  <c r="F6" i="10" s="1"/>
  <c r="D6" i="10"/>
  <c r="E6" i="10"/>
  <c r="E7" i="10" s="1"/>
  <c r="D7" i="10"/>
  <c r="D8" i="10" s="1"/>
  <c r="D20" i="10" s="1"/>
  <c r="B15" i="10"/>
  <c r="C15" i="10"/>
  <c r="F15" i="10" s="1"/>
  <c r="F18" i="10"/>
  <c r="B39" i="10"/>
  <c r="E65" i="10"/>
  <c r="E69" i="10"/>
  <c r="E70" i="10"/>
  <c r="B71" i="10"/>
  <c r="E71" i="10" s="1"/>
  <c r="E72" i="10"/>
  <c r="E73" i="10"/>
  <c r="E74" i="10"/>
  <c r="E79" i="10"/>
  <c r="E5" i="13"/>
  <c r="F5" i="13"/>
  <c r="D6" i="13"/>
  <c r="E6" i="13"/>
  <c r="D8" i="13"/>
  <c r="D9" i="13"/>
  <c r="E9" i="13"/>
  <c r="D10" i="13"/>
  <c r="D11" i="13"/>
  <c r="C12" i="13"/>
  <c r="C14" i="13" s="1"/>
  <c r="D12" i="13"/>
  <c r="D16" i="13"/>
  <c r="E16" i="13"/>
  <c r="C43" i="13" s="1"/>
  <c r="D20" i="13"/>
  <c r="C32" i="13"/>
  <c r="D32" i="13"/>
  <c r="C33" i="13"/>
  <c r="C37" i="13"/>
  <c r="C38" i="13"/>
  <c r="D38" i="13" s="1"/>
  <c r="C55" i="13"/>
  <c r="D55" i="13"/>
  <c r="E55" i="13"/>
  <c r="D85" i="13"/>
  <c r="D97" i="13"/>
  <c r="E97" i="13"/>
  <c r="D105" i="13" s="1"/>
  <c r="F97" i="13"/>
  <c r="E105" i="13" s="1"/>
  <c r="D98" i="13"/>
  <c r="C105" i="13"/>
  <c r="F113" i="13"/>
  <c r="F115" i="13"/>
  <c r="F116" i="13"/>
  <c r="F117" i="13"/>
  <c r="F122" i="13"/>
  <c r="D38" i="18"/>
  <c r="D58" i="13"/>
  <c r="D125" i="13" s="1"/>
  <c r="F9" i="13"/>
  <c r="F6" i="13"/>
  <c r="E8" i="13"/>
  <c r="F10" i="13"/>
  <c r="F11" i="13"/>
  <c r="D39" i="4"/>
  <c r="C58" i="13"/>
  <c r="D90" i="13" s="1"/>
  <c r="D35" i="13"/>
  <c r="F16" i="13"/>
  <c r="E10" i="7"/>
  <c r="E16" i="7" s="1"/>
  <c r="D37" i="4"/>
  <c r="F8" i="9"/>
  <c r="F9" i="9" s="1"/>
  <c r="C39" i="4"/>
  <c r="F39" i="4"/>
  <c r="F13" i="1"/>
  <c r="G13" i="1" s="1"/>
  <c r="F15" i="1"/>
  <c r="G15" i="1" s="1"/>
  <c r="C86" i="13"/>
  <c r="F8" i="13"/>
  <c r="D60" i="13"/>
  <c r="C100" i="13" s="1"/>
  <c r="F19" i="1"/>
  <c r="G19" i="1" s="1"/>
  <c r="C35" i="19"/>
  <c r="C56" i="19" s="1"/>
  <c r="C57" i="19" s="1"/>
  <c r="G9" i="19"/>
  <c r="C42" i="19"/>
  <c r="C105" i="19" s="1"/>
  <c r="C49" i="19"/>
  <c r="D44" i="19"/>
  <c r="E35" i="19"/>
  <c r="E42" i="19"/>
  <c r="E105" i="19" s="1"/>
  <c r="F11" i="19"/>
  <c r="D37" i="19" s="1"/>
  <c r="D43" i="19"/>
  <c r="D106" i="19" s="1"/>
  <c r="G18" i="19"/>
  <c r="G23" i="19"/>
  <c r="G66" i="19"/>
  <c r="C34" i="18"/>
  <c r="C43" i="18"/>
  <c r="E36" i="18"/>
  <c r="E90" i="18" s="1"/>
  <c r="C36" i="18"/>
  <c r="F5" i="18"/>
  <c r="C17" i="18"/>
  <c r="C21" i="18" s="1"/>
  <c r="D21" i="18" s="1"/>
  <c r="D9" i="18"/>
  <c r="E9" i="18"/>
  <c r="E33" i="18" s="1"/>
  <c r="E11" i="4"/>
  <c r="F11" i="4" s="1"/>
  <c r="D11" i="4"/>
  <c r="E56" i="19"/>
  <c r="C37" i="19"/>
  <c r="C33" i="18"/>
  <c r="D33" i="18"/>
  <c r="C35" i="4"/>
  <c r="C58" i="19"/>
  <c r="C31" i="8" l="1"/>
  <c r="F31" i="8" s="1"/>
  <c r="C12" i="8"/>
  <c r="D31" i="8"/>
  <c r="E22" i="8"/>
  <c r="C36" i="13"/>
  <c r="E61" i="13" s="1"/>
  <c r="E12" i="13"/>
  <c r="F7" i="5"/>
  <c r="F9" i="4"/>
  <c r="C33" i="4"/>
  <c r="E38" i="18"/>
  <c r="C38" i="18"/>
  <c r="F38" i="18" s="1"/>
  <c r="D17" i="18"/>
  <c r="C35" i="18"/>
  <c r="C89" i="18" s="1"/>
  <c r="F36" i="18"/>
  <c r="F58" i="13"/>
  <c r="E33" i="4"/>
  <c r="D37" i="13"/>
  <c r="D62" i="13"/>
  <c r="C7" i="10"/>
  <c r="C8" i="10" s="1"/>
  <c r="C20" i="10" s="1"/>
  <c r="F20" i="10" s="1"/>
  <c r="F19" i="5"/>
  <c r="E14" i="5"/>
  <c r="F14" i="5" s="1"/>
  <c r="E8" i="4"/>
  <c r="F14" i="4"/>
  <c r="C30" i="4"/>
  <c r="G21" i="14"/>
  <c r="F23" i="14"/>
  <c r="G23" i="14" s="1"/>
  <c r="F17" i="12"/>
  <c r="F8" i="18"/>
  <c r="E7" i="18"/>
  <c r="D41" i="19"/>
  <c r="D104" i="19" s="1"/>
  <c r="C41" i="19"/>
  <c r="E35" i="4"/>
  <c r="F33" i="18"/>
  <c r="D29" i="18"/>
  <c r="C53" i="18" s="1"/>
  <c r="F53" i="18" s="1"/>
  <c r="F55" i="18" s="1"/>
  <c r="F57" i="18" s="1"/>
  <c r="E82" i="18" s="1"/>
  <c r="E84" i="18" s="1"/>
  <c r="E29" i="18"/>
  <c r="F56" i="18" s="1"/>
  <c r="D32" i="18"/>
  <c r="D87" i="18" s="1"/>
  <c r="D86" i="13"/>
  <c r="D89" i="13" s="1"/>
  <c r="D91" i="13" s="1"/>
  <c r="C107" i="13" s="1"/>
  <c r="E90" i="13"/>
  <c r="C125" i="13"/>
  <c r="E15" i="7"/>
  <c r="F15" i="4"/>
  <c r="C37" i="4"/>
  <c r="F37" i="4" s="1"/>
  <c r="D33" i="4"/>
  <c r="C63" i="13"/>
  <c r="C114" i="13" s="1"/>
  <c r="E58" i="13"/>
  <c r="D33" i="13"/>
  <c r="D43" i="13"/>
  <c r="E68" i="13"/>
  <c r="D30" i="9"/>
  <c r="D10" i="9"/>
  <c r="D23" i="9" s="1"/>
  <c r="C8" i="8"/>
  <c r="F23" i="5"/>
  <c r="F17" i="5"/>
  <c r="F13" i="5"/>
  <c r="D23" i="14"/>
  <c r="H23" i="14" s="1"/>
  <c r="I23" i="14" s="1"/>
  <c r="H21" i="14"/>
  <c r="I21" i="14" s="1"/>
  <c r="E21" i="14"/>
  <c r="F66" i="12"/>
  <c r="F34" i="12"/>
  <c r="E61" i="12" s="1"/>
  <c r="E63" i="12" s="1"/>
  <c r="C16" i="4"/>
  <c r="D10" i="4"/>
  <c r="D35" i="4"/>
  <c r="C90" i="18"/>
  <c r="F90" i="18" s="1"/>
  <c r="F19" i="18"/>
  <c r="C32" i="18"/>
  <c r="C87" i="13"/>
  <c r="E87" i="13" s="1"/>
  <c r="F87" i="13" s="1"/>
  <c r="C60" i="13"/>
  <c r="C64" i="13" s="1"/>
  <c r="F10" i="5"/>
  <c r="F13" i="4"/>
  <c r="D63" i="13"/>
  <c r="D114" i="13" s="1"/>
  <c r="C62" i="13"/>
  <c r="D26" i="10"/>
  <c r="D27" i="10" s="1"/>
  <c r="D28" i="10" s="1"/>
  <c r="C20" i="6"/>
  <c r="C38" i="6"/>
  <c r="D23" i="5"/>
  <c r="D19" i="5"/>
  <c r="C16" i="5"/>
  <c r="D13" i="5"/>
  <c r="F8" i="5"/>
  <c r="F6" i="5"/>
  <c r="C36" i="4"/>
  <c r="F36" i="4" s="1"/>
  <c r="C38" i="4"/>
  <c r="F38" i="4" s="1"/>
  <c r="C44" i="4"/>
  <c r="F44" i="4" s="1"/>
  <c r="F12" i="4"/>
  <c r="E10" i="4"/>
  <c r="G13" i="16"/>
  <c r="H13" i="16" s="1"/>
  <c r="H7" i="14"/>
  <c r="I7" i="14" s="1"/>
  <c r="G7" i="14"/>
  <c r="C24" i="12"/>
  <c r="F24" i="12" s="1"/>
  <c r="C15" i="1"/>
  <c r="E38" i="19"/>
  <c r="E102" i="19" s="1"/>
  <c r="G33" i="12"/>
  <c r="G34" i="12" s="1"/>
  <c r="E44" i="19"/>
  <c r="F44" i="19" s="1"/>
  <c r="D18" i="9"/>
  <c r="F68" i="12"/>
  <c r="D42" i="19"/>
  <c r="D105" i="19" s="1"/>
  <c r="F105" i="19" s="1"/>
  <c r="C14" i="6"/>
  <c r="C19" i="6" s="1"/>
  <c r="C21" i="6" s="1"/>
  <c r="C23" i="6" s="1"/>
  <c r="C39" i="6"/>
  <c r="C41" i="6" s="1"/>
  <c r="D30" i="8"/>
  <c r="E23" i="8"/>
  <c r="E24" i="8" s="1"/>
  <c r="C30" i="8"/>
  <c r="C14" i="8"/>
  <c r="E18" i="8"/>
  <c r="C10" i="9"/>
  <c r="C11" i="9" s="1"/>
  <c r="C30" i="9"/>
  <c r="C22" i="9"/>
  <c r="F17" i="9"/>
  <c r="F18" i="9"/>
  <c r="E11" i="9"/>
  <c r="B21" i="9" s="1"/>
  <c r="E30" i="9"/>
  <c r="F43" i="18"/>
  <c r="D91" i="18"/>
  <c r="F91" i="18" s="1"/>
  <c r="F37" i="18"/>
  <c r="D35" i="18"/>
  <c r="D89" i="18" s="1"/>
  <c r="F89" i="18" s="1"/>
  <c r="D43" i="18"/>
  <c r="E101" i="18"/>
  <c r="E56" i="18"/>
  <c r="F9" i="18"/>
  <c r="C54" i="18"/>
  <c r="G54" i="18" s="1"/>
  <c r="G55" i="18" s="1"/>
  <c r="F35" i="18"/>
  <c r="F14" i="18"/>
  <c r="F12" i="18"/>
  <c r="C29" i="18"/>
  <c r="D34" i="18"/>
  <c r="F34" i="18" s="1"/>
  <c r="F10" i="18"/>
  <c r="F13" i="18"/>
  <c r="F11" i="18"/>
  <c r="D14" i="13"/>
  <c r="C18" i="13"/>
  <c r="E100" i="13"/>
  <c r="F100" i="13" s="1"/>
  <c r="C109" i="13"/>
  <c r="C61" i="13"/>
  <c r="D61" i="13"/>
  <c r="E63" i="13"/>
  <c r="D68" i="13"/>
  <c r="C68" i="13"/>
  <c r="E62" i="13"/>
  <c r="C59" i="19"/>
  <c r="D71" i="19" s="1"/>
  <c r="D72" i="19" s="1"/>
  <c r="C97" i="19" s="1"/>
  <c r="C60" i="19"/>
  <c r="C67" i="19" s="1"/>
  <c r="E67" i="19" s="1"/>
  <c r="C118" i="19"/>
  <c r="F35" i="19"/>
  <c r="F56" i="19" s="1"/>
  <c r="D56" i="19"/>
  <c r="E57" i="19"/>
  <c r="E58" i="19" s="1"/>
  <c r="D77" i="19"/>
  <c r="D79" i="19" s="1"/>
  <c r="C104" i="19"/>
  <c r="C77" i="19"/>
  <c r="F42" i="19"/>
  <c r="E43" i="19"/>
  <c r="E106" i="19" s="1"/>
  <c r="E37" i="19"/>
  <c r="D49" i="19"/>
  <c r="F49" i="19" s="1"/>
  <c r="G12" i="19"/>
  <c r="C43" i="19"/>
  <c r="G15" i="19"/>
  <c r="F13" i="19"/>
  <c r="C14" i="19"/>
  <c r="C38" i="19"/>
  <c r="E41" i="19"/>
  <c r="E104" i="19" s="1"/>
  <c r="D38" i="19"/>
  <c r="D102" i="19" s="1"/>
  <c r="E26" i="10"/>
  <c r="E8" i="10"/>
  <c r="E20" i="10" s="1"/>
  <c r="D29" i="10"/>
  <c r="D30" i="10"/>
  <c r="D32" i="10" s="1"/>
  <c r="C9" i="10"/>
  <c r="C19" i="10"/>
  <c r="D9" i="10"/>
  <c r="B17" i="10" s="1"/>
  <c r="E17" i="10" s="1"/>
  <c r="F61" i="12"/>
  <c r="F63" i="12" s="1"/>
  <c r="C63" i="12"/>
  <c r="E41" i="12"/>
  <c r="E42" i="12" s="1"/>
  <c r="C50" i="12" s="1"/>
  <c r="F50" i="12" s="1"/>
  <c r="F52" i="12" s="1"/>
  <c r="E65" i="12" s="1"/>
  <c r="D77" i="12"/>
  <c r="C75" i="12"/>
  <c r="F41" i="12"/>
  <c r="F42" i="12" s="1"/>
  <c r="C51" i="12" s="1"/>
  <c r="G51" i="12" s="1"/>
  <c r="G52" i="12" s="1"/>
  <c r="E23" i="14"/>
  <c r="F6" i="15"/>
  <c r="I4" i="15"/>
  <c r="C41" i="16"/>
  <c r="E37" i="16"/>
  <c r="G37" i="16" s="1"/>
  <c r="H37" i="16" s="1"/>
  <c r="G29" i="16"/>
  <c r="H29" i="16" s="1"/>
  <c r="E19" i="16"/>
  <c r="F19" i="16" s="1"/>
  <c r="C15" i="16"/>
  <c r="E75" i="12" l="1"/>
  <c r="E77" i="12" s="1"/>
  <c r="F65" i="12"/>
  <c r="E15" i="18"/>
  <c r="C31" i="18"/>
  <c r="F7" i="18"/>
  <c r="E31" i="18"/>
  <c r="C72" i="18" s="1"/>
  <c r="G72" i="18" s="1"/>
  <c r="G73" i="18" s="1"/>
  <c r="C39" i="13"/>
  <c r="C41" i="13" s="1"/>
  <c r="F33" i="4"/>
  <c r="E17" i="8"/>
  <c r="E19" i="8" s="1"/>
  <c r="C29" i="8"/>
  <c r="D29" i="8"/>
  <c r="F29" i="8" s="1"/>
  <c r="C32" i="4"/>
  <c r="E16" i="4"/>
  <c r="F8" i="4"/>
  <c r="D32" i="4"/>
  <c r="D40" i="4" s="1"/>
  <c r="D42" i="4" s="1"/>
  <c r="D46" i="4" s="1"/>
  <c r="E32" i="4"/>
  <c r="E40" i="4" s="1"/>
  <c r="E42" i="4" s="1"/>
  <c r="E46" i="4" s="1"/>
  <c r="F62" i="13"/>
  <c r="D31" i="18"/>
  <c r="E34" i="4"/>
  <c r="F10" i="4"/>
  <c r="C34" i="4"/>
  <c r="F34" i="4" s="1"/>
  <c r="D34" i="4"/>
  <c r="D16" i="5"/>
  <c r="C21" i="5"/>
  <c r="F32" i="18"/>
  <c r="C87" i="18"/>
  <c r="D31" i="9"/>
  <c r="D32" i="9" s="1"/>
  <c r="D33" i="9" s="1"/>
  <c r="D34" i="9" s="1"/>
  <c r="D36" i="9" s="1"/>
  <c r="C88" i="13"/>
  <c r="F88" i="13" s="1"/>
  <c r="F90" i="13"/>
  <c r="E125" i="13"/>
  <c r="E60" i="13"/>
  <c r="C101" i="13" s="1"/>
  <c r="F30" i="4"/>
  <c r="C77" i="12"/>
  <c r="C80" i="12" s="1"/>
  <c r="C26" i="10"/>
  <c r="C28" i="10" s="1"/>
  <c r="E9" i="10"/>
  <c r="B18" i="10" s="1"/>
  <c r="F68" i="13"/>
  <c r="C99" i="13"/>
  <c r="D36" i="13"/>
  <c r="D101" i="18"/>
  <c r="C18" i="4"/>
  <c r="D16" i="4"/>
  <c r="D11" i="9"/>
  <c r="B20" i="9" s="1"/>
  <c r="E20" i="9" s="1"/>
  <c r="F20" i="9" s="1"/>
  <c r="E14" i="13"/>
  <c r="F12" i="13"/>
  <c r="F75" i="12"/>
  <c r="F77" i="12" s="1"/>
  <c r="F80" i="12" s="1"/>
  <c r="F7" i="10"/>
  <c r="D15" i="1"/>
  <c r="C19" i="1"/>
  <c r="D19" i="1" s="1"/>
  <c r="F35" i="4"/>
  <c r="E39" i="18"/>
  <c r="E41" i="18" s="1"/>
  <c r="E45" i="18" s="1"/>
  <c r="E16" i="5"/>
  <c r="E86" i="13"/>
  <c r="E89" i="13" s="1"/>
  <c r="E91" i="13" s="1"/>
  <c r="D107" i="13" s="1"/>
  <c r="F30" i="8"/>
  <c r="B19" i="9"/>
  <c r="C31" i="9"/>
  <c r="C32" i="9" s="1"/>
  <c r="E31" i="9"/>
  <c r="E32" i="9" s="1"/>
  <c r="F10" i="9"/>
  <c r="C23" i="9"/>
  <c r="F23" i="9" s="1"/>
  <c r="C71" i="18"/>
  <c r="F71" i="18" s="1"/>
  <c r="F73" i="18" s="1"/>
  <c r="E86" i="18" s="1"/>
  <c r="D39" i="18"/>
  <c r="C101" i="18"/>
  <c r="D56" i="18"/>
  <c r="D57" i="18" s="1"/>
  <c r="C82" i="18" s="1"/>
  <c r="F29" i="18"/>
  <c r="C52" i="18"/>
  <c r="E52" i="18" s="1"/>
  <c r="E55" i="18" s="1"/>
  <c r="E57" i="18" s="1"/>
  <c r="D82" i="18" s="1"/>
  <c r="D84" i="18" s="1"/>
  <c r="D39" i="13"/>
  <c r="C66" i="13"/>
  <c r="D99" i="13"/>
  <c r="D102" i="13" s="1"/>
  <c r="C111" i="13" s="1"/>
  <c r="D112" i="13"/>
  <c r="D64" i="13"/>
  <c r="D66" i="13" s="1"/>
  <c r="D70" i="13" s="1"/>
  <c r="C112" i="13"/>
  <c r="F61" i="13"/>
  <c r="E114" i="13"/>
  <c r="F114" i="13" s="1"/>
  <c r="F63" i="13"/>
  <c r="E112" i="13"/>
  <c r="C22" i="13"/>
  <c r="D22" i="13" s="1"/>
  <c r="D18" i="13"/>
  <c r="C99" i="19"/>
  <c r="F43" i="19"/>
  <c r="C106" i="19"/>
  <c r="F106" i="19" s="1"/>
  <c r="C79" i="19"/>
  <c r="F41" i="19"/>
  <c r="E118" i="19"/>
  <c r="E59" i="19"/>
  <c r="F71" i="19" s="1"/>
  <c r="E60" i="19"/>
  <c r="C69" i="19" s="1"/>
  <c r="C19" i="19"/>
  <c r="D14" i="19"/>
  <c r="F14" i="19"/>
  <c r="F104" i="19"/>
  <c r="G67" i="19"/>
  <c r="E70" i="19"/>
  <c r="C39" i="19"/>
  <c r="D39" i="19"/>
  <c r="G13" i="19"/>
  <c r="E39" i="19"/>
  <c r="D57" i="19"/>
  <c r="D58" i="19" s="1"/>
  <c r="E103" i="19"/>
  <c r="F103" i="19" s="1"/>
  <c r="C102" i="19"/>
  <c r="F38" i="19"/>
  <c r="E77" i="19"/>
  <c r="E79" i="19" s="1"/>
  <c r="D80" i="19"/>
  <c r="D81" i="19" s="1"/>
  <c r="C89" i="19" s="1"/>
  <c r="F89" i="19" s="1"/>
  <c r="G89" i="19" s="1"/>
  <c r="F57" i="19"/>
  <c r="F58" i="19" s="1"/>
  <c r="F37" i="19"/>
  <c r="C27" i="10"/>
  <c r="D33" i="10"/>
  <c r="D34" i="10"/>
  <c r="E27" i="10"/>
  <c r="E28" i="10" s="1"/>
  <c r="B16" i="10"/>
  <c r="D16" i="10" s="1"/>
  <c r="F17" i="10"/>
  <c r="E19" i="10"/>
  <c r="E21" i="10" s="1"/>
  <c r="D64" i="10" s="1"/>
  <c r="D66" i="10" s="1"/>
  <c r="C21" i="10"/>
  <c r="B64" i="10" s="1"/>
  <c r="F8" i="10"/>
  <c r="C84" i="12"/>
  <c r="D79" i="12"/>
  <c r="D80" i="12" s="1"/>
  <c r="H6" i="15"/>
  <c r="I6" i="15" s="1"/>
  <c r="G6" i="15"/>
  <c r="E41" i="16"/>
  <c r="F41" i="16" s="1"/>
  <c r="F37" i="16"/>
  <c r="D15" i="16"/>
  <c r="G15" i="16"/>
  <c r="H15" i="16" s="1"/>
  <c r="C19" i="16"/>
  <c r="D41" i="16"/>
  <c r="D38" i="9" l="1"/>
  <c r="B46" i="9" s="1"/>
  <c r="D37" i="9"/>
  <c r="D96" i="18"/>
  <c r="C25" i="5"/>
  <c r="D25" i="5" s="1"/>
  <c r="D21" i="5"/>
  <c r="F60" i="13"/>
  <c r="F15" i="18"/>
  <c r="E17" i="18"/>
  <c r="F9" i="10"/>
  <c r="E64" i="13"/>
  <c r="E66" i="13" s="1"/>
  <c r="E70" i="13" s="1"/>
  <c r="C24" i="9"/>
  <c r="F32" i="8"/>
  <c r="F16" i="4"/>
  <c r="E18" i="4"/>
  <c r="F16" i="5"/>
  <c r="E21" i="5"/>
  <c r="E18" i="13"/>
  <c r="F14" i="13"/>
  <c r="G88" i="13"/>
  <c r="F89" i="13"/>
  <c r="F91" i="13" s="1"/>
  <c r="E107" i="13" s="1"/>
  <c r="E109" i="13" s="1"/>
  <c r="C70" i="18"/>
  <c r="E70" i="18" s="1"/>
  <c r="E73" i="18" s="1"/>
  <c r="D86" i="18" s="1"/>
  <c r="D94" i="18" s="1"/>
  <c r="C39" i="18"/>
  <c r="C41" i="18" s="1"/>
  <c r="F39" i="19"/>
  <c r="F31" i="18"/>
  <c r="G101" i="13"/>
  <c r="G102" i="13" s="1"/>
  <c r="F101" i="13"/>
  <c r="F102" i="13" s="1"/>
  <c r="E111" i="13" s="1"/>
  <c r="G41" i="16"/>
  <c r="H41" i="16" s="1"/>
  <c r="E118" i="13"/>
  <c r="E120" i="13" s="1"/>
  <c r="F11" i="9"/>
  <c r="D109" i="13"/>
  <c r="D18" i="4"/>
  <c r="C22" i="4"/>
  <c r="D22" i="4" s="1"/>
  <c r="C94" i="18"/>
  <c r="F87" i="18"/>
  <c r="E88" i="18"/>
  <c r="F88" i="18" s="1"/>
  <c r="C40" i="4"/>
  <c r="F32" i="4"/>
  <c r="C33" i="9"/>
  <c r="C34" i="9" s="1"/>
  <c r="C36" i="9" s="1"/>
  <c r="D46" i="9"/>
  <c r="E46" i="9" s="1"/>
  <c r="E33" i="9"/>
  <c r="E34" i="9" s="1"/>
  <c r="E36" i="9" s="1"/>
  <c r="D19" i="9"/>
  <c r="E19" i="9"/>
  <c r="E22" i="9" s="1"/>
  <c r="E24" i="9" s="1"/>
  <c r="F39" i="18"/>
  <c r="D41" i="18"/>
  <c r="D45" i="18" s="1"/>
  <c r="F82" i="18"/>
  <c r="F84" i="18" s="1"/>
  <c r="C84" i="18"/>
  <c r="C96" i="18" s="1"/>
  <c r="C99" i="18" s="1"/>
  <c r="E94" i="18"/>
  <c r="F86" i="18"/>
  <c r="C45" i="18"/>
  <c r="F112" i="13"/>
  <c r="F66" i="13"/>
  <c r="C70" i="13"/>
  <c r="F64" i="13"/>
  <c r="C118" i="13"/>
  <c r="E72" i="13"/>
  <c r="E74" i="13" s="1"/>
  <c r="E99" i="13"/>
  <c r="E102" i="13" s="1"/>
  <c r="D111" i="13" s="1"/>
  <c r="D118" i="13" s="1"/>
  <c r="D120" i="13" s="1"/>
  <c r="C45" i="13"/>
  <c r="D41" i="13"/>
  <c r="D72" i="13"/>
  <c r="D74" i="13" s="1"/>
  <c r="D118" i="19"/>
  <c r="D59" i="19"/>
  <c r="E71" i="19" s="1"/>
  <c r="G71" i="19" s="1"/>
  <c r="D60" i="19"/>
  <c r="C68" i="19" s="1"/>
  <c r="F68" i="19" s="1"/>
  <c r="F102" i="19"/>
  <c r="C110" i="19"/>
  <c r="C112" i="19"/>
  <c r="C115" i="19" s="1"/>
  <c r="F60" i="19"/>
  <c r="F59" i="19"/>
  <c r="E80" i="19"/>
  <c r="E81" i="19" s="1"/>
  <c r="C90" i="19" s="1"/>
  <c r="D19" i="19"/>
  <c r="C21" i="19"/>
  <c r="F77" i="19"/>
  <c r="G14" i="19"/>
  <c r="C40" i="19"/>
  <c r="C45" i="19" s="1"/>
  <c r="E40" i="19"/>
  <c r="E45" i="19" s="1"/>
  <c r="E47" i="19" s="1"/>
  <c r="E51" i="19" s="1"/>
  <c r="D40" i="19"/>
  <c r="D45" i="19" s="1"/>
  <c r="D47" i="19" s="1"/>
  <c r="D51" i="19" s="1"/>
  <c r="F19" i="19"/>
  <c r="F79" i="19"/>
  <c r="C80" i="19"/>
  <c r="F80" i="19" s="1"/>
  <c r="E29" i="10"/>
  <c r="E30" i="10" s="1"/>
  <c r="E32" i="10" s="1"/>
  <c r="C29" i="10"/>
  <c r="C30" i="10" s="1"/>
  <c r="C32" i="10" s="1"/>
  <c r="B66" i="10"/>
  <c r="F16" i="10"/>
  <c r="D19" i="10"/>
  <c r="B41" i="10"/>
  <c r="C82" i="10"/>
  <c r="E79" i="12"/>
  <c r="E80" i="12" s="1"/>
  <c r="E84" i="12" s="1"/>
  <c r="D84" i="12"/>
  <c r="D19" i="16"/>
  <c r="G19" i="16"/>
  <c r="H19" i="16" s="1"/>
  <c r="F21" i="5" l="1"/>
  <c r="E25" i="5"/>
  <c r="F25" i="5" s="1"/>
  <c r="E72" i="19"/>
  <c r="D97" i="19" s="1"/>
  <c r="F18" i="4"/>
  <c r="E22" i="4"/>
  <c r="F22" i="4" s="1"/>
  <c r="E21" i="18"/>
  <c r="F21" i="18" s="1"/>
  <c r="F17" i="18"/>
  <c r="F107" i="13"/>
  <c r="F109" i="13" s="1"/>
  <c r="F40" i="4"/>
  <c r="C42" i="4"/>
  <c r="E20" i="13"/>
  <c r="F20" i="13" s="1"/>
  <c r="F18" i="13"/>
  <c r="C37" i="9"/>
  <c r="C38" i="9" s="1"/>
  <c r="B45" i="9" s="1"/>
  <c r="E37" i="9"/>
  <c r="E38" i="9"/>
  <c r="B47" i="9" s="1"/>
  <c r="F19" i="9"/>
  <c r="D22" i="9"/>
  <c r="E96" i="18"/>
  <c r="F94" i="18"/>
  <c r="F96" i="18" s="1"/>
  <c r="F99" i="18" s="1"/>
  <c r="F45" i="18"/>
  <c r="D98" i="18"/>
  <c r="D99" i="18" s="1"/>
  <c r="C103" i="18"/>
  <c r="F41" i="18"/>
  <c r="F70" i="13"/>
  <c r="C74" i="13"/>
  <c r="F74" i="13" s="1"/>
  <c r="C72" i="13"/>
  <c r="F72" i="13" s="1"/>
  <c r="C47" i="13"/>
  <c r="D47" i="13" s="1"/>
  <c r="D45" i="13"/>
  <c r="C49" i="13"/>
  <c r="D49" i="13" s="1"/>
  <c r="F118" i="13"/>
  <c r="C120" i="13"/>
  <c r="C123" i="13" s="1"/>
  <c r="F111" i="13"/>
  <c r="F40" i="19"/>
  <c r="C122" i="19"/>
  <c r="C119" i="19"/>
  <c r="D114" i="19"/>
  <c r="F45" i="19"/>
  <c r="C47" i="19"/>
  <c r="C81" i="19"/>
  <c r="G68" i="19"/>
  <c r="G70" i="19" s="1"/>
  <c r="G72" i="19" s="1"/>
  <c r="F70" i="19"/>
  <c r="F72" i="19" s="1"/>
  <c r="E97" i="19" s="1"/>
  <c r="E99" i="19" s="1"/>
  <c r="D99" i="19"/>
  <c r="G19" i="19"/>
  <c r="F21" i="19"/>
  <c r="D21" i="19"/>
  <c r="C25" i="19"/>
  <c r="D25" i="19" s="1"/>
  <c r="E33" i="10"/>
  <c r="E34" i="10" s="1"/>
  <c r="D41" i="10"/>
  <c r="E41" i="10" s="1"/>
  <c r="D21" i="10"/>
  <c r="C64" i="10" s="1"/>
  <c r="F19" i="10"/>
  <c r="F21" i="10" s="1"/>
  <c r="C33" i="10"/>
  <c r="C34" i="10" s="1"/>
  <c r="F120" i="13" l="1"/>
  <c r="F123" i="13" s="1"/>
  <c r="E22" i="13"/>
  <c r="F22" i="13" s="1"/>
  <c r="C46" i="4"/>
  <c r="F46" i="4" s="1"/>
  <c r="F42" i="4"/>
  <c r="C45" i="9"/>
  <c r="C48" i="9" s="1"/>
  <c r="E47" i="9"/>
  <c r="E48" i="9" s="1"/>
  <c r="F47" i="9"/>
  <c r="F48" i="9" s="1"/>
  <c r="D24" i="9"/>
  <c r="F22" i="9"/>
  <c r="F24" i="9" s="1"/>
  <c r="E98" i="18"/>
  <c r="E99" i="18" s="1"/>
  <c r="E103" i="18" s="1"/>
  <c r="D103" i="18"/>
  <c r="C127" i="13"/>
  <c r="D122" i="13"/>
  <c r="D123" i="13" s="1"/>
  <c r="F47" i="19"/>
  <c r="C51" i="19"/>
  <c r="F51" i="19" s="1"/>
  <c r="G21" i="19"/>
  <c r="F25" i="19"/>
  <c r="G25" i="19" s="1"/>
  <c r="F97" i="19"/>
  <c r="F99" i="19" s="1"/>
  <c r="C88" i="19"/>
  <c r="E88" i="19" s="1"/>
  <c r="F81" i="19"/>
  <c r="B40" i="10"/>
  <c r="B82" i="10"/>
  <c r="C66" i="10"/>
  <c r="E64" i="10"/>
  <c r="E66" i="10" s="1"/>
  <c r="B42" i="10"/>
  <c r="D82" i="10"/>
  <c r="D45" i="9" l="1"/>
  <c r="D48" i="9" s="1"/>
  <c r="E122" i="13"/>
  <c r="E123" i="13" s="1"/>
  <c r="E127" i="13" s="1"/>
  <c r="D127" i="13"/>
  <c r="E91" i="19"/>
  <c r="D101" i="19" s="1"/>
  <c r="F88" i="19"/>
  <c r="F91" i="19" s="1"/>
  <c r="E101" i="19" s="1"/>
  <c r="E110" i="19" s="1"/>
  <c r="E112" i="19" s="1"/>
  <c r="E42" i="10"/>
  <c r="E43" i="10" s="1"/>
  <c r="D68" i="10" s="1"/>
  <c r="D75" i="10" s="1"/>
  <c r="D77" i="10" s="1"/>
  <c r="C40" i="10"/>
  <c r="C43" i="10" s="1"/>
  <c r="B68" i="10" s="1"/>
  <c r="D40" i="10"/>
  <c r="D43" i="10" s="1"/>
  <c r="C68" i="10" s="1"/>
  <c r="C75" i="10" s="1"/>
  <c r="C77" i="10" s="1"/>
  <c r="F42" i="10" l="1"/>
  <c r="F43" i="10" s="1"/>
  <c r="F101" i="19"/>
  <c r="D110" i="19"/>
  <c r="G88" i="19"/>
  <c r="G91" i="19" s="1"/>
  <c r="B75" i="10"/>
  <c r="E68" i="10"/>
  <c r="F110" i="19" l="1"/>
  <c r="F112" i="19" s="1"/>
  <c r="F115" i="19" s="1"/>
  <c r="D112" i="19"/>
  <c r="D115" i="19" s="1"/>
  <c r="E75" i="10"/>
  <c r="E77" i="10" s="1"/>
  <c r="E80" i="10" s="1"/>
  <c r="B77" i="10"/>
  <c r="B80" i="10" s="1"/>
  <c r="D119" i="19" l="1"/>
  <c r="E114" i="19"/>
  <c r="E115" i="19" s="1"/>
  <c r="D122" i="19"/>
  <c r="B84" i="10"/>
  <c r="C79" i="10"/>
  <c r="C80" i="10" s="1"/>
  <c r="E122" i="19" l="1"/>
  <c r="E119" i="19"/>
  <c r="C84" i="10"/>
  <c r="D79" i="10"/>
  <c r="D80" i="10" s="1"/>
  <c r="D84" i="10" s="1"/>
</calcChain>
</file>

<file path=xl/sharedStrings.xml><?xml version="1.0" encoding="utf-8"?>
<sst xmlns="http://schemas.openxmlformats.org/spreadsheetml/2006/main" count="838" uniqueCount="300">
  <si>
    <t>Salgsinntekter</t>
  </si>
  <si>
    <t>Vareostnad</t>
  </si>
  <si>
    <t>Lønn</t>
  </si>
  <si>
    <t>Husleie</t>
  </si>
  <si>
    <t>ADK</t>
  </si>
  <si>
    <t>Avskrivninger</t>
  </si>
  <si>
    <t>Sum dr. kostnader</t>
  </si>
  <si>
    <t>Driftsresultat</t>
  </si>
  <si>
    <t>Rentekostnader</t>
  </si>
  <si>
    <t>Resultat før skattekostnad</t>
  </si>
  <si>
    <t>Regnskap</t>
  </si>
  <si>
    <t>20x1</t>
  </si>
  <si>
    <t>Budsjett</t>
  </si>
  <si>
    <t>20x2</t>
  </si>
  <si>
    <t>Kr</t>
  </si>
  <si>
    <t>%</t>
  </si>
  <si>
    <t>Varekostnad</t>
  </si>
  <si>
    <t>Ferielønn</t>
  </si>
  <si>
    <t>Arbeidsgiveravgift</t>
  </si>
  <si>
    <t>Bilkostnader</t>
  </si>
  <si>
    <t>Januar</t>
  </si>
  <si>
    <t>Februar</t>
  </si>
  <si>
    <t>Mars</t>
  </si>
  <si>
    <t>1. kvartal</t>
  </si>
  <si>
    <t>Fordeling salg/varekostnad</t>
  </si>
  <si>
    <t>Fordeling kostnader</t>
  </si>
  <si>
    <t>a)</t>
  </si>
  <si>
    <t>b)</t>
  </si>
  <si>
    <t>Vi forutsetter:</t>
  </si>
  <si>
    <t>Antall uker i året</t>
  </si>
  <si>
    <t>Antall arbeidsdager i uka</t>
  </si>
  <si>
    <t>Antall utkjøringer per dag</t>
  </si>
  <si>
    <t>Dette gir følgende antall utkjøringer i året:</t>
  </si>
  <si>
    <t>Budtjenesten koster</t>
  </si>
  <si>
    <t>per utkjøring</t>
  </si>
  <si>
    <t>Budtjenesten koster årlig</t>
  </si>
  <si>
    <t>Alternativet med egen bil:</t>
  </si>
  <si>
    <t>Driftsutgifter</t>
  </si>
  <si>
    <t>Renter</t>
  </si>
  <si>
    <t>Sum</t>
  </si>
  <si>
    <t>Vi ser at det lønner seg med egen bil dersom vi ser bort i fra lønn tl sjaføren. Siden det</t>
  </si>
  <si>
    <t xml:space="preserve">kun er kr 4 000 i differanse vil det være lite sansynlig at en sjafør vil kreve under </t>
  </si>
  <si>
    <t xml:space="preserve">kr 4 000 i lønn for denne jobben. </t>
  </si>
  <si>
    <t>Vi ville benyttet oss av budtjenesten under disse forutsetningene.</t>
  </si>
  <si>
    <t>c)</t>
  </si>
  <si>
    <t>Han bør få dekket kostnadene ved å benytte budfirmaet, dvs kr 50 per utkjøring, forutsatt</t>
  </si>
  <si>
    <t>at kundene er villig til å ta denne kostnaden. Det er det markedet som bestemmer.</t>
  </si>
  <si>
    <t>Annen driftsinntekt</t>
  </si>
  <si>
    <t>Lønnskostnader</t>
  </si>
  <si>
    <t>Sum driftsinntekter</t>
  </si>
  <si>
    <t>Renteinntekt</t>
  </si>
  <si>
    <t>Skattekostnad</t>
  </si>
  <si>
    <t>Årsresultat</t>
  </si>
  <si>
    <t>Det budsjetterte underskuddet har sin hovedforklaring i de reduserte "andre driftsinntektene".</t>
  </si>
  <si>
    <t>Bedriften må gå igjennom kostnadene sine for å finne eventuelle besparelser. Det er også</t>
  </si>
  <si>
    <t>aktuelt i finne en erstatning for driftsinntektene som er budsjettert med en reduksjon.</t>
  </si>
  <si>
    <t>Forutsetninger for budsjettoppsettet:</t>
  </si>
  <si>
    <t>Vi har redusert bade rentekostnadene og -inntektene med 10 %. Det er budsjettert</t>
  </si>
  <si>
    <t>med underskudd og vi har satt skattekostnaden til kr 0.</t>
  </si>
  <si>
    <t xml:space="preserve">Hun må ha et dekningsbidrag som dekker de faste kostnadene + </t>
  </si>
  <si>
    <t>ønsket overskudd (145 000 + 100 000) kr 245 000.</t>
  </si>
  <si>
    <t>Antall utleiedøgn</t>
  </si>
  <si>
    <t>Nødvendig dekningsbidrag</t>
  </si>
  <si>
    <t>Variavle kostnader per døgn</t>
  </si>
  <si>
    <t>Inndata:</t>
  </si>
  <si>
    <t>Utdata:</t>
  </si>
  <si>
    <t>DB per utleiedøgn</t>
  </si>
  <si>
    <t>+</t>
  </si>
  <si>
    <t>variable kostnader per døgn</t>
  </si>
  <si>
    <t>=</t>
  </si>
  <si>
    <t>Nødvendig døgnpris</t>
  </si>
  <si>
    <t>Resultatbudsjett:</t>
  </si>
  <si>
    <t>Inntekter</t>
  </si>
  <si>
    <t>Variable kostnader</t>
  </si>
  <si>
    <t>-</t>
  </si>
  <si>
    <t>Dekningsbidrag</t>
  </si>
  <si>
    <t>Faste kostnader</t>
  </si>
  <si>
    <t>Resultat</t>
  </si>
  <si>
    <t>Lager en enkel regnearkmodell for å løse problemet:</t>
  </si>
  <si>
    <t>Helg</t>
  </si>
  <si>
    <t>Antall</t>
  </si>
  <si>
    <t>Pris</t>
  </si>
  <si>
    <t>Midtuke</t>
  </si>
  <si>
    <t>Døgn</t>
  </si>
  <si>
    <t>Inntekter helg</t>
  </si>
  <si>
    <t>Inntekter midtuke</t>
  </si>
  <si>
    <t>Inntekter døgn</t>
  </si>
  <si>
    <t>Ved å målsøke på det "antall enkeltdøgn" som gir resultat = kr 0 finner vi</t>
  </si>
  <si>
    <t>at hun må leie ut 26 (25,61) enkeltdøgn i tillegg for å gå i balanse.</t>
  </si>
  <si>
    <t>d)</t>
  </si>
  <si>
    <t>enkeltdøgn forå få et resultat på kr 100 000.</t>
  </si>
  <si>
    <t xml:space="preserve">Ved å målsøke på samme måte som i c) finner vi at hun må leie ut 148 </t>
  </si>
  <si>
    <t>Dette blir totalt 373 døgn (50*2+25*5+148).</t>
  </si>
  <si>
    <t>Det er mulig å leie ut hyttene i 730 døgn årlig (365 dager * 2hytter).</t>
  </si>
  <si>
    <t>Beleggningsprosenten blir:</t>
  </si>
  <si>
    <t>Avskrivningene skal ikke være med siden denne kostnaden ikke medfører noen utbetaling.</t>
  </si>
  <si>
    <t>(Utbetalingen fant sted den gangen driftsmidlene ble anskaffet).</t>
  </si>
  <si>
    <t>Varesalget uten merverdiavgift</t>
  </si>
  <si>
    <t>kr</t>
  </si>
  <si>
    <t>–</t>
  </si>
  <si>
    <t>bruttofortjeneste  (kr 400 000 · 0,4) =</t>
  </si>
  <si>
    <t>Varekostnaden</t>
  </si>
  <si>
    <t>nedgang varebeholdning</t>
  </si>
  <si>
    <t>Varekjøp uten merverdiavgift</t>
  </si>
  <si>
    <t>Varekjøp med merverdiavgift</t>
  </si>
  <si>
    <t>25 % merverdiavgift</t>
  </si>
  <si>
    <t>Varekostnaden overføres til resultatbudsjettet.</t>
  </si>
  <si>
    <t>e)</t>
  </si>
  <si>
    <t>f)</t>
  </si>
  <si>
    <t>Innbetalingen føres i likviditetsbudsjettet.</t>
  </si>
  <si>
    <t xml:space="preserve">Varekostnaden:     </t>
  </si>
  <si>
    <t xml:space="preserve">Varekjøp med merverdiavgift:    </t>
  </si>
  <si>
    <t xml:space="preserve">Utbetales til leverandørene i august: </t>
  </si>
  <si>
    <t xml:space="preserve">Innbetalingen i juli:   kr 400 000 · 1,25 </t>
  </si>
  <si>
    <t>Salg per</t>
  </si>
  <si>
    <t>Innbetales i</t>
  </si>
  <si>
    <t>15 dager</t>
  </si>
  <si>
    <t xml:space="preserve"> Januar </t>
  </si>
  <si>
    <t xml:space="preserve"> Februar</t>
  </si>
  <si>
    <t xml:space="preserve"> Mars</t>
  </si>
  <si>
    <t>MVA %</t>
  </si>
  <si>
    <t xml:space="preserve"> Desember 20x1</t>
  </si>
  <si>
    <t>Senere</t>
  </si>
  <si>
    <t>Salg uten mva</t>
  </si>
  <si>
    <t>Salg med mva</t>
  </si>
  <si>
    <t>alt salg kontant:</t>
  </si>
  <si>
    <t>alt salg per en måned</t>
  </si>
  <si>
    <t xml:space="preserve"> Måned</t>
  </si>
  <si>
    <t>Salg med merverdiavgift</t>
  </si>
  <si>
    <t>Innbet. i</t>
  </si>
  <si>
    <t>Per 15 dager</t>
  </si>
  <si>
    <t>Per 45 dager</t>
  </si>
  <si>
    <t>mars</t>
  </si>
  <si>
    <t xml:space="preserve"> Januar</t>
  </si>
  <si>
    <t>1)</t>
  </si>
  <si>
    <t>2, 3)</t>
  </si>
  <si>
    <t>4)</t>
  </si>
  <si>
    <t>Innbetalingen i mars består av</t>
  </si>
  <si>
    <t>1)   Halvparten av salget per 45 dager i januar</t>
  </si>
  <si>
    <t>2)   Halvparten av salget per 45 dager i februar</t>
  </si>
  <si>
    <t>3)   Halvparten av salget per 15 dager i februar</t>
  </si>
  <si>
    <t>4)   Halvparten av salget per 15 dager i mars</t>
  </si>
  <si>
    <t>+ 25 % mva</t>
  </si>
  <si>
    <t xml:space="preserve">MVA </t>
  </si>
  <si>
    <t xml:space="preserve">Faktor:  1,05 *1,20 = 1,26 </t>
  </si>
  <si>
    <t xml:space="preserve">Innbetaling i mars forutsatt </t>
  </si>
  <si>
    <t xml:space="preserve">alt salg per 45 dager: </t>
  </si>
  <si>
    <t xml:space="preserve">     halvparten av salget i januar  kr 567 000 : 2 = </t>
  </si>
  <si>
    <t xml:space="preserve">  '+halvparten av salget i februar  kr 661 500 : 2 = </t>
  </si>
  <si>
    <t xml:space="preserve">20 % kontant og resten per en måned: </t>
  </si>
  <si>
    <t xml:space="preserve">   20 % av salget i mars  kr 819 000 * 0,2 = </t>
  </si>
  <si>
    <t xml:space="preserve"> +80 % av salget i februar  kr 661 500 * 0,8 = </t>
  </si>
  <si>
    <t xml:space="preserve">25 % per 15 dager og resten per 45 dager: </t>
  </si>
  <si>
    <t>SUM</t>
  </si>
  <si>
    <t>Merverdiavgift</t>
  </si>
  <si>
    <t>Salgsinntekt med mva</t>
  </si>
  <si>
    <t>Kontantsalg</t>
  </si>
  <si>
    <t>Kredittsalg</t>
  </si>
  <si>
    <t>Kredittsalg med mva</t>
  </si>
  <si>
    <t xml:space="preserve">Innbetales i </t>
  </si>
  <si>
    <t>Innbetaling kredittsalg</t>
  </si>
  <si>
    <t>Innbetaling kontantsalg</t>
  </si>
  <si>
    <t>SUM INNBETALINGER</t>
  </si>
  <si>
    <t>November</t>
  </si>
  <si>
    <t>Desember</t>
  </si>
  <si>
    <t>Salget i november og desember oppgis for at vi skal finne hva som innbetales i år.</t>
  </si>
  <si>
    <t>Salg uten mva 20x1</t>
  </si>
  <si>
    <t>Salg uten mva 20x2</t>
  </si>
  <si>
    <t>Faktor</t>
  </si>
  <si>
    <t>Salgsinntekt uten mva</t>
  </si>
  <si>
    <t>Bruttofortjeneste</t>
  </si>
  <si>
    <t>Beholdningsendring</t>
  </si>
  <si>
    <t>Varekjøp</t>
  </si>
  <si>
    <t>Varekjøp med mva</t>
  </si>
  <si>
    <t>Budsjett for utbetaling til leverandører</t>
  </si>
  <si>
    <t>Kredittkjøp med mva</t>
  </si>
  <si>
    <t xml:space="preserve">Utbetales i </t>
  </si>
  <si>
    <t>Varekjøp desember</t>
  </si>
  <si>
    <t>Varekjøp januar</t>
  </si>
  <si>
    <t>Varekjøp februar</t>
  </si>
  <si>
    <t>Varekjøp mars</t>
  </si>
  <si>
    <t>Utbetaling kredittkjøp</t>
  </si>
  <si>
    <t>SUM UTBETALINGER</t>
  </si>
  <si>
    <t>Varekjøpsbudsjett:</t>
  </si>
  <si>
    <t>Salgsbudsjett:</t>
  </si>
  <si>
    <t>Budsjett for innbetaling fra kunder:</t>
  </si>
  <si>
    <t>Budsjett for utbetaling til leverandører:</t>
  </si>
  <si>
    <t>Budsjett for varekjøp</t>
  </si>
  <si>
    <t>Juli</t>
  </si>
  <si>
    <t>August</t>
  </si>
  <si>
    <t>September</t>
  </si>
  <si>
    <t>Leverandørgjeld 1.7</t>
  </si>
  <si>
    <t>Mververdiavgift:</t>
  </si>
  <si>
    <t>Kundefordringer 1.7</t>
  </si>
  <si>
    <t>Innbetalinger:</t>
  </si>
  <si>
    <t>Fra kunder</t>
  </si>
  <si>
    <t>Utbetalinger:</t>
  </si>
  <si>
    <t>Til leverandører</t>
  </si>
  <si>
    <t>Andre driftskostnader</t>
  </si>
  <si>
    <t>Renter og avdrag</t>
  </si>
  <si>
    <t>Mva</t>
  </si>
  <si>
    <t>Innbetalinger - Utbetalinger</t>
  </si>
  <si>
    <t>Likviditetsreserve IB</t>
  </si>
  <si>
    <t>Likviditetsreserve UB</t>
  </si>
  <si>
    <t xml:space="preserve">Mål </t>
  </si>
  <si>
    <t>Faktisk prosent</t>
  </si>
  <si>
    <t>Likviditetsbudsjett:</t>
  </si>
  <si>
    <t>April</t>
  </si>
  <si>
    <t>Mai</t>
  </si>
  <si>
    <t>Juni</t>
  </si>
  <si>
    <t>Renteinntekter</t>
  </si>
  <si>
    <t>Innbetalinger fra kunder:</t>
  </si>
  <si>
    <t>Kundefordringer 1.4</t>
  </si>
  <si>
    <t>'Sum innbetalinger</t>
  </si>
  <si>
    <t>Inntakskost</t>
  </si>
  <si>
    <t>Leverandørgjeld 1.4</t>
  </si>
  <si>
    <t>Utbetaling varekjøp</t>
  </si>
  <si>
    <t>Diverse tilv. Kostnader</t>
  </si>
  <si>
    <t>Forhåndsskatt</t>
  </si>
  <si>
    <t>Salg med MVA</t>
  </si>
  <si>
    <t>Avrunding til nærmeste kr. 100 er gjort først i likviditetsbudsjettet.</t>
  </si>
  <si>
    <t>Resultat etter sk.kostnad</t>
  </si>
  <si>
    <t>Revidert budsjett</t>
  </si>
  <si>
    <t>Månedsfordelt budsjett:</t>
  </si>
  <si>
    <t>Fordeling inntekter</t>
  </si>
  <si>
    <t>Varekostnad i % av salg</t>
  </si>
  <si>
    <t>Vi viser delbudsjettene som likviditetsbudsjettet bygger på:</t>
  </si>
  <si>
    <t>(siden det ikke er noen lagerendring blir varekjøpet = varekostnaden*(1+merverdiavgiften)</t>
  </si>
  <si>
    <t>IB leverandører</t>
  </si>
  <si>
    <t>IB kunder</t>
  </si>
  <si>
    <t>Investering</t>
  </si>
  <si>
    <t>Avvik</t>
  </si>
  <si>
    <t>Se lærebok.</t>
  </si>
  <si>
    <t>indirekte kostnader</t>
  </si>
  <si>
    <t>Resultat før sk.kostnad</t>
  </si>
  <si>
    <t>Varekostnaden burde ha vært: kr 458 000 * 55 % = kr 251 900</t>
  </si>
  <si>
    <t>Svinnet: kr (270 000 - 251 900) = kr 18 100</t>
  </si>
  <si>
    <t>Mengdeavvik A</t>
  </si>
  <si>
    <t>30 000*(15-15)</t>
  </si>
  <si>
    <t>Prisavvik A</t>
  </si>
  <si>
    <t>(27 000 - 30 000) * 15</t>
  </si>
  <si>
    <t>Sum avvik A</t>
  </si>
  <si>
    <t>Mengdeavvik B</t>
  </si>
  <si>
    <t>18 000 * (38 - 45)</t>
  </si>
  <si>
    <t>Prisavvik B</t>
  </si>
  <si>
    <t>(18 500 - 18 000)*38</t>
  </si>
  <si>
    <t>Sum avvik B</t>
  </si>
  <si>
    <t>Sum avvik salgsinntekt</t>
  </si>
  <si>
    <t>Kommentarer til beregningene er utelatt. Se lærebok.</t>
  </si>
  <si>
    <t xml:space="preserve">Avviket på varekostnaden er en naturlig følge av at salgsinntekten er lavere enn budsjettert. Men avviket burde ha </t>
  </si>
  <si>
    <t>vært ennå større. Salgsinntekten er 12,1 % lavere enn budsjettert, mens varekostnaden bare er 8,6 % lavere.</t>
  </si>
  <si>
    <t>Andre sosiale kostnader</t>
  </si>
  <si>
    <t>Dr.kostn. Biler</t>
  </si>
  <si>
    <t>Kommentarer utelatt. Se lærebok.</t>
  </si>
  <si>
    <t>Kundefordringer 1.1</t>
  </si>
  <si>
    <t>Innbetalinger fra kredittsalg</t>
  </si>
  <si>
    <t>Ferbruar</t>
  </si>
  <si>
    <t>Sum innbetalinger</t>
  </si>
  <si>
    <t xml:space="preserve">Ikke nødvendig å sette opp siden det ikke er lagerendringer i denne perioden. Varekjopet blir </t>
  </si>
  <si>
    <t>dermed det samme som varekostnaden + MVA</t>
  </si>
  <si>
    <t>Leverandørgjeld 1.1</t>
  </si>
  <si>
    <t>MVA</t>
  </si>
  <si>
    <t>Endring</t>
  </si>
  <si>
    <t>Månedsfordelt resultatbudsjett:</t>
  </si>
  <si>
    <t>Salgsinntekt u/mva</t>
  </si>
  <si>
    <t>Salgsinntekt m/mva</t>
  </si>
  <si>
    <t>Kontantsalg (20 %)</t>
  </si>
  <si>
    <t>Kredittsalg (80 %)</t>
  </si>
  <si>
    <t>med mva</t>
  </si>
  <si>
    <t>Kvartalet</t>
  </si>
  <si>
    <t>Kundefordringer per 1/1</t>
  </si>
  <si>
    <t>Kredittsalg januar</t>
  </si>
  <si>
    <t>Kredittsalg februar</t>
  </si>
  <si>
    <t>Kredittsalg mars</t>
  </si>
  <si>
    <t>Innbetalinger fra kredittsalget</t>
  </si>
  <si>
    <t>Kontamtsalg</t>
  </si>
  <si>
    <t>Budsjett for varekjøp:</t>
  </si>
  <si>
    <t>Lagerøkning</t>
  </si>
  <si>
    <t>Varekjøp uten mva</t>
  </si>
  <si>
    <t>25 % mva</t>
  </si>
  <si>
    <t>Budsjett for utbetalinger til leverandører:</t>
  </si>
  <si>
    <t>Utbetales i</t>
  </si>
  <si>
    <t>Leverandørgjeld per 1/1</t>
  </si>
  <si>
    <t>Kjøp i januar</t>
  </si>
  <si>
    <t>Kjøp i februar</t>
  </si>
  <si>
    <t>Kjøp i mars</t>
  </si>
  <si>
    <t>Sum utbetalinger</t>
  </si>
  <si>
    <t>Låneopptak</t>
  </si>
  <si>
    <t>Salgsinntekter m/mva</t>
  </si>
  <si>
    <t>**) 80 % av kostnaden er merverdiavgiftspliktig</t>
  </si>
  <si>
    <r>
      <t>Andre driftskostnader**</t>
    </r>
    <r>
      <rPr>
        <vertAlign val="superscript"/>
        <sz val="10"/>
        <rFont val="Arial"/>
        <family val="2"/>
      </rPr>
      <t>)</t>
    </r>
  </si>
  <si>
    <t>*) Lønn i resultatbudsjettet inkluderer 12 % feriepenger og 14,1 % arbeidsgiveravgift</t>
  </si>
  <si>
    <t>som må trekkes ut. Utbetalt lønn finner vi ved å ta 124 800/(1,12*1,141)</t>
  </si>
  <si>
    <r>
      <t>Lønn</t>
    </r>
    <r>
      <rPr>
        <vertAlign val="superscript"/>
        <sz val="10"/>
        <rFont val="Arial"/>
        <family val="2"/>
      </rPr>
      <t>*)</t>
    </r>
  </si>
  <si>
    <t>Oppgave 14.15</t>
  </si>
  <si>
    <t>Oppgave 14.14</t>
  </si>
  <si>
    <t>Oppgave 14.4</t>
  </si>
  <si>
    <t>Oppgave 14.5</t>
  </si>
  <si>
    <t>Oppgave 14.17</t>
  </si>
  <si>
    <t>Oppgave 14.18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</si>
</sst>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\ %"/>
    <numFmt numFmtId="167" formatCode="#,##0.0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4">
    <xf numFmtId="0" fontId="0" fillId="0" borderId="0" xfId="0"/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5" fontId="0" fillId="0" borderId="0" xfId="1" applyNumberFormat="1" applyFont="1" applyBorder="1"/>
    <xf numFmtId="0" fontId="0" fillId="0" borderId="3" xfId="0" quotePrefix="1" applyBorder="1" applyAlignment="1">
      <alignment horizontal="left"/>
    </xf>
    <xf numFmtId="0" fontId="0" fillId="0" borderId="4" xfId="0" applyBorder="1"/>
    <xf numFmtId="165" fontId="0" fillId="0" borderId="5" xfId="1" applyNumberFormat="1" applyFont="1" applyBorder="1"/>
    <xf numFmtId="0" fontId="0" fillId="0" borderId="6" xfId="0" applyBorder="1" applyAlignment="1">
      <alignment horizontal="center"/>
    </xf>
    <xf numFmtId="165" fontId="0" fillId="0" borderId="7" xfId="1" applyNumberFormat="1" applyFont="1" applyBorder="1"/>
    <xf numFmtId="165" fontId="0" fillId="0" borderId="7" xfId="0" applyNumberFormat="1" applyBorder="1"/>
    <xf numFmtId="165" fontId="0" fillId="0" borderId="8" xfId="1" applyNumberFormat="1" applyFont="1" applyBorder="1"/>
    <xf numFmtId="0" fontId="0" fillId="0" borderId="9" xfId="0" applyBorder="1" applyAlignment="1">
      <alignment horizontal="center"/>
    </xf>
    <xf numFmtId="165" fontId="0" fillId="0" borderId="3" xfId="1" applyNumberFormat="1" applyFont="1" applyBorder="1"/>
    <xf numFmtId="165" fontId="0" fillId="0" borderId="3" xfId="0" applyNumberFormat="1" applyBorder="1"/>
    <xf numFmtId="165" fontId="0" fillId="0" borderId="4" xfId="1" applyNumberFormat="1" applyFont="1" applyBorder="1"/>
    <xf numFmtId="166" fontId="0" fillId="0" borderId="7" xfId="3" applyNumberFormat="1" applyFont="1" applyBorder="1"/>
    <xf numFmtId="166" fontId="0" fillId="0" borderId="8" xfId="3" applyNumberFormat="1" applyFont="1" applyBorder="1"/>
    <xf numFmtId="166" fontId="1" fillId="0" borderId="7" xfId="3" applyNumberFormat="1" applyBorder="1"/>
    <xf numFmtId="166" fontId="1" fillId="0" borderId="8" xfId="3" applyNumberFormat="1" applyBorder="1"/>
    <xf numFmtId="4" fontId="0" fillId="0" borderId="1" xfId="0" applyNumberFormat="1" applyBorder="1"/>
    <xf numFmtId="4" fontId="0" fillId="0" borderId="0" xfId="0" applyNumberFormat="1"/>
    <xf numFmtId="4" fontId="0" fillId="0" borderId="3" xfId="0" applyNumberFormat="1" applyBorder="1"/>
    <xf numFmtId="4" fontId="0" fillId="0" borderId="0" xfId="0" applyNumberFormat="1" applyBorder="1"/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3" xfId="0" quotePrefix="1" applyNumberFormat="1" applyBorder="1" applyAlignment="1">
      <alignment horizontal="left"/>
    </xf>
    <xf numFmtId="4" fontId="0" fillId="0" borderId="4" xfId="0" applyNumberFormat="1" applyBorder="1"/>
    <xf numFmtId="4" fontId="0" fillId="0" borderId="7" xfId="0" applyNumberFormat="1" applyBorder="1"/>
    <xf numFmtId="4" fontId="1" fillId="0" borderId="0" xfId="1" applyNumberFormat="1"/>
    <xf numFmtId="3" fontId="1" fillId="0" borderId="3" xfId="1" applyNumberFormat="1" applyBorder="1"/>
    <xf numFmtId="3" fontId="1" fillId="0" borderId="7" xfId="1" applyNumberFormat="1" applyBorder="1"/>
    <xf numFmtId="3" fontId="1" fillId="0" borderId="4" xfId="1" applyNumberFormat="1" applyBorder="1"/>
    <xf numFmtId="3" fontId="1" fillId="0" borderId="8" xfId="1" applyNumberFormat="1" applyBorder="1"/>
    <xf numFmtId="3" fontId="0" fillId="0" borderId="3" xfId="0" applyNumberFormat="1" applyBorder="1"/>
    <xf numFmtId="3" fontId="0" fillId="0" borderId="7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10" fontId="0" fillId="0" borderId="7" xfId="3" applyNumberFormat="1" applyFont="1" applyBorder="1"/>
    <xf numFmtId="4" fontId="1" fillId="0" borderId="6" xfId="1" applyNumberFormat="1" applyFont="1" applyBorder="1" applyAlignment="1">
      <alignment horizontal="center"/>
    </xf>
    <xf numFmtId="10" fontId="0" fillId="0" borderId="11" xfId="3" applyNumberFormat="1" applyFont="1" applyBorder="1"/>
    <xf numFmtId="4" fontId="0" fillId="0" borderId="12" xfId="0" applyNumberFormat="1" applyBorder="1" applyAlignment="1">
      <alignment horizontal="center"/>
    </xf>
    <xf numFmtId="3" fontId="0" fillId="0" borderId="8" xfId="0" applyNumberFormat="1" applyBorder="1"/>
    <xf numFmtId="3" fontId="0" fillId="0" borderId="6" xfId="0" applyNumberFormat="1" applyBorder="1"/>
    <xf numFmtId="3" fontId="1" fillId="0" borderId="6" xfId="1" applyNumberFormat="1" applyBorder="1"/>
    <xf numFmtId="4" fontId="0" fillId="0" borderId="0" xfId="0" quotePrefix="1" applyNumberFormat="1" applyAlignment="1">
      <alignment horizontal="left"/>
    </xf>
    <xf numFmtId="4" fontId="0" fillId="0" borderId="13" xfId="0" applyNumberFormat="1" applyBorder="1"/>
    <xf numFmtId="166" fontId="1" fillId="0" borderId="14" xfId="3" applyNumberFormat="1" applyBorder="1"/>
    <xf numFmtId="166" fontId="1" fillId="0" borderId="6" xfId="3" applyNumberFormat="1" applyBorder="1"/>
    <xf numFmtId="4" fontId="0" fillId="0" borderId="0" xfId="0" applyNumberFormat="1" applyAlignment="1">
      <alignment horizontal="left"/>
    </xf>
    <xf numFmtId="4" fontId="2" fillId="0" borderId="0" xfId="0" applyNumberFormat="1" applyFont="1"/>
    <xf numFmtId="3" fontId="0" fillId="0" borderId="0" xfId="0" applyNumberFormat="1"/>
    <xf numFmtId="4" fontId="0" fillId="0" borderId="0" xfId="0" applyNumberFormat="1" applyAlignment="1">
      <alignment horizontal="right"/>
    </xf>
    <xf numFmtId="4" fontId="0" fillId="0" borderId="5" xfId="0" quotePrefix="1" applyNumberFormat="1" applyBorder="1" applyAlignment="1">
      <alignment horizontal="left"/>
    </xf>
    <xf numFmtId="4" fontId="0" fillId="0" borderId="5" xfId="0" applyNumberFormat="1" applyBorder="1"/>
    <xf numFmtId="4" fontId="2" fillId="0" borderId="0" xfId="0" quotePrefix="1" applyNumberFormat="1" applyFont="1" applyAlignment="1">
      <alignment horizontal="left"/>
    </xf>
    <xf numFmtId="3" fontId="0" fillId="0" borderId="0" xfId="0" applyNumberFormat="1" applyBorder="1"/>
    <xf numFmtId="3" fontId="1" fillId="0" borderId="0" xfId="1" applyNumberFormat="1" applyBorder="1"/>
    <xf numFmtId="3" fontId="0" fillId="0" borderId="5" xfId="0" applyNumberFormat="1" applyBorder="1"/>
    <xf numFmtId="9" fontId="0" fillId="0" borderId="0" xfId="3" applyFont="1"/>
    <xf numFmtId="9" fontId="0" fillId="2" borderId="0" xfId="3" applyFont="1" applyFill="1"/>
    <xf numFmtId="4" fontId="0" fillId="0" borderId="6" xfId="0" applyNumberFormat="1" applyBorder="1"/>
    <xf numFmtId="4" fontId="0" fillId="0" borderId="8" xfId="0" applyNumberFormat="1" applyBorder="1"/>
    <xf numFmtId="4" fontId="0" fillId="0" borderId="0" xfId="0" applyNumberFormat="1" applyAlignment="1">
      <alignment horizontal="center"/>
    </xf>
    <xf numFmtId="4" fontId="0" fillId="0" borderId="14" xfId="0" applyNumberFormat="1" applyBorder="1"/>
    <xf numFmtId="4" fontId="0" fillId="0" borderId="1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" xfId="0" quotePrefix="1" applyNumberFormat="1" applyBorder="1" applyAlignment="1">
      <alignment horizontal="left"/>
    </xf>
    <xf numFmtId="3" fontId="0" fillId="0" borderId="13" xfId="0" applyNumberFormat="1" applyBorder="1"/>
    <xf numFmtId="3" fontId="0" fillId="0" borderId="0" xfId="0" quotePrefix="1" applyNumberFormat="1" applyAlignment="1">
      <alignment horizontal="left"/>
    </xf>
    <xf numFmtId="3" fontId="2" fillId="0" borderId="0" xfId="0" applyNumberFormat="1" applyFont="1"/>
    <xf numFmtId="3" fontId="0" fillId="0" borderId="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/>
    <xf numFmtId="3" fontId="0" fillId="0" borderId="8" xfId="0" applyNumberFormat="1" applyBorder="1" applyAlignment="1">
      <alignment horizontal="center"/>
    </xf>
    <xf numFmtId="3" fontId="0" fillId="0" borderId="14" xfId="0" applyNumberFormat="1" applyBorder="1"/>
    <xf numFmtId="3" fontId="0" fillId="0" borderId="11" xfId="0" applyNumberFormat="1" applyBorder="1"/>
    <xf numFmtId="3" fontId="0" fillId="0" borderId="15" xfId="0" applyNumberFormat="1" applyBorder="1"/>
    <xf numFmtId="3" fontId="2" fillId="0" borderId="6" xfId="0" applyNumberFormat="1" applyFont="1" applyBorder="1"/>
    <xf numFmtId="165" fontId="1" fillId="0" borderId="3" xfId="1" applyNumberFormat="1" applyBorder="1"/>
    <xf numFmtId="165" fontId="1" fillId="0" borderId="0" xfId="1" applyNumberFormat="1" applyBorder="1"/>
    <xf numFmtId="165" fontId="1" fillId="0" borderId="7" xfId="1" applyNumberFormat="1" applyBorder="1"/>
    <xf numFmtId="165" fontId="1" fillId="0" borderId="4" xfId="1" applyNumberFormat="1" applyBorder="1"/>
    <xf numFmtId="165" fontId="1" fillId="0" borderId="8" xfId="1" applyNumberFormat="1" applyBorder="1"/>
    <xf numFmtId="165" fontId="1" fillId="0" borderId="0" xfId="1" applyNumberFormat="1"/>
    <xf numFmtId="0" fontId="0" fillId="0" borderId="7" xfId="0" applyBorder="1"/>
    <xf numFmtId="0" fontId="0" fillId="0" borderId="6" xfId="0" applyBorder="1"/>
    <xf numFmtId="165" fontId="1" fillId="0" borderId="6" xfId="1" applyNumberFormat="1" applyBorder="1"/>
    <xf numFmtId="0" fontId="2" fillId="0" borderId="0" xfId="0" applyFont="1"/>
    <xf numFmtId="10" fontId="0" fillId="0" borderId="14" xfId="0" applyNumberFormat="1" applyBorder="1"/>
    <xf numFmtId="10" fontId="0" fillId="0" borderId="8" xfId="3" applyNumberFormat="1" applyFont="1" applyBorder="1"/>
    <xf numFmtId="10" fontId="0" fillId="0" borderId="7" xfId="0" applyNumberFormat="1" applyBorder="1"/>
    <xf numFmtId="0" fontId="0" fillId="0" borderId="8" xfId="0" applyBorder="1"/>
    <xf numFmtId="0" fontId="0" fillId="0" borderId="6" xfId="0" applyFill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/>
    <xf numFmtId="0" fontId="4" fillId="0" borderId="0" xfId="0" applyFont="1"/>
    <xf numFmtId="3" fontId="4" fillId="0" borderId="0" xfId="0" applyNumberFormat="1" applyFont="1" applyFill="1" applyBorder="1" applyAlignment="1">
      <alignment horizontal="center"/>
    </xf>
    <xf numFmtId="9" fontId="0" fillId="2" borderId="0" xfId="0" applyNumberFormat="1" applyFill="1"/>
    <xf numFmtId="165" fontId="4" fillId="0" borderId="0" xfId="1" applyNumberFormat="1" applyFont="1" applyBorder="1"/>
    <xf numFmtId="165" fontId="4" fillId="0" borderId="3" xfId="1" applyNumberFormat="1" applyFont="1" applyBorder="1"/>
    <xf numFmtId="165" fontId="4" fillId="0" borderId="11" xfId="1" applyNumberFormat="1" applyFont="1" applyBorder="1"/>
    <xf numFmtId="0" fontId="4" fillId="0" borderId="11" xfId="0" applyFont="1" applyBorder="1"/>
    <xf numFmtId="3" fontId="4" fillId="0" borderId="1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165" fontId="4" fillId="0" borderId="14" xfId="1" applyNumberFormat="1" applyFont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165" fontId="4" fillId="0" borderId="6" xfId="1" applyNumberFormat="1" applyFont="1" applyBorder="1"/>
    <xf numFmtId="0" fontId="4" fillId="0" borderId="7" xfId="0" applyFont="1" applyBorder="1"/>
    <xf numFmtId="0" fontId="4" fillId="0" borderId="9" xfId="0" applyFont="1" applyBorder="1"/>
    <xf numFmtId="165" fontId="4" fillId="0" borderId="12" xfId="1" applyNumberFormat="1" applyFont="1" applyBorder="1"/>
    <xf numFmtId="0" fontId="2" fillId="0" borderId="0" xfId="0" quotePrefix="1" applyFont="1" applyAlignment="1">
      <alignment horizontal="left"/>
    </xf>
    <xf numFmtId="3" fontId="5" fillId="0" borderId="1" xfId="0" applyNumberFormat="1" applyFont="1" applyFill="1" applyBorder="1"/>
    <xf numFmtId="0" fontId="5" fillId="0" borderId="3" xfId="0" applyFont="1" applyBorder="1"/>
    <xf numFmtId="165" fontId="5" fillId="0" borderId="7" xfId="1" applyNumberFormat="1" applyFont="1" applyBorder="1"/>
    <xf numFmtId="165" fontId="5" fillId="0" borderId="11" xfId="1" applyNumberFormat="1" applyFont="1" applyBorder="1"/>
    <xf numFmtId="165" fontId="5" fillId="0" borderId="7" xfId="1" applyNumberFormat="1" applyFont="1" applyFill="1" applyBorder="1"/>
    <xf numFmtId="0" fontId="5" fillId="0" borderId="8" xfId="0" applyFont="1" applyBorder="1"/>
    <xf numFmtId="165" fontId="5" fillId="0" borderId="8" xfId="1" applyNumberFormat="1" applyFont="1" applyBorder="1"/>
    <xf numFmtId="165" fontId="5" fillId="0" borderId="15" xfId="1" applyNumberFormat="1" applyFont="1" applyBorder="1"/>
    <xf numFmtId="165" fontId="5" fillId="0" borderId="8" xfId="1" applyNumberFormat="1" applyFont="1" applyFill="1" applyBorder="1"/>
    <xf numFmtId="0" fontId="5" fillId="0" borderId="9" xfId="0" applyFont="1" applyBorder="1"/>
    <xf numFmtId="165" fontId="5" fillId="0" borderId="13" xfId="1" applyNumberFormat="1" applyFont="1" applyBorder="1"/>
    <xf numFmtId="165" fontId="5" fillId="0" borderId="6" xfId="1" applyNumberFormat="1" applyFont="1" applyBorder="1"/>
    <xf numFmtId="165" fontId="5" fillId="0" borderId="6" xfId="1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165" fontId="4" fillId="0" borderId="9" xfId="1" applyNumberFormat="1" applyFont="1" applyBorder="1"/>
    <xf numFmtId="3" fontId="5" fillId="0" borderId="9" xfId="0" applyNumberFormat="1" applyFont="1" applyBorder="1"/>
    <xf numFmtId="3" fontId="5" fillId="3" borderId="6" xfId="0" applyNumberFormat="1" applyFont="1" applyFill="1" applyBorder="1" applyAlignment="1">
      <alignment horizontal="center"/>
    </xf>
    <xf numFmtId="3" fontId="6" fillId="0" borderId="3" xfId="0" applyNumberFormat="1" applyFont="1" applyBorder="1"/>
    <xf numFmtId="1" fontId="5" fillId="0" borderId="7" xfId="1" applyNumberFormat="1" applyFont="1" applyBorder="1" applyAlignment="1">
      <alignment horizontal="center"/>
    </xf>
    <xf numFmtId="1" fontId="5" fillId="0" borderId="14" xfId="1" applyNumberFormat="1" applyFont="1" applyBorder="1" applyAlignment="1">
      <alignment horizontal="center"/>
    </xf>
    <xf numFmtId="3" fontId="5" fillId="0" borderId="3" xfId="0" applyNumberFormat="1" applyFont="1" applyBorder="1"/>
    <xf numFmtId="3" fontId="5" fillId="0" borderId="3" xfId="1" applyNumberFormat="1" applyFont="1" applyBorder="1"/>
    <xf numFmtId="3" fontId="5" fillId="0" borderId="7" xfId="1" applyNumberFormat="1" applyFont="1" applyBorder="1"/>
    <xf numFmtId="3" fontId="5" fillId="0" borderId="4" xfId="1" applyNumberFormat="1" applyFont="1" applyBorder="1"/>
    <xf numFmtId="3" fontId="5" fillId="3" borderId="9" xfId="0" applyNumberFormat="1" applyFont="1" applyFill="1" applyBorder="1"/>
    <xf numFmtId="0" fontId="5" fillId="0" borderId="3" xfId="0" quotePrefix="1" applyFont="1" applyBorder="1" applyAlignment="1">
      <alignment horizontal="left"/>
    </xf>
    <xf numFmtId="3" fontId="5" fillId="0" borderId="4" xfId="0" applyNumberFormat="1" applyFont="1" applyBorder="1"/>
    <xf numFmtId="3" fontId="5" fillId="0" borderId="8" xfId="1" applyNumberFormat="1" applyFont="1" applyBorder="1"/>
    <xf numFmtId="3" fontId="5" fillId="0" borderId="8" xfId="1" applyNumberFormat="1" applyFont="1" applyFill="1" applyBorder="1"/>
    <xf numFmtId="3" fontId="5" fillId="0" borderId="0" xfId="0" applyNumberFormat="1" applyFont="1"/>
    <xf numFmtId="1" fontId="5" fillId="0" borderId="0" xfId="0" applyNumberFormat="1" applyFont="1"/>
    <xf numFmtId="0" fontId="5" fillId="0" borderId="1" xfId="0" applyFont="1" applyBorder="1"/>
    <xf numFmtId="3" fontId="5" fillId="0" borderId="3" xfId="0" applyNumberFormat="1" applyFont="1" applyBorder="1" applyAlignment="1">
      <alignment horizontal="left"/>
    </xf>
    <xf numFmtId="0" fontId="5" fillId="0" borderId="4" xfId="0" applyFont="1" applyBorder="1"/>
    <xf numFmtId="3" fontId="5" fillId="0" borderId="14" xfId="0" applyNumberFormat="1" applyFont="1" applyBorder="1"/>
    <xf numFmtId="9" fontId="5" fillId="0" borderId="7" xfId="3" applyFont="1" applyBorder="1" applyAlignment="1">
      <alignment horizontal="right"/>
    </xf>
    <xf numFmtId="10" fontId="5" fillId="0" borderId="8" xfId="3" applyNumberFormat="1" applyFont="1" applyBorder="1" applyAlignment="1">
      <alignment horizontal="right"/>
    </xf>
    <xf numFmtId="166" fontId="1" fillId="0" borderId="0" xfId="3" applyNumberFormat="1" applyBorder="1"/>
    <xf numFmtId="0" fontId="5" fillId="0" borderId="0" xfId="0" applyFont="1" applyBorder="1"/>
    <xf numFmtId="165" fontId="5" fillId="0" borderId="0" xfId="1" applyNumberFormat="1" applyFont="1" applyBorder="1"/>
    <xf numFmtId="165" fontId="5" fillId="0" borderId="0" xfId="1" applyNumberFormat="1" applyFont="1" applyFill="1" applyBorder="1"/>
    <xf numFmtId="4" fontId="0" fillId="0" borderId="9" xfId="0" applyNumberFormat="1" applyBorder="1"/>
    <xf numFmtId="3" fontId="1" fillId="0" borderId="9" xfId="1" applyNumberFormat="1" applyBorder="1"/>
    <xf numFmtId="10" fontId="0" fillId="0" borderId="0" xfId="3" applyNumberFormat="1" applyFont="1"/>
    <xf numFmtId="166" fontId="1" fillId="0" borderId="3" xfId="3" applyNumberFormat="1" applyBorder="1"/>
    <xf numFmtId="166" fontId="1" fillId="0" borderId="4" xfId="3" applyNumberFormat="1" applyBorder="1"/>
    <xf numFmtId="166" fontId="1" fillId="0" borderId="9" xfId="3" applyNumberFormat="1" applyBorder="1"/>
    <xf numFmtId="4" fontId="0" fillId="0" borderId="7" xfId="0" applyNumberFormat="1" applyBorder="1" applyAlignment="1">
      <alignment horizontal="center"/>
    </xf>
    <xf numFmtId="10" fontId="0" fillId="0" borderId="14" xfId="3" applyNumberFormat="1" applyFont="1" applyBorder="1"/>
    <xf numFmtId="10" fontId="0" fillId="0" borderId="6" xfId="3" applyNumberFormat="1" applyFont="1" applyBorder="1"/>
    <xf numFmtId="4" fontId="0" fillId="0" borderId="2" xfId="0" applyNumberFormat="1" applyBorder="1"/>
    <xf numFmtId="4" fontId="2" fillId="0" borderId="3" xfId="0" applyNumberFormat="1" applyFont="1" applyBorder="1"/>
    <xf numFmtId="4" fontId="0" fillId="0" borderId="9" xfId="0" applyNumberFormat="1" applyBorder="1" applyAlignment="1">
      <alignment horizontal="right"/>
    </xf>
    <xf numFmtId="4" fontId="0" fillId="0" borderId="3" xfId="0" quotePrefix="1" applyNumberFormat="1" applyBorder="1" applyAlignment="1">
      <alignment horizontal="right"/>
    </xf>
    <xf numFmtId="4" fontId="2" fillId="0" borderId="1" xfId="0" applyNumberFormat="1" applyFont="1" applyBorder="1"/>
    <xf numFmtId="4" fontId="0" fillId="0" borderId="12" xfId="0" applyNumberFormat="1" applyBorder="1"/>
    <xf numFmtId="4" fontId="0" fillId="0" borderId="1" xfId="0" applyNumberFormat="1" applyBorder="1" applyAlignment="1">
      <alignment horizontal="right"/>
    </xf>
    <xf numFmtId="3" fontId="1" fillId="0" borderId="14" xfId="1" applyNumberFormat="1" applyBorder="1"/>
    <xf numFmtId="10" fontId="1" fillId="0" borderId="14" xfId="3" applyNumberFormat="1" applyBorder="1"/>
    <xf numFmtId="10" fontId="1" fillId="0" borderId="7" xfId="3" applyNumberFormat="1" applyBorder="1"/>
    <xf numFmtId="10" fontId="1" fillId="0" borderId="6" xfId="3" applyNumberFormat="1" applyBorder="1"/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righ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0" fillId="0" borderId="4" xfId="0" quotePrefix="1" applyNumberFormat="1" applyBorder="1" applyAlignment="1">
      <alignment horizontal="left"/>
    </xf>
    <xf numFmtId="0" fontId="0" fillId="0" borderId="5" xfId="0" applyBorder="1"/>
    <xf numFmtId="4" fontId="1" fillId="0" borderId="9" xfId="1" applyNumberFormat="1" applyFont="1" applyBorder="1" applyAlignment="1">
      <alignment horizontal="center"/>
    </xf>
    <xf numFmtId="10" fontId="0" fillId="0" borderId="3" xfId="3" applyNumberFormat="1" applyFont="1" applyBorder="1"/>
    <xf numFmtId="4" fontId="1" fillId="0" borderId="8" xfId="1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2" borderId="0" xfId="3" applyFont="1" applyFill="1"/>
    <xf numFmtId="9" fontId="5" fillId="0" borderId="0" xfId="3" applyFont="1" applyFill="1"/>
    <xf numFmtId="9" fontId="5" fillId="0" borderId="0" xfId="3" applyFont="1"/>
    <xf numFmtId="0" fontId="5" fillId="0" borderId="0" xfId="0" applyFont="1"/>
    <xf numFmtId="3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5" xfId="0" applyNumberFormat="1" applyFont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165" fontId="5" fillId="0" borderId="0" xfId="1" applyNumberFormat="1" applyFont="1"/>
    <xf numFmtId="165" fontId="5" fillId="0" borderId="5" xfId="1" applyNumberFormat="1" applyFont="1" applyBorder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quotePrefix="1" applyFont="1" applyFill="1" applyAlignment="1">
      <alignment horizontal="left"/>
    </xf>
    <xf numFmtId="0" fontId="5" fillId="0" borderId="5" xfId="0" quotePrefix="1" applyFont="1" applyBorder="1" applyAlignment="1">
      <alignment horizontal="center"/>
    </xf>
    <xf numFmtId="0" fontId="5" fillId="0" borderId="5" xfId="0" applyFont="1" applyBorder="1"/>
    <xf numFmtId="9" fontId="5" fillId="0" borderId="5" xfId="3" applyFont="1" applyBorder="1"/>
    <xf numFmtId="3" fontId="5" fillId="0" borderId="5" xfId="0" applyNumberFormat="1" applyFont="1" applyFill="1" applyBorder="1"/>
    <xf numFmtId="0" fontId="2" fillId="0" borderId="5" xfId="0" applyFont="1" applyBorder="1"/>
    <xf numFmtId="3" fontId="5" fillId="0" borderId="4" xfId="0" applyNumberFormat="1" applyFont="1" applyFill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6" xfId="0" applyNumberFormat="1" applyFont="1" applyBorder="1"/>
    <xf numFmtId="3" fontId="5" fillId="0" borderId="6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5" fillId="0" borderId="11" xfId="3" applyFont="1" applyBorder="1"/>
    <xf numFmtId="9" fontId="5" fillId="0" borderId="15" xfId="3" applyFont="1" applyBorder="1"/>
    <xf numFmtId="9" fontId="5" fillId="0" borderId="12" xfId="3" applyFont="1" applyBorder="1"/>
    <xf numFmtId="165" fontId="5" fillId="0" borderId="12" xfId="1" applyNumberFormat="1" applyFont="1" applyBorder="1"/>
    <xf numFmtId="9" fontId="5" fillId="2" borderId="0" xfId="0" applyNumberFormat="1" applyFont="1" applyFill="1"/>
    <xf numFmtId="0" fontId="5" fillId="0" borderId="0" xfId="0" quotePrefix="1" applyFont="1" applyAlignment="1">
      <alignment horizontal="left"/>
    </xf>
    <xf numFmtId="3" fontId="5" fillId="0" borderId="0" xfId="0" applyNumberFormat="1" applyFont="1" applyBorder="1"/>
    <xf numFmtId="1" fontId="5" fillId="0" borderId="3" xfId="1" applyNumberFormat="1" applyFont="1" applyBorder="1"/>
    <xf numFmtId="1" fontId="5" fillId="0" borderId="4" xfId="1" applyNumberFormat="1" applyFont="1" applyBorder="1"/>
    <xf numFmtId="1" fontId="5" fillId="3" borderId="6" xfId="1" applyNumberFormat="1" applyFont="1" applyFill="1" applyBorder="1"/>
    <xf numFmtId="1" fontId="5" fillId="0" borderId="7" xfId="1" applyNumberFormat="1" applyFont="1" applyBorder="1"/>
    <xf numFmtId="1" fontId="5" fillId="0" borderId="8" xfId="1" applyNumberFormat="1" applyFont="1" applyBorder="1"/>
    <xf numFmtId="1" fontId="5" fillId="0" borderId="8" xfId="1" applyNumberFormat="1" applyFont="1" applyFill="1" applyBorder="1"/>
    <xf numFmtId="1" fontId="5" fillId="0" borderId="0" xfId="1" applyNumberFormat="1" applyFont="1"/>
    <xf numFmtId="9" fontId="5" fillId="0" borderId="0" xfId="3" applyFont="1" applyAlignment="1">
      <alignment horizontal="center"/>
    </xf>
    <xf numFmtId="10" fontId="5" fillId="0" borderId="0" xfId="3" applyNumberFormat="1" applyFont="1" applyAlignment="1">
      <alignment horizontal="center"/>
    </xf>
    <xf numFmtId="165" fontId="5" fillId="0" borderId="7" xfId="0" applyNumberFormat="1" applyFont="1" applyBorder="1"/>
    <xf numFmtId="165" fontId="5" fillId="0" borderId="14" xfId="1" applyNumberFormat="1" applyFont="1" applyBorder="1"/>
    <xf numFmtId="4" fontId="5" fillId="0" borderId="0" xfId="0" applyNumberFormat="1" applyFont="1"/>
    <xf numFmtId="4" fontId="5" fillId="0" borderId="6" xfId="0" applyNumberFormat="1" applyFont="1" applyBorder="1"/>
    <xf numFmtId="4" fontId="5" fillId="0" borderId="3" xfId="0" applyNumberFormat="1" applyFont="1" applyBorder="1"/>
    <xf numFmtId="3" fontId="5" fillId="0" borderId="14" xfId="1" applyNumberFormat="1" applyFont="1" applyBorder="1"/>
    <xf numFmtId="4" fontId="5" fillId="0" borderId="3" xfId="0" quotePrefix="1" applyNumberFormat="1" applyFont="1" applyBorder="1" applyAlignment="1">
      <alignment horizontal="left"/>
    </xf>
    <xf numFmtId="4" fontId="5" fillId="0" borderId="7" xfId="0" quotePrefix="1" applyNumberFormat="1" applyFont="1" applyBorder="1" applyAlignment="1">
      <alignment horizontal="left"/>
    </xf>
    <xf numFmtId="4" fontId="5" fillId="0" borderId="4" xfId="0" applyNumberFormat="1" applyFont="1" applyBorder="1"/>
    <xf numFmtId="4" fontId="5" fillId="0" borderId="0" xfId="1" applyNumberFormat="1" applyFont="1"/>
    <xf numFmtId="0" fontId="5" fillId="0" borderId="1" xfId="0" quotePrefix="1" applyFont="1" applyBorder="1" applyAlignment="1">
      <alignment horizontal="left"/>
    </xf>
    <xf numFmtId="165" fontId="5" fillId="0" borderId="2" xfId="1" applyNumberFormat="1" applyFont="1" applyBorder="1"/>
    <xf numFmtId="0" fontId="5" fillId="0" borderId="9" xfId="0" quotePrefix="1" applyFont="1" applyBorder="1" applyAlignment="1">
      <alignment horizontal="left"/>
    </xf>
    <xf numFmtId="3" fontId="5" fillId="0" borderId="1" xfId="0" applyNumberFormat="1" applyFont="1" applyBorder="1"/>
    <xf numFmtId="9" fontId="5" fillId="0" borderId="2" xfId="3" applyFont="1" applyBorder="1"/>
    <xf numFmtId="9" fontId="5" fillId="0" borderId="0" xfId="3" applyFont="1" applyBorder="1"/>
    <xf numFmtId="0" fontId="5" fillId="0" borderId="4" xfId="0" quotePrefix="1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1" applyNumberFormat="1" applyFont="1"/>
    <xf numFmtId="3" fontId="5" fillId="0" borderId="14" xfId="0" applyNumberFormat="1" applyFont="1" applyFill="1" applyBorder="1" applyAlignment="1">
      <alignment horizontal="center"/>
    </xf>
    <xf numFmtId="3" fontId="5" fillId="0" borderId="9" xfId="0" applyNumberFormat="1" applyFont="1" applyFill="1" applyBorder="1"/>
    <xf numFmtId="3" fontId="5" fillId="0" borderId="6" xfId="1" applyNumberFormat="1" applyFont="1" applyFill="1" applyBorder="1"/>
    <xf numFmtId="3" fontId="4" fillId="0" borderId="4" xfId="0" applyNumberFormat="1" applyFont="1" applyFill="1" applyBorder="1"/>
    <xf numFmtId="4" fontId="0" fillId="0" borderId="2" xfId="0" applyNumberFormat="1" applyBorder="1" applyAlignment="1">
      <alignment horizontal="center"/>
    </xf>
    <xf numFmtId="0" fontId="4" fillId="0" borderId="1" xfId="0" quotePrefix="1" applyFont="1" applyBorder="1" applyAlignment="1">
      <alignment horizontal="left"/>
    </xf>
    <xf numFmtId="4" fontId="4" fillId="0" borderId="3" xfId="0" quotePrefix="1" applyNumberFormat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4" fillId="0" borderId="9" xfId="0" quotePrefix="1" applyFont="1" applyBorder="1" applyAlignment="1">
      <alignment horizontal="left"/>
    </xf>
    <xf numFmtId="4" fontId="4" fillId="0" borderId="0" xfId="0" applyNumberFormat="1" applyFont="1"/>
    <xf numFmtId="3" fontId="4" fillId="0" borderId="3" xfId="0" applyNumberFormat="1" applyFont="1" applyBorder="1"/>
    <xf numFmtId="4" fontId="0" fillId="2" borderId="0" xfId="0" applyNumberFormat="1" applyFill="1"/>
    <xf numFmtId="4" fontId="0" fillId="0" borderId="0" xfId="0" applyNumberFormat="1" applyBorder="1" applyAlignment="1">
      <alignment horizontal="center"/>
    </xf>
    <xf numFmtId="3" fontId="8" fillId="2" borderId="3" xfId="2" applyNumberFormat="1" applyFill="1" applyBorder="1"/>
    <xf numFmtId="166" fontId="8" fillId="0" borderId="7" xfId="4" applyNumberFormat="1" applyBorder="1"/>
    <xf numFmtId="166" fontId="8" fillId="2" borderId="7" xfId="4" applyNumberFormat="1" applyFill="1" applyBorder="1"/>
    <xf numFmtId="3" fontId="8" fillId="0" borderId="7" xfId="2" applyNumberFormat="1" applyBorder="1"/>
    <xf numFmtId="3" fontId="8" fillId="2" borderId="7" xfId="4" applyNumberFormat="1" applyFill="1" applyBorder="1"/>
    <xf numFmtId="3" fontId="8" fillId="2" borderId="4" xfId="2" applyNumberFormat="1" applyFill="1" applyBorder="1"/>
    <xf numFmtId="166" fontId="8" fillId="0" borderId="8" xfId="4" applyNumberFormat="1" applyBorder="1"/>
    <xf numFmtId="3" fontId="8" fillId="0" borderId="8" xfId="2" applyNumberFormat="1" applyBorder="1"/>
    <xf numFmtId="3" fontId="8" fillId="0" borderId="4" xfId="2" applyNumberFormat="1" applyBorder="1"/>
    <xf numFmtId="3" fontId="8" fillId="0" borderId="3" xfId="2" applyNumberFormat="1" applyBorder="1"/>
    <xf numFmtId="10" fontId="8" fillId="0" borderId="8" xfId="4" applyNumberFormat="1" applyBorder="1"/>
    <xf numFmtId="4" fontId="8" fillId="0" borderId="0" xfId="2" applyNumberFormat="1"/>
    <xf numFmtId="4" fontId="8" fillId="0" borderId="6" xfId="2" applyNumberFormat="1" applyFont="1" applyBorder="1" applyAlignment="1">
      <alignment horizontal="center"/>
    </xf>
    <xf numFmtId="4" fontId="8" fillId="0" borderId="9" xfId="2" applyNumberFormat="1" applyFont="1" applyBorder="1" applyAlignment="1">
      <alignment horizontal="center"/>
    </xf>
    <xf numFmtId="10" fontId="8" fillId="2" borderId="7" xfId="4" applyNumberFormat="1" applyFill="1" applyBorder="1"/>
    <xf numFmtId="10" fontId="8" fillId="2" borderId="11" xfId="4" applyNumberFormat="1" applyFill="1" applyBorder="1"/>
    <xf numFmtId="10" fontId="8" fillId="2" borderId="3" xfId="4" applyNumberFormat="1" applyFill="1" applyBorder="1"/>
    <xf numFmtId="4" fontId="8" fillId="0" borderId="8" xfId="2" applyNumberFormat="1" applyFont="1" applyBorder="1" applyAlignment="1">
      <alignment horizontal="center"/>
    </xf>
    <xf numFmtId="3" fontId="8" fillId="0" borderId="6" xfId="2" applyNumberFormat="1" applyBorder="1"/>
    <xf numFmtId="3" fontId="8" fillId="0" borderId="0" xfId="2" applyNumberFormat="1" applyBorder="1"/>
    <xf numFmtId="3" fontId="0" fillId="0" borderId="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5" xfId="0" applyNumberFormat="1" applyBorder="1"/>
    <xf numFmtId="3" fontId="0" fillId="0" borderId="8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quotePrefix="1" applyNumberFormat="1" applyBorder="1" applyAlignment="1">
      <alignment horizontal="left"/>
    </xf>
    <xf numFmtId="4" fontId="0" fillId="0" borderId="15" xfId="0" quotePrefix="1" applyNumberFormat="1" applyBorder="1" applyAlignment="1">
      <alignment horizontal="left"/>
    </xf>
    <xf numFmtId="4" fontId="0" fillId="0" borderId="0" xfId="0" quotePrefix="1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3" fontId="0" fillId="2" borderId="14" xfId="0" applyNumberFormat="1" applyFill="1" applyBorder="1"/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5" xfId="0" quotePrefix="1" applyNumberFormat="1" applyFont="1" applyBorder="1" applyAlignment="1">
      <alignment horizontal="left"/>
    </xf>
    <xf numFmtId="3" fontId="0" fillId="2" borderId="8" xfId="0" applyNumberForma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2" borderId="7" xfId="0" applyNumberFormat="1" applyFill="1" applyBorder="1"/>
    <xf numFmtId="3" fontId="4" fillId="0" borderId="9" xfId="0" applyNumberFormat="1" applyFont="1" applyBorder="1"/>
    <xf numFmtId="3" fontId="4" fillId="0" borderId="6" xfId="0" applyNumberFormat="1" applyFont="1" applyFill="1" applyBorder="1" applyAlignment="1">
      <alignment horizontal="center"/>
    </xf>
    <xf numFmtId="3" fontId="6" fillId="0" borderId="14" xfId="0" applyNumberFormat="1" applyFont="1" applyBorder="1"/>
    <xf numFmtId="167" fontId="4" fillId="0" borderId="7" xfId="2" applyNumberFormat="1" applyFont="1" applyBorder="1" applyAlignment="1">
      <alignment horizontal="center"/>
    </xf>
    <xf numFmtId="167" fontId="4" fillId="0" borderId="14" xfId="2" applyNumberFormat="1" applyFont="1" applyBorder="1" applyAlignment="1">
      <alignment horizontal="center"/>
    </xf>
    <xf numFmtId="3" fontId="4" fillId="0" borderId="7" xfId="0" applyNumberFormat="1" applyFont="1" applyBorder="1"/>
    <xf numFmtId="3" fontId="4" fillId="0" borderId="3" xfId="2" applyNumberFormat="1" applyFont="1" applyBorder="1"/>
    <xf numFmtId="3" fontId="4" fillId="0" borderId="7" xfId="2" applyNumberFormat="1" applyFont="1" applyBorder="1"/>
    <xf numFmtId="3" fontId="4" fillId="2" borderId="4" xfId="2" applyNumberFormat="1" applyFont="1" applyFill="1" applyBorder="1"/>
    <xf numFmtId="3" fontId="4" fillId="0" borderId="4" xfId="2" applyNumberFormat="1" applyFont="1" applyBorder="1"/>
    <xf numFmtId="3" fontId="4" fillId="0" borderId="6" xfId="0" quotePrefix="1" applyNumberFormat="1" applyFont="1" applyFill="1" applyBorder="1" applyAlignment="1">
      <alignment horizontal="left"/>
    </xf>
    <xf numFmtId="3" fontId="4" fillId="0" borderId="6" xfId="2" applyNumberFormat="1" applyFont="1" applyFill="1" applyBorder="1"/>
    <xf numFmtId="4" fontId="0" fillId="0" borderId="0" xfId="0" applyNumberFormat="1" applyFill="1"/>
    <xf numFmtId="3" fontId="4" fillId="0" borderId="11" xfId="2" applyNumberFormat="1" applyFont="1" applyBorder="1"/>
    <xf numFmtId="3" fontId="4" fillId="2" borderId="11" xfId="2" applyNumberFormat="1" applyFont="1" applyFill="1" applyBorder="1"/>
    <xf numFmtId="3" fontId="4" fillId="2" borderId="7" xfId="2" applyNumberFormat="1" applyFont="1" applyFill="1" applyBorder="1"/>
    <xf numFmtId="0" fontId="4" fillId="0" borderId="8" xfId="0" quotePrefix="1" applyFont="1" applyBorder="1" applyAlignment="1">
      <alignment horizontal="left"/>
    </xf>
    <xf numFmtId="3" fontId="4" fillId="0" borderId="4" xfId="0" quotePrefix="1" applyNumberFormat="1" applyFont="1" applyFill="1" applyBorder="1" applyAlignment="1">
      <alignment horizontal="left"/>
    </xf>
    <xf numFmtId="3" fontId="4" fillId="0" borderId="4" xfId="0" applyNumberFormat="1" applyFont="1" applyBorder="1"/>
    <xf numFmtId="3" fontId="4" fillId="0" borderId="8" xfId="2" applyNumberFormat="1" applyFont="1" applyBorder="1"/>
    <xf numFmtId="3" fontId="4" fillId="0" borderId="8" xfId="2" applyNumberFormat="1" applyFont="1" applyFill="1" applyBorder="1"/>
    <xf numFmtId="1" fontId="4" fillId="0" borderId="0" xfId="0" applyNumberFormat="1" applyFont="1"/>
    <xf numFmtId="0" fontId="4" fillId="0" borderId="14" xfId="0" applyFont="1" applyBorder="1" applyAlignment="1">
      <alignment horizontal="left"/>
    </xf>
    <xf numFmtId="3" fontId="4" fillId="0" borderId="7" xfId="2" applyNumberFormat="1" applyFont="1" applyBorder="1" applyAlignment="1"/>
    <xf numFmtId="9" fontId="4" fillId="2" borderId="7" xfId="4" applyFont="1" applyFill="1" applyBorder="1" applyAlignment="1">
      <alignment horizontal="center"/>
    </xf>
    <xf numFmtId="0" fontId="4" fillId="0" borderId="8" xfId="0" applyFont="1" applyBorder="1"/>
    <xf numFmtId="10" fontId="4" fillId="0" borderId="8" xfId="4" applyNumberFormat="1" applyFont="1" applyBorder="1" applyAlignment="1">
      <alignment horizontal="center"/>
    </xf>
    <xf numFmtId="3" fontId="4" fillId="0" borderId="3" xfId="0" quotePrefix="1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3" xfId="3" applyFont="1" applyBorder="1" applyAlignment="1">
      <alignment horizontal="center"/>
    </xf>
    <xf numFmtId="9" fontId="0" fillId="0" borderId="11" xfId="3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" fillId="0" borderId="3" xfId="3" applyNumberFormat="1" applyBorder="1" applyAlignment="1">
      <alignment horizontal="center"/>
    </xf>
    <xf numFmtId="4" fontId="1" fillId="0" borderId="11" xfId="3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5" fillId="0" borderId="14" xfId="0" applyNumberFormat="1" applyFont="1" applyFill="1" applyBorder="1" applyAlignment="1">
      <alignment horizontal="center" wrapText="1"/>
    </xf>
    <xf numFmtId="3" fontId="5" fillId="0" borderId="8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3" fontId="3" fillId="0" borderId="0" xfId="0" quotePrefix="1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9" fontId="1" fillId="0" borderId="3" xfId="3" applyBorder="1" applyAlignment="1">
      <alignment horizontal="center"/>
    </xf>
    <xf numFmtId="9" fontId="1" fillId="0" borderId="11" xfId="3" applyBorder="1" applyAlignment="1">
      <alignment horizontal="center"/>
    </xf>
    <xf numFmtId="0" fontId="0" fillId="0" borderId="1" xfId="0" quotePrefix="1" applyBorder="1" applyAlignment="1">
      <alignment horizontal="center"/>
    </xf>
    <xf numFmtId="9" fontId="1" fillId="0" borderId="4" xfId="3" applyBorder="1" applyAlignment="1">
      <alignment horizontal="center"/>
    </xf>
    <xf numFmtId="9" fontId="1" fillId="0" borderId="15" xfId="3" applyBorder="1" applyAlignment="1">
      <alignment horizontal="center"/>
    </xf>
    <xf numFmtId="4" fontId="8" fillId="0" borderId="3" xfId="4" applyNumberFormat="1" applyBorder="1" applyAlignment="1">
      <alignment horizontal="center"/>
    </xf>
    <xf numFmtId="4" fontId="8" fillId="0" borderId="11" xfId="4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2" fillId="0" borderId="5" xfId="0" applyNumberFormat="1" applyFont="1" applyFill="1" applyBorder="1" applyAlignment="1">
      <alignment horizontal="left"/>
    </xf>
  </cellXfs>
  <cellStyles count="5">
    <cellStyle name="Komma" xfId="1" builtinId="3"/>
    <cellStyle name="Komma 2" xfId="2"/>
    <cellStyle name="Normal" xfId="0" builtinId="0"/>
    <cellStyle name="Prosent" xfId="3" builtinId="5"/>
    <cellStyle name="Pros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95250</xdr:rowOff>
    </xdr:from>
    <xdr:to>
      <xdr:col>7</xdr:col>
      <xdr:colOff>28575</xdr:colOff>
      <xdr:row>25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3333750"/>
          <a:ext cx="522922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Det budsjetterte resultatet for 20x2 ble betydelig bedre enn resultatet for 20x1. Det skyldes at salgsinntektene øker prosentvis mer enn kostnadene. I siste kolonnen ser vi at kostnadene i prosent av salgsinntekten for samtlige kostnadsarter er redusert i forhold til regnskapstallene</a:t>
          </a:r>
          <a:endParaRPr lang="nb-NO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46</xdr:row>
      <xdr:rowOff>104775</xdr:rowOff>
    </xdr:from>
    <xdr:to>
      <xdr:col>6</xdr:col>
      <xdr:colOff>38100</xdr:colOff>
      <xdr:row>49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00025" y="7553325"/>
          <a:ext cx="4876800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Resultatbudsjettet viser et underskudd på kr 8 069 i 1. kvartal. Resultatbudsjettet på årsbasis blir også negativt med et underskudd på kr 21 456. </a:t>
          </a:r>
          <a:endParaRPr lang="nb-NO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152400</xdr:rowOff>
    </xdr:from>
    <xdr:to>
      <xdr:col>6</xdr:col>
      <xdr:colOff>104775</xdr:colOff>
      <xdr:row>27</xdr:row>
      <xdr:rowOff>57150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57175" y="3876675"/>
          <a:ext cx="48291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Ved å prøve oss frem i modellen finner vi at en økning i varekostnaden til 6 055 000 fører til at resultat etter skatt blir 5 %. Det innebærer at varekostnaden utgjør 61,35 % av salgsinntekten. Bruttofortjenesten blir dermed 38,65 %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/>
        </a:p>
      </xdr:txBody>
    </xdr:sp>
    <xdr:clientData/>
  </xdr:twoCellAnchor>
  <xdr:twoCellAnchor>
    <xdr:from>
      <xdr:col>1</xdr:col>
      <xdr:colOff>38100</xdr:colOff>
      <xdr:row>131</xdr:row>
      <xdr:rowOff>123825</xdr:rowOff>
    </xdr:from>
    <xdr:to>
      <xdr:col>5</xdr:col>
      <xdr:colOff>714375</xdr:colOff>
      <xdr:row>139</xdr:row>
      <xdr:rowOff>142875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247650" y="21193125"/>
          <a:ext cx="468630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Kravet til likviditeten er 30 % av salget med mva. i måneden. Vi ser at målet er oppfylt i hele perioden. Likviditeten er meget bra. 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Investeringen på kr 185 000 burde vært finansiert med langsiktig kapital (vi vet ikke om likviditetsbeholdningen er limit på kassekredittkonto, dvs. kortsiktig gjeld, eller et rent bankinnskudd. I det første tilfellet ville investeringen være finansiert med kortsiktig gjeld. Det er ikke bra. I det andre tilfeller ville investeringen være finansiert med (langsiktig) egenkapital og det er OK.</a:t>
          </a:r>
          <a:endParaRPr lang="nb-NO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57150</xdr:rowOff>
    </xdr:from>
    <xdr:to>
      <xdr:col>5</xdr:col>
      <xdr:colOff>0</xdr:colOff>
      <xdr:row>92</xdr:row>
      <xdr:rowOff>85725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0" y="13658850"/>
          <a:ext cx="4714875" cy="1162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Budsjettet viser at likviditeten svekkes med kr 13 283 i løpet av perioden. Likviditetsmålet blir ikke nådd, og bedriften er lengre fra målet i september enn den var i juli. Det svake prosenttallet i september skyldes i hovedsak store varekjøp i måneden. Det er ingen umiddelbar fare, men bedriften bør følge nøye med. Et passende tiltak for å bedre likviditeten kan være å arbeide for å redusere andelen kredittkunder, og redusere kredittiden fra 30 til 15 dager.</a:t>
          </a:r>
          <a:endParaRPr lang="nb-NO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86</xdr:row>
      <xdr:rowOff>76200</xdr:rowOff>
    </xdr:from>
    <xdr:to>
      <xdr:col>6</xdr:col>
      <xdr:colOff>95250</xdr:colOff>
      <xdr:row>97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8575" y="14163675"/>
          <a:ext cx="4905375" cy="179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Kravet til likviditeten er 50 % av salget med mva. i måneden. Vi ser at målet er oppfylt i mai og juni, og det er en meget fin utvikling i perioden. Selv om målet ikke blir oppfylt i april, må vi si at likviditeten er bra.</a:t>
          </a:r>
        </a:p>
        <a:p>
          <a:pPr algn="l" rtl="0"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Resultatet i kvartalet i prosent av salgsinntekten uten mva:  100 % · 187 100 / 4 460 000 = 4,2 %</a:t>
          </a:r>
        </a:p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 får ikke oppgitt noe måltall for resultatet, og det er derfor vanskelig å si om dette resultatet blir vurdert som tilfredsstillende. Normalt vil mange bedrifter være fornøyd med en resultatgrad på 4,2 %.</a:t>
          </a:r>
          <a:endParaRPr lang="nb-NO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9"/>
  <sheetViews>
    <sheetView tabSelected="1" zoomScaleNormal="100" workbookViewId="0"/>
  </sheetViews>
  <sheetFormatPr baseColWidth="10" defaultRowHeight="12.75" x14ac:dyDescent="0.2"/>
  <cols>
    <col min="1" max="1" width="3.140625" customWidth="1"/>
    <col min="2" max="2" width="23" bestFit="1" customWidth="1"/>
    <col min="3" max="3" width="12.85546875" bestFit="1" customWidth="1"/>
    <col min="4" max="4" width="12.85546875" customWidth="1"/>
    <col min="5" max="5" width="6" customWidth="1"/>
  </cols>
  <sheetData>
    <row r="3" spans="2:7" x14ac:dyDescent="0.2">
      <c r="B3" s="2"/>
      <c r="C3" s="332" t="s">
        <v>10</v>
      </c>
      <c r="D3" s="333"/>
      <c r="E3" s="3"/>
      <c r="F3" s="332" t="s">
        <v>12</v>
      </c>
      <c r="G3" s="333"/>
    </row>
    <row r="4" spans="2:7" x14ac:dyDescent="0.2">
      <c r="B4" s="4"/>
      <c r="C4" s="334" t="s">
        <v>11</v>
      </c>
      <c r="D4" s="335"/>
      <c r="E4" s="5"/>
      <c r="F4" s="336" t="s">
        <v>13</v>
      </c>
      <c r="G4" s="337"/>
    </row>
    <row r="5" spans="2:7" x14ac:dyDescent="0.2">
      <c r="B5" s="8"/>
      <c r="C5" s="14" t="s">
        <v>14</v>
      </c>
      <c r="D5" s="10" t="s">
        <v>15</v>
      </c>
      <c r="E5" s="186"/>
      <c r="F5" s="10" t="str">
        <f>C5</f>
        <v>Kr</v>
      </c>
      <c r="G5" s="10" t="str">
        <f>D5</f>
        <v>%</v>
      </c>
    </row>
    <row r="6" spans="2:7" x14ac:dyDescent="0.2">
      <c r="B6" s="4" t="s">
        <v>0</v>
      </c>
      <c r="C6" s="15">
        <v>1240000</v>
      </c>
      <c r="D6" s="18">
        <f>C6/C6</f>
        <v>1</v>
      </c>
      <c r="E6" s="6"/>
      <c r="F6" s="11">
        <f>C6*1.2</f>
        <v>1488000</v>
      </c>
      <c r="G6" s="18">
        <f>F6/F6</f>
        <v>1</v>
      </c>
    </row>
    <row r="7" spans="2:7" x14ac:dyDescent="0.2">
      <c r="B7" s="4"/>
      <c r="C7" s="15"/>
      <c r="D7" s="18"/>
      <c r="E7" s="6"/>
      <c r="F7" s="11"/>
      <c r="G7" s="18"/>
    </row>
    <row r="8" spans="2:7" x14ac:dyDescent="0.2">
      <c r="B8" s="7" t="s">
        <v>16</v>
      </c>
      <c r="C8" s="15">
        <v>533000</v>
      </c>
      <c r="D8" s="18">
        <f>C8/$C$6</f>
        <v>0.42983870967741933</v>
      </c>
      <c r="E8" s="6"/>
      <c r="F8" s="11">
        <f>F6*0.4</f>
        <v>595200</v>
      </c>
      <c r="G8" s="18">
        <f>F8/$F$6</f>
        <v>0.4</v>
      </c>
    </row>
    <row r="9" spans="2:7" x14ac:dyDescent="0.2">
      <c r="B9" s="4" t="s">
        <v>2</v>
      </c>
      <c r="C9" s="15">
        <v>417800</v>
      </c>
      <c r="D9" s="18">
        <f t="shared" ref="D9:D19" si="0">C9/$C$6</f>
        <v>0.33693548387096772</v>
      </c>
      <c r="E9" s="6"/>
      <c r="F9" s="11">
        <f>INT(C9*1.04)</f>
        <v>434512</v>
      </c>
      <c r="G9" s="18">
        <f t="shared" ref="G9:G19" si="1">F9/$F$6</f>
        <v>0.29201075268817206</v>
      </c>
    </row>
    <row r="10" spans="2:7" x14ac:dyDescent="0.2">
      <c r="B10" s="4" t="s">
        <v>3</v>
      </c>
      <c r="C10" s="15">
        <v>88000</v>
      </c>
      <c r="D10" s="18">
        <f t="shared" si="0"/>
        <v>7.0967741935483872E-2</v>
      </c>
      <c r="E10" s="6"/>
      <c r="F10" s="11">
        <f>C10</f>
        <v>88000</v>
      </c>
      <c r="G10" s="18">
        <f t="shared" si="1"/>
        <v>5.9139784946236562E-2</v>
      </c>
    </row>
    <row r="11" spans="2:7" x14ac:dyDescent="0.2">
      <c r="B11" s="4" t="s">
        <v>4</v>
      </c>
      <c r="C11" s="15">
        <v>125900</v>
      </c>
      <c r="D11" s="18">
        <f t="shared" si="0"/>
        <v>0.10153225806451613</v>
      </c>
      <c r="E11" s="6"/>
      <c r="F11" s="11">
        <f>C11+10000</f>
        <v>135900</v>
      </c>
      <c r="G11" s="18">
        <f t="shared" si="1"/>
        <v>9.1330645161290316E-2</v>
      </c>
    </row>
    <row r="12" spans="2:7" x14ac:dyDescent="0.2">
      <c r="B12" s="8" t="s">
        <v>5</v>
      </c>
      <c r="C12" s="17">
        <v>46300</v>
      </c>
      <c r="D12" s="19">
        <f t="shared" si="0"/>
        <v>3.7338709677419354E-2</v>
      </c>
      <c r="E12" s="6"/>
      <c r="F12" s="13">
        <f>C12</f>
        <v>46300</v>
      </c>
      <c r="G12" s="19">
        <f t="shared" si="1"/>
        <v>3.1115591397849463E-2</v>
      </c>
    </row>
    <row r="13" spans="2:7" x14ac:dyDescent="0.2">
      <c r="B13" s="7" t="s">
        <v>6</v>
      </c>
      <c r="C13" s="16">
        <f>SUM(C8:C12)</f>
        <v>1211000</v>
      </c>
      <c r="D13" s="18">
        <f t="shared" si="0"/>
        <v>0.97661290322580641</v>
      </c>
      <c r="E13" s="6"/>
      <c r="F13" s="12">
        <f>SUM(F8:F12)</f>
        <v>1299912</v>
      </c>
      <c r="G13" s="18">
        <f t="shared" si="1"/>
        <v>0.87359677419354842</v>
      </c>
    </row>
    <row r="14" spans="2:7" x14ac:dyDescent="0.2">
      <c r="B14" s="8"/>
      <c r="C14" s="17"/>
      <c r="D14" s="19"/>
      <c r="E14" s="6"/>
      <c r="F14" s="13"/>
      <c r="G14" s="19"/>
    </row>
    <row r="15" spans="2:7" x14ac:dyDescent="0.2">
      <c r="B15" s="4" t="s">
        <v>7</v>
      </c>
      <c r="C15" s="15">
        <f>C6-C13</f>
        <v>29000</v>
      </c>
      <c r="D15" s="18">
        <f t="shared" si="0"/>
        <v>2.3387096774193549E-2</v>
      </c>
      <c r="E15" s="6"/>
      <c r="F15" s="11">
        <f>F6-F13</f>
        <v>188088</v>
      </c>
      <c r="G15" s="18">
        <f t="shared" si="1"/>
        <v>0.12640322580645161</v>
      </c>
    </row>
    <row r="16" spans="2:7" x14ac:dyDescent="0.2">
      <c r="B16" s="4"/>
      <c r="C16" s="15"/>
      <c r="D16" s="18"/>
      <c r="E16" s="6"/>
      <c r="F16" s="11"/>
      <c r="G16" s="18"/>
    </row>
    <row r="17" spans="2:7" x14ac:dyDescent="0.2">
      <c r="B17" s="4" t="s">
        <v>8</v>
      </c>
      <c r="C17" s="15">
        <v>24800</v>
      </c>
      <c r="D17" s="18">
        <f t="shared" si="0"/>
        <v>0.02</v>
      </c>
      <c r="E17" s="6"/>
      <c r="F17" s="11">
        <v>21000</v>
      </c>
      <c r="G17" s="18">
        <f t="shared" si="1"/>
        <v>1.4112903225806451E-2</v>
      </c>
    </row>
    <row r="18" spans="2:7" x14ac:dyDescent="0.2">
      <c r="B18" s="8"/>
      <c r="C18" s="17"/>
      <c r="D18" s="19"/>
      <c r="E18" s="6"/>
      <c r="F18" s="13"/>
      <c r="G18" s="19"/>
    </row>
    <row r="19" spans="2:7" x14ac:dyDescent="0.2">
      <c r="B19" s="8" t="s">
        <v>9</v>
      </c>
      <c r="C19" s="17">
        <f>C15-C17</f>
        <v>4200</v>
      </c>
      <c r="D19" s="19">
        <f t="shared" si="0"/>
        <v>3.3870967741935483E-3</v>
      </c>
      <c r="E19" s="9"/>
      <c r="F19" s="13">
        <f>F15-F17</f>
        <v>167088</v>
      </c>
      <c r="G19" s="19">
        <f t="shared" si="1"/>
        <v>0.11229032258064515</v>
      </c>
    </row>
    <row r="20" spans="2:7" x14ac:dyDescent="0.2">
      <c r="C20" s="1"/>
      <c r="D20" s="1"/>
      <c r="E20" s="1"/>
      <c r="F20" s="1"/>
      <c r="G20" s="1"/>
    </row>
    <row r="21" spans="2:7" x14ac:dyDescent="0.2">
      <c r="C21" s="1"/>
      <c r="D21" s="1"/>
      <c r="E21" s="1"/>
      <c r="F21" s="1"/>
      <c r="G21" s="1"/>
    </row>
    <row r="22" spans="2:7" x14ac:dyDescent="0.2">
      <c r="C22" s="1"/>
      <c r="D22" s="1"/>
      <c r="E22" s="1"/>
      <c r="F22" s="1"/>
      <c r="G22" s="1"/>
    </row>
    <row r="23" spans="2:7" x14ac:dyDescent="0.2">
      <c r="C23" s="1"/>
      <c r="D23" s="1"/>
      <c r="E23" s="1"/>
      <c r="F23" s="1"/>
      <c r="G23" s="1"/>
    </row>
    <row r="24" spans="2:7" x14ac:dyDescent="0.2">
      <c r="C24" s="1"/>
      <c r="D24" s="1"/>
      <c r="E24" s="1"/>
      <c r="F24" s="1"/>
      <c r="G24" s="1"/>
    </row>
    <row r="25" spans="2:7" x14ac:dyDescent="0.2">
      <c r="C25" s="1"/>
      <c r="D25" s="1"/>
      <c r="E25" s="1"/>
      <c r="F25" s="1"/>
      <c r="G25" s="1"/>
    </row>
    <row r="26" spans="2:7" x14ac:dyDescent="0.2">
      <c r="C26" s="1"/>
      <c r="D26" s="1"/>
      <c r="E26" s="1"/>
      <c r="F26" s="1"/>
      <c r="G26" s="1"/>
    </row>
    <row r="27" spans="2:7" x14ac:dyDescent="0.2">
      <c r="C27" s="1"/>
      <c r="D27" s="1"/>
      <c r="E27" s="1"/>
      <c r="F27" s="1"/>
      <c r="G27" s="1"/>
    </row>
    <row r="28" spans="2:7" x14ac:dyDescent="0.2">
      <c r="C28" s="1"/>
      <c r="D28" s="1"/>
      <c r="E28" s="1"/>
      <c r="F28" s="1"/>
      <c r="G28" s="1"/>
    </row>
    <row r="29" spans="2:7" x14ac:dyDescent="0.2">
      <c r="C29" s="1"/>
      <c r="D29" s="1"/>
      <c r="E29" s="1"/>
      <c r="F29" s="1"/>
      <c r="G29" s="1"/>
    </row>
  </sheetData>
  <mergeCells count="4">
    <mergeCell ref="C3:D3"/>
    <mergeCell ref="C4:D4"/>
    <mergeCell ref="F3:G3"/>
    <mergeCell ref="F4:G4"/>
  </mergeCells>
  <phoneticPr fontId="0" type="noConversion"/>
  <pageMargins left="0.75" right="0.75" top="1" bottom="1" header="0.5" footer="0.5"/>
  <pageSetup paperSize="9" scale="95" orientation="portrait" r:id="rId1"/>
  <headerFooter alignWithMargins="0">
    <oddHeader>&amp;COppgave &amp;A</oddHeader>
    <oddFooter>&amp;CSide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4" style="23" customWidth="1"/>
    <col min="6" max="6" width="12.42578125" style="23" bestFit="1" customWidth="1"/>
    <col min="7" max="7" width="11.7109375" style="23" bestFit="1" customWidth="1"/>
    <col min="8" max="8" width="2" style="23" customWidth="1"/>
    <col min="9" max="16384" width="11.42578125" style="23"/>
  </cols>
  <sheetData>
    <row r="2" spans="2:7" x14ac:dyDescent="0.2">
      <c r="B2" s="23" t="s">
        <v>261</v>
      </c>
      <c r="C2" s="265">
        <v>1.25</v>
      </c>
      <c r="D2" s="265">
        <v>0.25</v>
      </c>
    </row>
    <row r="4" spans="2:7" x14ac:dyDescent="0.2">
      <c r="B4" s="23" t="s">
        <v>71</v>
      </c>
    </row>
    <row r="6" spans="2:7" x14ac:dyDescent="0.2">
      <c r="B6" s="22"/>
      <c r="C6" s="338" t="s">
        <v>10</v>
      </c>
      <c r="D6" s="339"/>
      <c r="E6" s="258" t="s">
        <v>262</v>
      </c>
      <c r="F6" s="338" t="s">
        <v>12</v>
      </c>
      <c r="G6" s="339"/>
    </row>
    <row r="7" spans="2:7" x14ac:dyDescent="0.2">
      <c r="B7" s="24"/>
      <c r="C7" s="340" t="s">
        <v>11</v>
      </c>
      <c r="D7" s="341"/>
      <c r="E7" s="266"/>
      <c r="F7" s="370" t="s">
        <v>13</v>
      </c>
      <c r="G7" s="371"/>
    </row>
    <row r="8" spans="2:7" x14ac:dyDescent="0.2">
      <c r="B8" s="64"/>
      <c r="C8" s="26" t="s">
        <v>14</v>
      </c>
      <c r="D8" s="27" t="s">
        <v>15</v>
      </c>
      <c r="E8" s="27"/>
      <c r="F8" s="27" t="str">
        <f>C8</f>
        <v>Kr</v>
      </c>
      <c r="G8" s="27" t="str">
        <f>D8</f>
        <v>%</v>
      </c>
    </row>
    <row r="9" spans="2:7" x14ac:dyDescent="0.2">
      <c r="B9" s="24" t="s">
        <v>0</v>
      </c>
      <c r="C9" s="267">
        <v>7650000</v>
      </c>
      <c r="D9" s="268">
        <f>C9/C9</f>
        <v>1</v>
      </c>
      <c r="E9" s="269">
        <v>0.02</v>
      </c>
      <c r="F9" s="270">
        <f>C9*(1+E9)</f>
        <v>7803000</v>
      </c>
      <c r="G9" s="268">
        <f>F9/F9</f>
        <v>1</v>
      </c>
    </row>
    <row r="10" spans="2:7" x14ac:dyDescent="0.2">
      <c r="B10" s="24"/>
      <c r="C10" s="267"/>
      <c r="D10" s="268"/>
      <c r="E10" s="269"/>
      <c r="F10" s="270"/>
      <c r="G10" s="268"/>
    </row>
    <row r="11" spans="2:7" x14ac:dyDescent="0.2">
      <c r="B11" s="28" t="s">
        <v>16</v>
      </c>
      <c r="C11" s="267">
        <v>3251000</v>
      </c>
      <c r="D11" s="268">
        <f t="shared" ref="D11:D19" si="0">C11/$C$9</f>
        <v>0.42496732026143791</v>
      </c>
      <c r="E11" s="269"/>
      <c r="F11" s="270">
        <f>INT(F9*G11)</f>
        <v>3511350</v>
      </c>
      <c r="G11" s="268">
        <v>0.45</v>
      </c>
    </row>
    <row r="12" spans="2:7" x14ac:dyDescent="0.2">
      <c r="B12" s="24" t="s">
        <v>2</v>
      </c>
      <c r="C12" s="267">
        <v>2870000</v>
      </c>
      <c r="D12" s="268">
        <f t="shared" si="0"/>
        <v>0.37516339869281046</v>
      </c>
      <c r="E12" s="269">
        <v>4.4999999999999998E-2</v>
      </c>
      <c r="F12" s="270">
        <f>INT(C12*(1+E12))</f>
        <v>2999150</v>
      </c>
      <c r="G12" s="268">
        <f t="shared" ref="G12:G19" si="1">F12/$F$9</f>
        <v>0.38435858003332052</v>
      </c>
    </row>
    <row r="13" spans="2:7" x14ac:dyDescent="0.2">
      <c r="B13" s="24" t="s">
        <v>17</v>
      </c>
      <c r="C13" s="267">
        <f>C12*0.12</f>
        <v>344400</v>
      </c>
      <c r="D13" s="268">
        <f t="shared" si="0"/>
        <v>4.5019607843137258E-2</v>
      </c>
      <c r="E13" s="269">
        <v>4.4999999999999998E-2</v>
      </c>
      <c r="F13" s="270">
        <f>INT(C13*(1+E13))</f>
        <v>359898</v>
      </c>
      <c r="G13" s="268">
        <f t="shared" si="1"/>
        <v>4.6123029603998465E-2</v>
      </c>
    </row>
    <row r="14" spans="2:7" x14ac:dyDescent="0.2">
      <c r="B14" s="24" t="s">
        <v>18</v>
      </c>
      <c r="C14" s="267">
        <f>(C12+C13)*0.141</f>
        <v>453230.39999999997</v>
      </c>
      <c r="D14" s="268">
        <f t="shared" si="0"/>
        <v>5.924580392156862E-2</v>
      </c>
      <c r="E14" s="269">
        <v>4.4999999999999998E-2</v>
      </c>
      <c r="F14" s="270">
        <f>INT(C14*(1+E14))</f>
        <v>473625</v>
      </c>
      <c r="G14" s="268">
        <f t="shared" si="1"/>
        <v>6.0697808535178775E-2</v>
      </c>
    </row>
    <row r="15" spans="2:7" x14ac:dyDescent="0.2">
      <c r="B15" s="24" t="s">
        <v>3</v>
      </c>
      <c r="C15" s="267">
        <f>15000*12</f>
        <v>180000</v>
      </c>
      <c r="D15" s="268">
        <f t="shared" si="0"/>
        <v>2.3529411764705882E-2</v>
      </c>
      <c r="E15" s="271">
        <v>-50000</v>
      </c>
      <c r="F15" s="270">
        <f>C15+(E15)</f>
        <v>130000</v>
      </c>
      <c r="G15" s="268">
        <f t="shared" si="1"/>
        <v>1.6660258874791747E-2</v>
      </c>
    </row>
    <row r="16" spans="2:7" x14ac:dyDescent="0.2">
      <c r="B16" s="24" t="s">
        <v>4</v>
      </c>
      <c r="C16" s="267">
        <v>230000</v>
      </c>
      <c r="D16" s="268">
        <f t="shared" si="0"/>
        <v>3.0065359477124184E-2</v>
      </c>
      <c r="E16" s="269">
        <v>0.02</v>
      </c>
      <c r="F16" s="270">
        <f>INT(C16*(1+E16))</f>
        <v>234600</v>
      </c>
      <c r="G16" s="268">
        <f t="shared" si="1"/>
        <v>3.0065359477124184E-2</v>
      </c>
    </row>
    <row r="17" spans="1:10" x14ac:dyDescent="0.2">
      <c r="B17" s="28" t="s">
        <v>19</v>
      </c>
      <c r="C17" s="267">
        <v>90000</v>
      </c>
      <c r="D17" s="268">
        <f t="shared" si="0"/>
        <v>1.1764705882352941E-2</v>
      </c>
      <c r="E17" s="269">
        <v>0.02</v>
      </c>
      <c r="F17" s="270">
        <f>INT(C17*(1+E17))</f>
        <v>91800</v>
      </c>
      <c r="G17" s="268">
        <f t="shared" si="1"/>
        <v>1.1764705882352941E-2</v>
      </c>
    </row>
    <row r="18" spans="1:10" x14ac:dyDescent="0.2">
      <c r="B18" s="29" t="s">
        <v>5</v>
      </c>
      <c r="C18" s="272">
        <v>200000</v>
      </c>
      <c r="D18" s="273">
        <f t="shared" si="0"/>
        <v>2.6143790849673203E-2</v>
      </c>
      <c r="E18" s="271">
        <v>20000</v>
      </c>
      <c r="F18" s="274">
        <f>C18+(E18)</f>
        <v>220000</v>
      </c>
      <c r="G18" s="273">
        <f t="shared" si="1"/>
        <v>2.819428424964757E-2</v>
      </c>
    </row>
    <row r="19" spans="1:10" x14ac:dyDescent="0.2">
      <c r="B19" s="28" t="s">
        <v>6</v>
      </c>
      <c r="C19" s="36">
        <f>SUM(C11:C18)</f>
        <v>7618630.4000000004</v>
      </c>
      <c r="D19" s="268">
        <f t="shared" si="0"/>
        <v>0.99589939869281052</v>
      </c>
      <c r="E19" s="268"/>
      <c r="F19" s="37">
        <f>SUM(F11:F18)</f>
        <v>8020423</v>
      </c>
      <c r="G19" s="268">
        <f t="shared" si="1"/>
        <v>1.0278640266564143</v>
      </c>
    </row>
    <row r="20" spans="1:10" x14ac:dyDescent="0.2">
      <c r="B20" s="29"/>
      <c r="C20" s="275"/>
      <c r="D20" s="273"/>
      <c r="E20" s="273"/>
      <c r="F20" s="274"/>
      <c r="G20" s="273"/>
    </row>
    <row r="21" spans="1:10" x14ac:dyDescent="0.2">
      <c r="B21" s="24" t="s">
        <v>7</v>
      </c>
      <c r="C21" s="276">
        <f>C9-C19</f>
        <v>31369.599999999627</v>
      </c>
      <c r="D21" s="268">
        <f>C21/$C$9</f>
        <v>4.1006013071894941E-3</v>
      </c>
      <c r="E21" s="268"/>
      <c r="F21" s="270">
        <f>F9-F19</f>
        <v>-217423</v>
      </c>
      <c r="G21" s="268">
        <f>F21/$F$9</f>
        <v>-2.7864026656414201E-2</v>
      </c>
    </row>
    <row r="22" spans="1:10" x14ac:dyDescent="0.2">
      <c r="B22" s="24"/>
      <c r="C22" s="276"/>
      <c r="D22" s="268"/>
      <c r="E22" s="268"/>
      <c r="F22" s="270"/>
      <c r="G22" s="268"/>
    </row>
    <row r="23" spans="1:10" x14ac:dyDescent="0.2">
      <c r="B23" s="24" t="s">
        <v>8</v>
      </c>
      <c r="C23" s="267">
        <v>35000</v>
      </c>
      <c r="D23" s="268">
        <f>C23/$C$9</f>
        <v>4.5751633986928107E-3</v>
      </c>
      <c r="E23" s="269">
        <v>0.05</v>
      </c>
      <c r="F23" s="270">
        <f>INT(C23*(1+E23))</f>
        <v>36750</v>
      </c>
      <c r="G23" s="268">
        <f>F23/$F$9</f>
        <v>4.7097270280661288E-3</v>
      </c>
    </row>
    <row r="24" spans="1:10" x14ac:dyDescent="0.2">
      <c r="B24" s="29"/>
      <c r="C24" s="275"/>
      <c r="D24" s="273"/>
      <c r="E24" s="273"/>
      <c r="F24" s="274"/>
      <c r="G24" s="273"/>
    </row>
    <row r="25" spans="1:10" x14ac:dyDescent="0.2">
      <c r="B25" s="29" t="s">
        <v>9</v>
      </c>
      <c r="C25" s="275">
        <f>C21-C23</f>
        <v>-3630.4000000003725</v>
      </c>
      <c r="D25" s="277">
        <f>C25/$C$9</f>
        <v>-4.7456209150331668E-4</v>
      </c>
      <c r="E25" s="273"/>
      <c r="F25" s="274">
        <f>F21-F23</f>
        <v>-254173</v>
      </c>
      <c r="G25" s="273">
        <f>F25/$F$9</f>
        <v>-3.257375368448033E-2</v>
      </c>
    </row>
    <row r="26" spans="1:10" x14ac:dyDescent="0.2">
      <c r="C26" s="278"/>
      <c r="D26" s="278"/>
      <c r="E26" s="278"/>
      <c r="F26" s="278"/>
      <c r="G26" s="278"/>
    </row>
    <row r="27" spans="1:10" x14ac:dyDescent="0.2">
      <c r="A27" s="23" t="s">
        <v>26</v>
      </c>
      <c r="C27" s="278"/>
      <c r="D27" s="278"/>
      <c r="E27" s="278"/>
      <c r="F27" s="278"/>
      <c r="G27" s="278"/>
    </row>
    <row r="28" spans="1:10" x14ac:dyDescent="0.2">
      <c r="B28" s="23" t="s">
        <v>263</v>
      </c>
      <c r="C28" s="278"/>
      <c r="D28" s="278"/>
      <c r="E28" s="278"/>
      <c r="F28" s="278"/>
      <c r="G28" s="278"/>
    </row>
    <row r="29" spans="1:10" x14ac:dyDescent="0.2">
      <c r="C29" s="278"/>
      <c r="D29" s="278"/>
      <c r="E29" s="278"/>
      <c r="F29" s="278"/>
      <c r="G29" s="278"/>
    </row>
    <row r="30" spans="1:10" x14ac:dyDescent="0.2">
      <c r="B30" s="22"/>
      <c r="C30" s="279" t="s">
        <v>20</v>
      </c>
      <c r="D30" s="279" t="s">
        <v>21</v>
      </c>
      <c r="E30" s="280" t="s">
        <v>22</v>
      </c>
      <c r="F30" s="24"/>
      <c r="J30" s="25"/>
    </row>
    <row r="31" spans="1:10" x14ac:dyDescent="0.2">
      <c r="B31" s="24" t="s">
        <v>24</v>
      </c>
      <c r="C31" s="281">
        <v>8.3299999999999999E-2</v>
      </c>
      <c r="D31" s="282">
        <v>8.3299999999999999E-2</v>
      </c>
      <c r="E31" s="283">
        <v>8.3299999999999999E-2</v>
      </c>
      <c r="F31" s="24"/>
    </row>
    <row r="32" spans="1:10" x14ac:dyDescent="0.2">
      <c r="B32" s="24" t="s">
        <v>25</v>
      </c>
      <c r="C32" s="281">
        <f>1/12</f>
        <v>8.3333333333333329E-2</v>
      </c>
      <c r="D32" s="282">
        <f>1/12</f>
        <v>8.3333333333333329E-2</v>
      </c>
      <c r="E32" s="283">
        <f>1/12</f>
        <v>8.3333333333333329E-2</v>
      </c>
      <c r="F32" s="24"/>
    </row>
    <row r="33" spans="2:6" x14ac:dyDescent="0.2">
      <c r="B33" s="24"/>
      <c r="C33" s="30"/>
      <c r="D33" s="39"/>
      <c r="E33" s="24"/>
      <c r="F33" s="29"/>
    </row>
    <row r="34" spans="2:6" x14ac:dyDescent="0.2">
      <c r="B34" s="64"/>
      <c r="C34" s="27" t="str">
        <f>C30</f>
        <v>Januar</v>
      </c>
      <c r="D34" s="43" t="str">
        <f>D30</f>
        <v>Februar</v>
      </c>
      <c r="E34" s="27" t="str">
        <f>E30</f>
        <v>Mars</v>
      </c>
      <c r="F34" s="284" t="s">
        <v>23</v>
      </c>
    </row>
    <row r="35" spans="2:6" x14ac:dyDescent="0.2">
      <c r="B35" s="24" t="s">
        <v>0</v>
      </c>
      <c r="C35" s="270">
        <f>INT($F$9*C31)</f>
        <v>649989</v>
      </c>
      <c r="D35" s="270">
        <f>INT($F$9*D31)</f>
        <v>649989</v>
      </c>
      <c r="E35" s="270">
        <f>INT($F$9*E31)</f>
        <v>649989</v>
      </c>
      <c r="F35" s="270">
        <f>SUM(C35:E35)</f>
        <v>1949967</v>
      </c>
    </row>
    <row r="36" spans="2:6" x14ac:dyDescent="0.2">
      <c r="B36" s="24"/>
      <c r="C36" s="270"/>
      <c r="D36" s="270"/>
      <c r="E36" s="270"/>
      <c r="F36" s="270"/>
    </row>
    <row r="37" spans="2:6" x14ac:dyDescent="0.2">
      <c r="B37" s="28" t="s">
        <v>16</v>
      </c>
      <c r="C37" s="270">
        <f>INT($F$11*C31)</f>
        <v>292495</v>
      </c>
      <c r="D37" s="270">
        <f>INT($F$11*D31)</f>
        <v>292495</v>
      </c>
      <c r="E37" s="270">
        <f>INT($F$11*E31)</f>
        <v>292495</v>
      </c>
      <c r="F37" s="270">
        <f t="shared" ref="F37:F45" si="2">SUM(C37:E37)</f>
        <v>877485</v>
      </c>
    </row>
    <row r="38" spans="2:6" x14ac:dyDescent="0.2">
      <c r="B38" s="24" t="s">
        <v>2</v>
      </c>
      <c r="C38" s="270">
        <f>$F$12*C32</f>
        <v>249929.16666666666</v>
      </c>
      <c r="D38" s="270">
        <f>$F$12*D32</f>
        <v>249929.16666666666</v>
      </c>
      <c r="E38" s="270">
        <f>$F$12*E32</f>
        <v>249929.16666666666</v>
      </c>
      <c r="F38" s="270">
        <f t="shared" si="2"/>
        <v>749787.5</v>
      </c>
    </row>
    <row r="39" spans="2:6" x14ac:dyDescent="0.2">
      <c r="B39" s="24" t="s">
        <v>17</v>
      </c>
      <c r="C39" s="270">
        <f>$F$13*C32</f>
        <v>29991.5</v>
      </c>
      <c r="D39" s="270">
        <f>$F$13*D32</f>
        <v>29991.5</v>
      </c>
      <c r="E39" s="270">
        <f>$F$13*E32</f>
        <v>29991.5</v>
      </c>
      <c r="F39" s="270">
        <f t="shared" si="2"/>
        <v>89974.5</v>
      </c>
    </row>
    <row r="40" spans="2:6" x14ac:dyDescent="0.2">
      <c r="B40" s="24" t="s">
        <v>18</v>
      </c>
      <c r="C40" s="270">
        <f>INT($F$14*C32)</f>
        <v>39468</v>
      </c>
      <c r="D40" s="270">
        <f>INT($F$14*D32)</f>
        <v>39468</v>
      </c>
      <c r="E40" s="270">
        <f>INT($F$14*E32)</f>
        <v>39468</v>
      </c>
      <c r="F40" s="270">
        <f t="shared" si="2"/>
        <v>118404</v>
      </c>
    </row>
    <row r="41" spans="2:6" x14ac:dyDescent="0.2">
      <c r="B41" s="24" t="s">
        <v>3</v>
      </c>
      <c r="C41" s="270">
        <f>INT($F$15*C32)</f>
        <v>10833</v>
      </c>
      <c r="D41" s="270">
        <f>INT($F$15*D32)</f>
        <v>10833</v>
      </c>
      <c r="E41" s="270">
        <f>INT($F$15*E32)</f>
        <v>10833</v>
      </c>
      <c r="F41" s="270">
        <f t="shared" si="2"/>
        <v>32499</v>
      </c>
    </row>
    <row r="42" spans="2:6" x14ac:dyDescent="0.2">
      <c r="B42" s="24" t="s">
        <v>4</v>
      </c>
      <c r="C42" s="270">
        <f>INT($F$16*C32)</f>
        <v>19550</v>
      </c>
      <c r="D42" s="270">
        <f>INT($F$16*D32)</f>
        <v>19550</v>
      </c>
      <c r="E42" s="270">
        <f>INT($F$16*E32)</f>
        <v>19550</v>
      </c>
      <c r="F42" s="270">
        <f t="shared" si="2"/>
        <v>58650</v>
      </c>
    </row>
    <row r="43" spans="2:6" x14ac:dyDescent="0.2">
      <c r="B43" s="28" t="s">
        <v>19</v>
      </c>
      <c r="C43" s="37">
        <f>$F$17*C32</f>
        <v>7650</v>
      </c>
      <c r="D43" s="37">
        <f>$F$17*D32</f>
        <v>7650</v>
      </c>
      <c r="E43" s="37">
        <f>$F$17*E32</f>
        <v>7650</v>
      </c>
      <c r="F43" s="270">
        <f t="shared" si="2"/>
        <v>22950</v>
      </c>
    </row>
    <row r="44" spans="2:6" x14ac:dyDescent="0.2">
      <c r="B44" s="29" t="s">
        <v>5</v>
      </c>
      <c r="C44" s="44">
        <f>INT($F$18*C32)</f>
        <v>18333</v>
      </c>
      <c r="D44" s="44">
        <f>INT($F$18*D32)</f>
        <v>18333</v>
      </c>
      <c r="E44" s="44">
        <f>INT($F$18*E32)</f>
        <v>18333</v>
      </c>
      <c r="F44" s="274">
        <f t="shared" si="2"/>
        <v>54999</v>
      </c>
    </row>
    <row r="45" spans="2:6" x14ac:dyDescent="0.2">
      <c r="B45" s="28" t="s">
        <v>6</v>
      </c>
      <c r="C45" s="37">
        <f>SUM(C37:C44)</f>
        <v>668249.66666666663</v>
      </c>
      <c r="D45" s="37">
        <f>SUM(D37:D44)</f>
        <v>668249.66666666663</v>
      </c>
      <c r="E45" s="37">
        <f>SUM(E37:E44)</f>
        <v>668249.66666666663</v>
      </c>
      <c r="F45" s="270">
        <f t="shared" si="2"/>
        <v>2004749</v>
      </c>
    </row>
    <row r="46" spans="2:6" x14ac:dyDescent="0.2">
      <c r="B46" s="29"/>
      <c r="C46" s="44"/>
      <c r="D46" s="44"/>
      <c r="E46" s="44"/>
      <c r="F46" s="274"/>
    </row>
    <row r="47" spans="2:6" x14ac:dyDescent="0.2">
      <c r="B47" s="24" t="s">
        <v>7</v>
      </c>
      <c r="C47" s="37">
        <f>C35-C45</f>
        <v>-18260.666666666628</v>
      </c>
      <c r="D47" s="37">
        <f>D35-D45</f>
        <v>-18260.666666666628</v>
      </c>
      <c r="E47" s="37">
        <f>E35-E45</f>
        <v>-18260.666666666628</v>
      </c>
      <c r="F47" s="270">
        <f>SUM(C47:E47)</f>
        <v>-54781.999999999884</v>
      </c>
    </row>
    <row r="48" spans="2:6" x14ac:dyDescent="0.2">
      <c r="B48" s="24"/>
      <c r="C48" s="37"/>
      <c r="D48" s="37"/>
      <c r="E48" s="37"/>
      <c r="F48" s="270"/>
    </row>
    <row r="49" spans="1:7" x14ac:dyDescent="0.2">
      <c r="B49" s="24" t="s">
        <v>8</v>
      </c>
      <c r="C49" s="37">
        <f>INT($F$23*C32)</f>
        <v>3062</v>
      </c>
      <c r="D49" s="37">
        <f>INT($F$23*D32)</f>
        <v>3062</v>
      </c>
      <c r="E49" s="37">
        <f>INT($F$23*E32)</f>
        <v>3062</v>
      </c>
      <c r="F49" s="270">
        <f>SUM(C49:E49)</f>
        <v>9186</v>
      </c>
    </row>
    <row r="50" spans="1:7" x14ac:dyDescent="0.2">
      <c r="B50" s="29"/>
      <c r="C50" s="37"/>
      <c r="D50" s="37"/>
      <c r="E50" s="37"/>
      <c r="F50" s="270"/>
    </row>
    <row r="51" spans="1:7" x14ac:dyDescent="0.2">
      <c r="B51" s="29" t="s">
        <v>9</v>
      </c>
      <c r="C51" s="45">
        <f>C47-C49</f>
        <v>-21322.666666666628</v>
      </c>
      <c r="D51" s="45">
        <f>D47-D49</f>
        <v>-21322.666666666628</v>
      </c>
      <c r="E51" s="45">
        <f>E47-E49</f>
        <v>-21322.666666666628</v>
      </c>
      <c r="F51" s="285">
        <f>SUM(C51:E51)</f>
        <v>-63967.999999999884</v>
      </c>
    </row>
    <row r="52" spans="1:7" x14ac:dyDescent="0.2">
      <c r="B52" s="25"/>
      <c r="C52" s="58"/>
      <c r="D52" s="58"/>
      <c r="E52" s="58"/>
      <c r="F52" s="58"/>
      <c r="G52" s="286"/>
    </row>
    <row r="53" spans="1:7" x14ac:dyDescent="0.2">
      <c r="B53" s="23" t="s">
        <v>184</v>
      </c>
    </row>
    <row r="55" spans="1:7" x14ac:dyDescent="0.2">
      <c r="C55" s="27" t="str">
        <f t="shared" ref="C55:F56" si="3">C34</f>
        <v>Januar</v>
      </c>
      <c r="D55" s="27" t="str">
        <f t="shared" si="3"/>
        <v>Februar</v>
      </c>
      <c r="E55" s="27" t="str">
        <f t="shared" si="3"/>
        <v>Mars</v>
      </c>
      <c r="F55" s="27" t="str">
        <f t="shared" si="3"/>
        <v>1. kvartal</v>
      </c>
    </row>
    <row r="56" spans="1:7" x14ac:dyDescent="0.2">
      <c r="A56" s="22"/>
      <c r="B56" s="38" t="s">
        <v>264</v>
      </c>
      <c r="C56" s="287">
        <f t="shared" si="3"/>
        <v>649989</v>
      </c>
      <c r="D56" s="287">
        <f t="shared" si="3"/>
        <v>649989</v>
      </c>
      <c r="E56" s="287">
        <f t="shared" si="3"/>
        <v>649989</v>
      </c>
      <c r="F56" s="287">
        <f t="shared" si="3"/>
        <v>1949967</v>
      </c>
    </row>
    <row r="57" spans="1:7" x14ac:dyDescent="0.2">
      <c r="A57" s="288" t="s">
        <v>67</v>
      </c>
      <c r="B57" s="289" t="s">
        <v>105</v>
      </c>
      <c r="C57" s="290">
        <f>INT(C56*$D$2)</f>
        <v>162497</v>
      </c>
      <c r="D57" s="290">
        <f>INT(D56*$D$2)</f>
        <v>162497</v>
      </c>
      <c r="E57" s="290">
        <f>INT(E56*$D$2)</f>
        <v>162497</v>
      </c>
      <c r="F57" s="290">
        <f>INT(F56*$D$2)</f>
        <v>487491</v>
      </c>
    </row>
    <row r="58" spans="1:7" x14ac:dyDescent="0.2">
      <c r="A58" s="291" t="s">
        <v>69</v>
      </c>
      <c r="B58" s="292" t="s">
        <v>265</v>
      </c>
      <c r="C58" s="287">
        <f>SUM(C56:C57)</f>
        <v>812486</v>
      </c>
      <c r="D58" s="287">
        <f>SUM(D56:D57)</f>
        <v>812486</v>
      </c>
      <c r="E58" s="287">
        <f>SUM(E56:E57)</f>
        <v>812486</v>
      </c>
      <c r="F58" s="287">
        <f>SUM(F56:F57)</f>
        <v>2437458</v>
      </c>
    </row>
    <row r="59" spans="1:7" ht="18" customHeight="1" x14ac:dyDescent="0.2">
      <c r="A59" s="24"/>
      <c r="B59" s="292" t="s">
        <v>266</v>
      </c>
      <c r="C59" s="287">
        <f>INT(C58*0.2)</f>
        <v>162497</v>
      </c>
      <c r="D59" s="287">
        <f>INT(D58*0.2)</f>
        <v>162497</v>
      </c>
      <c r="E59" s="287">
        <f>INT(E58*0.2)</f>
        <v>162497</v>
      </c>
      <c r="F59" s="287">
        <f>INT(F58*0.2)</f>
        <v>487491</v>
      </c>
    </row>
    <row r="60" spans="1:7" ht="18" customHeight="1" x14ac:dyDescent="0.2">
      <c r="A60" s="29"/>
      <c r="B60" s="293" t="s">
        <v>267</v>
      </c>
      <c r="C60" s="290">
        <f>INT(C58*0.8)</f>
        <v>649988</v>
      </c>
      <c r="D60" s="290">
        <f>INT(D58*0.8)</f>
        <v>649988</v>
      </c>
      <c r="E60" s="290">
        <f>INT(E58*0.8)</f>
        <v>649988</v>
      </c>
      <c r="F60" s="290">
        <f>INT(F58*0.8)</f>
        <v>1949966</v>
      </c>
    </row>
    <row r="61" spans="1:7" ht="18" customHeight="1" x14ac:dyDescent="0.2">
      <c r="A61" s="25"/>
      <c r="B61" s="294"/>
      <c r="C61" s="295"/>
      <c r="D61" s="295"/>
      <c r="E61" s="295"/>
      <c r="F61" s="295"/>
    </row>
    <row r="62" spans="1:7" ht="18" customHeight="1" x14ac:dyDescent="0.2">
      <c r="A62" s="25"/>
      <c r="B62" s="296" t="s">
        <v>185</v>
      </c>
      <c r="C62" s="295"/>
      <c r="D62" s="295"/>
      <c r="E62" s="295"/>
      <c r="F62" s="295"/>
    </row>
    <row r="64" spans="1:7" x14ac:dyDescent="0.2">
      <c r="C64" s="67" t="s">
        <v>157</v>
      </c>
      <c r="D64" s="338" t="s">
        <v>115</v>
      </c>
      <c r="E64" s="372"/>
      <c r="F64" s="372"/>
      <c r="G64" s="339"/>
    </row>
    <row r="65" spans="1:7" x14ac:dyDescent="0.2">
      <c r="C65" s="68" t="s">
        <v>268</v>
      </c>
      <c r="D65" s="27" t="s">
        <v>20</v>
      </c>
      <c r="E65" s="27" t="s">
        <v>21</v>
      </c>
      <c r="F65" s="27" t="s">
        <v>22</v>
      </c>
      <c r="G65" s="27" t="s">
        <v>269</v>
      </c>
    </row>
    <row r="66" spans="1:7" x14ac:dyDescent="0.2">
      <c r="B66" s="23" t="s">
        <v>270</v>
      </c>
      <c r="C66" s="297">
        <v>690000</v>
      </c>
      <c r="D66" s="37">
        <f>C66</f>
        <v>690000</v>
      </c>
      <c r="E66" s="37"/>
      <c r="F66" s="37"/>
      <c r="G66" s="37">
        <f>SUM(D66:F66)</f>
        <v>690000</v>
      </c>
    </row>
    <row r="67" spans="1:7" x14ac:dyDescent="0.2">
      <c r="B67" s="23" t="s">
        <v>271</v>
      </c>
      <c r="C67" s="37">
        <f>C60</f>
        <v>649988</v>
      </c>
      <c r="D67" s="37"/>
      <c r="E67" s="37">
        <f>C67</f>
        <v>649988</v>
      </c>
      <c r="F67" s="37"/>
      <c r="G67" s="37">
        <f>SUM(D67:F67)</f>
        <v>649988</v>
      </c>
    </row>
    <row r="68" spans="1:7" x14ac:dyDescent="0.2">
      <c r="B68" s="23" t="s">
        <v>272</v>
      </c>
      <c r="C68" s="37">
        <f>D60</f>
        <v>649988</v>
      </c>
      <c r="D68" s="37"/>
      <c r="E68" s="37"/>
      <c r="F68" s="37">
        <f>C68</f>
        <v>649988</v>
      </c>
      <c r="G68" s="37">
        <f>SUM(D68:F68)</f>
        <v>649988</v>
      </c>
    </row>
    <row r="69" spans="1:7" x14ac:dyDescent="0.2">
      <c r="B69" s="23" t="s">
        <v>273</v>
      </c>
      <c r="C69" s="44">
        <f>E60</f>
        <v>649988</v>
      </c>
      <c r="D69" s="44"/>
      <c r="E69" s="44"/>
      <c r="F69" s="44"/>
      <c r="G69" s="44"/>
    </row>
    <row r="70" spans="1:7" x14ac:dyDescent="0.2">
      <c r="B70" s="23" t="s">
        <v>274</v>
      </c>
      <c r="C70" s="53"/>
      <c r="D70" s="37">
        <f>SUM(D66:D69)</f>
        <v>690000</v>
      </c>
      <c r="E70" s="37">
        <f>SUM(E66:E69)</f>
        <v>649988</v>
      </c>
      <c r="F70" s="37">
        <f>SUM(F66:F69)</f>
        <v>649988</v>
      </c>
      <c r="G70" s="37">
        <f>SUM(G66:G69)</f>
        <v>1989976</v>
      </c>
    </row>
    <row r="71" spans="1:7" x14ac:dyDescent="0.2">
      <c r="B71" s="23" t="s">
        <v>275</v>
      </c>
      <c r="C71" s="53"/>
      <c r="D71" s="44">
        <f>C59</f>
        <v>162497</v>
      </c>
      <c r="E71" s="44">
        <f>D59</f>
        <v>162497</v>
      </c>
      <c r="F71" s="44">
        <f>E59</f>
        <v>162497</v>
      </c>
      <c r="G71" s="44">
        <f>SUM(D71:F71)</f>
        <v>487491</v>
      </c>
    </row>
    <row r="72" spans="1:7" x14ac:dyDescent="0.2">
      <c r="B72" s="23" t="s">
        <v>257</v>
      </c>
      <c r="C72" s="53"/>
      <c r="D72" s="44">
        <f>SUM(D70:D71)</f>
        <v>852497</v>
      </c>
      <c r="E72" s="44">
        <f>SUM(E70:E71)</f>
        <v>812485</v>
      </c>
      <c r="F72" s="44">
        <f>SUM(F70:F71)</f>
        <v>812485</v>
      </c>
      <c r="G72" s="44">
        <f>SUM(G70:G71)</f>
        <v>2477467</v>
      </c>
    </row>
    <row r="74" spans="1:7" x14ac:dyDescent="0.2">
      <c r="B74" s="23" t="s">
        <v>276</v>
      </c>
    </row>
    <row r="76" spans="1:7" x14ac:dyDescent="0.2">
      <c r="C76" s="27" t="s">
        <v>20</v>
      </c>
      <c r="D76" s="27" t="s">
        <v>21</v>
      </c>
      <c r="E76" s="27" t="s">
        <v>22</v>
      </c>
      <c r="F76" s="27" t="s">
        <v>23</v>
      </c>
    </row>
    <row r="77" spans="1:7" x14ac:dyDescent="0.2">
      <c r="A77" s="298"/>
      <c r="B77" s="38" t="s">
        <v>16</v>
      </c>
      <c r="C77" s="287">
        <f>C37</f>
        <v>292495</v>
      </c>
      <c r="D77" s="287">
        <f>D37</f>
        <v>292495</v>
      </c>
      <c r="E77" s="287">
        <f>E37</f>
        <v>292495</v>
      </c>
      <c r="F77" s="287">
        <f>SUM(C77:E77)</f>
        <v>877485</v>
      </c>
    </row>
    <row r="78" spans="1:7" x14ac:dyDescent="0.2">
      <c r="A78" s="299" t="s">
        <v>67</v>
      </c>
      <c r="B78" s="300" t="s">
        <v>277</v>
      </c>
      <c r="C78" s="301">
        <v>25000</v>
      </c>
      <c r="D78" s="301">
        <v>25000</v>
      </c>
      <c r="E78" s="301">
        <v>0</v>
      </c>
      <c r="F78" s="290">
        <f>SUM(C78:E78)</f>
        <v>50000</v>
      </c>
    </row>
    <row r="79" spans="1:7" x14ac:dyDescent="0.2">
      <c r="A79" s="298" t="s">
        <v>69</v>
      </c>
      <c r="B79" s="296" t="s">
        <v>278</v>
      </c>
      <c r="C79" s="302">
        <f>C77+C78</f>
        <v>317495</v>
      </c>
      <c r="D79" s="302">
        <f>D77+D78</f>
        <v>317495</v>
      </c>
      <c r="E79" s="302">
        <f>E77+E78</f>
        <v>292495</v>
      </c>
      <c r="F79" s="302">
        <f>SUM(C79:E79)</f>
        <v>927485</v>
      </c>
    </row>
    <row r="80" spans="1:7" x14ac:dyDescent="0.2">
      <c r="A80" s="298" t="s">
        <v>67</v>
      </c>
      <c r="B80" s="23" t="s">
        <v>279</v>
      </c>
      <c r="C80" s="37">
        <f>INT(C79*$D$2)</f>
        <v>79373</v>
      </c>
      <c r="D80" s="37">
        <f>INT(D79*$D$2)</f>
        <v>79373</v>
      </c>
      <c r="E80" s="37">
        <f>INT(E79*$D$2)</f>
        <v>73123</v>
      </c>
      <c r="F80" s="37">
        <f>SUM(C80:E80)</f>
        <v>231869</v>
      </c>
    </row>
    <row r="81" spans="1:7" x14ac:dyDescent="0.2">
      <c r="A81" s="298" t="s">
        <v>69</v>
      </c>
      <c r="B81" s="48" t="s">
        <v>173</v>
      </c>
      <c r="C81" s="45">
        <f>SUM(C79:C80)</f>
        <v>396868</v>
      </c>
      <c r="D81" s="45">
        <f>SUM(D79:D80)</f>
        <v>396868</v>
      </c>
      <c r="E81" s="45">
        <f>SUM(E79:E80)</f>
        <v>365618</v>
      </c>
      <c r="F81" s="45">
        <f>SUM(C81:E81)</f>
        <v>1159354</v>
      </c>
    </row>
    <row r="82" spans="1:7" x14ac:dyDescent="0.2">
      <c r="A82" s="298"/>
      <c r="B82" s="25"/>
      <c r="C82" s="58"/>
      <c r="D82" s="58"/>
      <c r="E82" s="58"/>
      <c r="F82" s="58"/>
    </row>
    <row r="83" spans="1:7" x14ac:dyDescent="0.2">
      <c r="A83" s="298"/>
      <c r="B83" s="25" t="s">
        <v>280</v>
      </c>
      <c r="C83" s="58"/>
      <c r="D83" s="58"/>
      <c r="E83" s="58"/>
      <c r="F83" s="58"/>
    </row>
    <row r="84" spans="1:7" x14ac:dyDescent="0.2">
      <c r="A84" s="298"/>
      <c r="B84" s="25"/>
      <c r="C84" s="58"/>
      <c r="D84" s="58"/>
      <c r="E84" s="58"/>
      <c r="F84" s="58"/>
    </row>
    <row r="85" spans="1:7" x14ac:dyDescent="0.2">
      <c r="C85" s="67" t="s">
        <v>172</v>
      </c>
      <c r="D85" s="338" t="s">
        <v>281</v>
      </c>
      <c r="E85" s="372"/>
      <c r="F85" s="372"/>
      <c r="G85" s="339"/>
    </row>
    <row r="86" spans="1:7" x14ac:dyDescent="0.2">
      <c r="C86" s="68" t="s">
        <v>268</v>
      </c>
      <c r="D86" s="27" t="s">
        <v>20</v>
      </c>
      <c r="E86" s="27" t="s">
        <v>21</v>
      </c>
      <c r="F86" s="27" t="s">
        <v>22</v>
      </c>
      <c r="G86" s="27" t="s">
        <v>269</v>
      </c>
    </row>
    <row r="87" spans="1:7" x14ac:dyDescent="0.2">
      <c r="B87" s="23" t="s">
        <v>282</v>
      </c>
      <c r="C87" s="297">
        <f>SUM(D87:E87)</f>
        <v>480000</v>
      </c>
      <c r="D87" s="303">
        <v>310000</v>
      </c>
      <c r="E87" s="303">
        <v>170000</v>
      </c>
      <c r="F87" s="37"/>
      <c r="G87" s="37">
        <f>SUM(D87:F87)</f>
        <v>480000</v>
      </c>
    </row>
    <row r="88" spans="1:7" x14ac:dyDescent="0.2">
      <c r="B88" s="47" t="s">
        <v>283</v>
      </c>
      <c r="C88" s="37">
        <f>C81</f>
        <v>396868</v>
      </c>
      <c r="D88" s="37"/>
      <c r="E88" s="37">
        <f>INT(C88/2)</f>
        <v>198434</v>
      </c>
      <c r="F88" s="37">
        <f>E88</f>
        <v>198434</v>
      </c>
      <c r="G88" s="37">
        <f>SUM(D88:F88)</f>
        <v>396868</v>
      </c>
    </row>
    <row r="89" spans="1:7" x14ac:dyDescent="0.2">
      <c r="B89" s="47" t="s">
        <v>284</v>
      </c>
      <c r="C89" s="37">
        <f>D81</f>
        <v>396868</v>
      </c>
      <c r="D89" s="37"/>
      <c r="E89" s="37"/>
      <c r="F89" s="37">
        <f>INT(C89/2)</f>
        <v>198434</v>
      </c>
      <c r="G89" s="37">
        <f>SUM(D89:F89)</f>
        <v>198434</v>
      </c>
    </row>
    <row r="90" spans="1:7" x14ac:dyDescent="0.2">
      <c r="B90" s="47" t="s">
        <v>285</v>
      </c>
      <c r="C90" s="44">
        <f>E81</f>
        <v>365618</v>
      </c>
      <c r="D90" s="44"/>
      <c r="E90" s="44"/>
      <c r="F90" s="44"/>
      <c r="G90" s="44"/>
    </row>
    <row r="91" spans="1:7" x14ac:dyDescent="0.2">
      <c r="B91" s="51" t="s">
        <v>286</v>
      </c>
      <c r="C91" s="53"/>
      <c r="D91" s="45">
        <f>SUM(D87:D90)</f>
        <v>310000</v>
      </c>
      <c r="E91" s="45">
        <f>SUM(E87:E90)</f>
        <v>368434</v>
      </c>
      <c r="F91" s="45">
        <f>SUM(F87:F90)</f>
        <v>396868</v>
      </c>
      <c r="G91" s="45">
        <f>SUM(G87:G90)</f>
        <v>1075302</v>
      </c>
    </row>
    <row r="93" spans="1:7" x14ac:dyDescent="0.2">
      <c r="B93" s="23" t="s">
        <v>206</v>
      </c>
    </row>
    <row r="95" spans="1:7" x14ac:dyDescent="0.2">
      <c r="B95" s="304"/>
      <c r="C95" s="305" t="str">
        <f>D86</f>
        <v>Januar</v>
      </c>
      <c r="D95" s="305" t="str">
        <f>E86</f>
        <v>Februar</v>
      </c>
      <c r="E95" s="305" t="str">
        <f>F86</f>
        <v>Mars</v>
      </c>
      <c r="F95" s="305" t="s">
        <v>153</v>
      </c>
    </row>
    <row r="96" spans="1:7" x14ac:dyDescent="0.2">
      <c r="B96" s="306" t="s">
        <v>194</v>
      </c>
      <c r="C96" s="307"/>
      <c r="D96" s="307"/>
      <c r="E96" s="307"/>
      <c r="F96" s="308"/>
    </row>
    <row r="97" spans="2:6" x14ac:dyDescent="0.2">
      <c r="B97" s="309" t="s">
        <v>195</v>
      </c>
      <c r="C97" s="310">
        <f>D72</f>
        <v>852497</v>
      </c>
      <c r="D97" s="310">
        <f>E72</f>
        <v>812485</v>
      </c>
      <c r="E97" s="310">
        <f>F72</f>
        <v>812485</v>
      </c>
      <c r="F97" s="311">
        <f>SUM(C97:E97)</f>
        <v>2477467</v>
      </c>
    </row>
    <row r="98" spans="2:6" x14ac:dyDescent="0.2">
      <c r="B98" s="113" t="s">
        <v>287</v>
      </c>
      <c r="C98" s="312">
        <v>0</v>
      </c>
      <c r="D98" s="313"/>
      <c r="E98" s="313"/>
      <c r="F98" s="311">
        <f>SUM(C98:E98)</f>
        <v>0</v>
      </c>
    </row>
    <row r="99" spans="2:6" s="316" customFormat="1" x14ac:dyDescent="0.2">
      <c r="B99" s="314" t="s">
        <v>257</v>
      </c>
      <c r="C99" s="315">
        <f>SUM(C97:C98)</f>
        <v>852497</v>
      </c>
      <c r="D99" s="315">
        <f>SUM(D97:D98)</f>
        <v>812485</v>
      </c>
      <c r="E99" s="315">
        <f>SUM(E97:E98)</f>
        <v>812485</v>
      </c>
      <c r="F99" s="315">
        <f>SUM(F97:F98)</f>
        <v>2477467</v>
      </c>
    </row>
    <row r="100" spans="2:6" x14ac:dyDescent="0.2">
      <c r="B100" s="306" t="s">
        <v>196</v>
      </c>
      <c r="C100" s="317"/>
      <c r="D100" s="311"/>
      <c r="E100" s="311"/>
      <c r="F100" s="311"/>
    </row>
    <row r="101" spans="2:6" x14ac:dyDescent="0.2">
      <c r="B101" s="309" t="s">
        <v>197</v>
      </c>
      <c r="C101" s="317">
        <f>D91</f>
        <v>310000</v>
      </c>
      <c r="D101" s="311">
        <f>E91</f>
        <v>368434</v>
      </c>
      <c r="E101" s="311">
        <f>F91</f>
        <v>396868</v>
      </c>
      <c r="F101" s="311">
        <f t="shared" ref="F101:F110" si="4">SUM(C101:E101)</f>
        <v>1075302</v>
      </c>
    </row>
    <row r="102" spans="2:6" x14ac:dyDescent="0.2">
      <c r="B102" s="309" t="s">
        <v>2</v>
      </c>
      <c r="C102" s="317">
        <f>INT(C38)</f>
        <v>249929</v>
      </c>
      <c r="D102" s="317">
        <f>INT(D38)</f>
        <v>249929</v>
      </c>
      <c r="E102" s="317">
        <f>INT(E38)</f>
        <v>249929</v>
      </c>
      <c r="F102" s="311">
        <f t="shared" si="4"/>
        <v>749787</v>
      </c>
    </row>
    <row r="103" spans="2:6" x14ac:dyDescent="0.2">
      <c r="B103" s="309" t="s">
        <v>18</v>
      </c>
      <c r="C103" s="318">
        <v>62000</v>
      </c>
      <c r="D103" s="311"/>
      <c r="E103" s="311">
        <f>(C38+D38)*0.141</f>
        <v>70480.024999999994</v>
      </c>
      <c r="F103" s="311">
        <f t="shared" si="4"/>
        <v>132480.02499999999</v>
      </c>
    </row>
    <row r="104" spans="2:6" x14ac:dyDescent="0.2">
      <c r="B104" s="309" t="s">
        <v>3</v>
      </c>
      <c r="C104" s="317">
        <f>C41</f>
        <v>10833</v>
      </c>
      <c r="D104" s="311">
        <f>D41</f>
        <v>10833</v>
      </c>
      <c r="E104" s="311">
        <f>E41</f>
        <v>10833</v>
      </c>
      <c r="F104" s="311">
        <f t="shared" si="4"/>
        <v>32499</v>
      </c>
    </row>
    <row r="105" spans="2:6" x14ac:dyDescent="0.2">
      <c r="B105" s="309" t="s">
        <v>198</v>
      </c>
      <c r="C105" s="317">
        <f t="shared" ref="C105:E106" si="5">INT(C42*$C$2)</f>
        <v>24437</v>
      </c>
      <c r="D105" s="311">
        <f t="shared" si="5"/>
        <v>24437</v>
      </c>
      <c r="E105" s="311">
        <f t="shared" si="5"/>
        <v>24437</v>
      </c>
      <c r="F105" s="311">
        <f t="shared" si="4"/>
        <v>73311</v>
      </c>
    </row>
    <row r="106" spans="2:6" x14ac:dyDescent="0.2">
      <c r="B106" s="309" t="s">
        <v>19</v>
      </c>
      <c r="C106" s="317">
        <f t="shared" si="5"/>
        <v>9562</v>
      </c>
      <c r="D106" s="311">
        <f t="shared" si="5"/>
        <v>9562</v>
      </c>
      <c r="E106" s="311">
        <f t="shared" si="5"/>
        <v>9562</v>
      </c>
      <c r="F106" s="311">
        <f t="shared" si="4"/>
        <v>28686</v>
      </c>
    </row>
    <row r="107" spans="2:6" x14ac:dyDescent="0.2">
      <c r="B107" s="309" t="s">
        <v>199</v>
      </c>
      <c r="C107" s="318"/>
      <c r="D107" s="319">
        <v>60000</v>
      </c>
      <c r="E107" s="319"/>
      <c r="F107" s="311">
        <f t="shared" si="4"/>
        <v>60000</v>
      </c>
    </row>
    <row r="108" spans="2:6" x14ac:dyDescent="0.2">
      <c r="B108" s="113" t="s">
        <v>200</v>
      </c>
      <c r="C108" s="318"/>
      <c r="D108" s="319">
        <v>45000</v>
      </c>
      <c r="E108" s="319"/>
      <c r="F108" s="311">
        <f t="shared" si="4"/>
        <v>45000</v>
      </c>
    </row>
    <row r="109" spans="2:6" x14ac:dyDescent="0.2">
      <c r="B109" s="320" t="s">
        <v>230</v>
      </c>
      <c r="C109" s="318">
        <v>250000</v>
      </c>
      <c r="D109" s="319">
        <v>50000</v>
      </c>
      <c r="E109" s="319">
        <v>50000</v>
      </c>
      <c r="F109" s="311">
        <f t="shared" si="4"/>
        <v>350000</v>
      </c>
    </row>
    <row r="110" spans="2:6" s="316" customFormat="1" x14ac:dyDescent="0.2">
      <c r="B110" s="321" t="s">
        <v>286</v>
      </c>
      <c r="C110" s="315">
        <f>SUM(C101:C109)</f>
        <v>916761</v>
      </c>
      <c r="D110" s="315">
        <f>SUM(D101:D109)</f>
        <v>818195</v>
      </c>
      <c r="E110" s="315">
        <f>SUM(E101:E109)</f>
        <v>812109.02500000002</v>
      </c>
      <c r="F110" s="315">
        <f t="shared" si="4"/>
        <v>2547065.0249999999</v>
      </c>
    </row>
    <row r="111" spans="2:6" x14ac:dyDescent="0.2">
      <c r="B111" s="264"/>
      <c r="C111" s="311"/>
      <c r="D111" s="311"/>
      <c r="E111" s="311"/>
      <c r="F111" s="311"/>
    </row>
    <row r="112" spans="2:6" x14ac:dyDescent="0.2">
      <c r="B112" s="264" t="s">
        <v>201</v>
      </c>
      <c r="C112" s="311">
        <f>C99-C110</f>
        <v>-64264</v>
      </c>
      <c r="D112" s="311">
        <f>D99-D110</f>
        <v>-5710</v>
      </c>
      <c r="E112" s="311">
        <f>E99-E110</f>
        <v>375.97499999997672</v>
      </c>
      <c r="F112" s="311">
        <f>F99-F110</f>
        <v>-69598.024999999907</v>
      </c>
    </row>
    <row r="113" spans="2:6" x14ac:dyDescent="0.2">
      <c r="B113" s="264"/>
      <c r="C113" s="311"/>
      <c r="D113" s="311"/>
      <c r="E113" s="311"/>
      <c r="F113" s="311"/>
    </row>
    <row r="114" spans="2:6" x14ac:dyDescent="0.2">
      <c r="B114" s="264" t="s">
        <v>202</v>
      </c>
      <c r="C114" s="319">
        <v>150000</v>
      </c>
      <c r="D114" s="311">
        <f>C115</f>
        <v>85736</v>
      </c>
      <c r="E114" s="311">
        <f>D115</f>
        <v>80026</v>
      </c>
      <c r="F114" s="311">
        <f>C114</f>
        <v>150000</v>
      </c>
    </row>
    <row r="115" spans="2:6" x14ac:dyDescent="0.2">
      <c r="B115" s="322" t="s">
        <v>203</v>
      </c>
      <c r="C115" s="323">
        <f>C114+C112</f>
        <v>85736</v>
      </c>
      <c r="D115" s="323">
        <f>D114+D112</f>
        <v>80026</v>
      </c>
      <c r="E115" s="324">
        <f>E114+E112</f>
        <v>80401.974999999977</v>
      </c>
      <c r="F115" s="324">
        <f>SUM(F112:F114)</f>
        <v>80401.975000000093</v>
      </c>
    </row>
    <row r="116" spans="2:6" x14ac:dyDescent="0.2">
      <c r="B116" s="99"/>
      <c r="C116" s="325"/>
      <c r="D116" s="325"/>
      <c r="E116" s="325"/>
      <c r="F116" s="325"/>
    </row>
    <row r="117" spans="2:6" x14ac:dyDescent="0.2">
      <c r="C117" s="27" t="str">
        <f>C95</f>
        <v>Januar</v>
      </c>
      <c r="D117" s="27" t="str">
        <f>D95</f>
        <v>Februar</v>
      </c>
      <c r="E117" s="27" t="str">
        <f>E95</f>
        <v>Mars</v>
      </c>
      <c r="F117" s="325"/>
    </row>
    <row r="118" spans="2:6" x14ac:dyDescent="0.2">
      <c r="B118" s="326" t="s">
        <v>288</v>
      </c>
      <c r="C118" s="327">
        <f>C58</f>
        <v>812486</v>
      </c>
      <c r="D118" s="327">
        <f>D58</f>
        <v>812486</v>
      </c>
      <c r="E118" s="327">
        <f>E58</f>
        <v>812486</v>
      </c>
      <c r="F118" s="325"/>
    </row>
    <row r="119" spans="2:6" x14ac:dyDescent="0.2">
      <c r="B119" s="37" t="str">
        <f>B115</f>
        <v>Likviditetsreserve UB</v>
      </c>
      <c r="C119" s="327">
        <f>C115</f>
        <v>85736</v>
      </c>
      <c r="D119" s="327">
        <f>D115</f>
        <v>80026</v>
      </c>
      <c r="E119" s="327">
        <f>E115</f>
        <v>80401.974999999977</v>
      </c>
      <c r="F119" s="325"/>
    </row>
    <row r="120" spans="2:6" x14ac:dyDescent="0.2">
      <c r="B120" s="30"/>
      <c r="C120" s="30"/>
      <c r="D120" s="30"/>
      <c r="E120" s="30"/>
    </row>
    <row r="121" spans="2:6" x14ac:dyDescent="0.2">
      <c r="B121" s="113" t="s">
        <v>204</v>
      </c>
      <c r="C121" s="328">
        <v>0.1</v>
      </c>
      <c r="D121" s="328">
        <v>0.1</v>
      </c>
      <c r="E121" s="328">
        <v>0.1</v>
      </c>
    </row>
    <row r="122" spans="2:6" x14ac:dyDescent="0.2">
      <c r="B122" s="329" t="s">
        <v>205</v>
      </c>
      <c r="C122" s="330">
        <f>C115/C118</f>
        <v>0.10552304901253683</v>
      </c>
      <c r="D122" s="330">
        <f>D115/D118</f>
        <v>9.8495235610213588E-2</v>
      </c>
      <c r="E122" s="330">
        <f>E115/E118</f>
        <v>9.8957982045229057E-2</v>
      </c>
    </row>
  </sheetData>
  <mergeCells count="6">
    <mergeCell ref="D85:G85"/>
    <mergeCell ref="C6:D6"/>
    <mergeCell ref="F6:G6"/>
    <mergeCell ref="C7:D7"/>
    <mergeCell ref="F7:G7"/>
    <mergeCell ref="D64:G64"/>
  </mergeCells>
  <pageMargins left="0.75" right="0.75" top="1" bottom="1" header="0.5" footer="0.5"/>
  <pageSetup paperSize="9" scale="95" fitToHeight="0" orientation="portrait" r:id="rId1"/>
  <headerFooter alignWithMargins="0">
    <oddHeader>&amp;COppgave 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4"/>
  <sheetViews>
    <sheetView zoomScaleNormal="100" workbookViewId="0"/>
  </sheetViews>
  <sheetFormatPr baseColWidth="10" defaultRowHeight="12.75" x14ac:dyDescent="0.2"/>
  <cols>
    <col min="1" max="1" width="19.85546875" style="196" customWidth="1"/>
    <col min="2" max="6" width="12.7109375" style="196" customWidth="1"/>
    <col min="7" max="16384" width="11.42578125" style="196"/>
  </cols>
  <sheetData>
    <row r="2" spans="1:6" x14ac:dyDescent="0.2">
      <c r="A2" s="196" t="s">
        <v>192</v>
      </c>
      <c r="B2" s="223">
        <v>0.25</v>
      </c>
    </row>
    <row r="4" spans="1:6" x14ac:dyDescent="0.2">
      <c r="A4" s="199"/>
      <c r="B4" s="208"/>
      <c r="C4" s="216" t="s">
        <v>188</v>
      </c>
      <c r="D4" s="216" t="s">
        <v>189</v>
      </c>
      <c r="E4" s="216" t="s">
        <v>190</v>
      </c>
      <c r="F4" s="216" t="s">
        <v>153</v>
      </c>
    </row>
    <row r="5" spans="1:6" x14ac:dyDescent="0.2">
      <c r="A5" s="147" t="s">
        <v>169</v>
      </c>
      <c r="C5" s="213">
        <v>320000</v>
      </c>
      <c r="D5" s="213">
        <v>370000</v>
      </c>
      <c r="E5" s="213">
        <v>390000</v>
      </c>
      <c r="F5" s="213">
        <f>SUM(C5:E5)</f>
        <v>1080000</v>
      </c>
    </row>
    <row r="6" spans="1:6" x14ac:dyDescent="0.2">
      <c r="A6" s="147" t="s">
        <v>154</v>
      </c>
      <c r="B6" s="195">
        <v>0.25</v>
      </c>
      <c r="C6" s="214">
        <f>C5*$B$2</f>
        <v>80000</v>
      </c>
      <c r="D6" s="214">
        <f>D5*$B$2</f>
        <v>92500</v>
      </c>
      <c r="E6" s="214">
        <f>E5*$B$2</f>
        <v>97500</v>
      </c>
      <c r="F6" s="214">
        <f>SUM(C6:E6)</f>
        <v>270000</v>
      </c>
    </row>
    <row r="7" spans="1:6" x14ac:dyDescent="0.2">
      <c r="A7" s="147" t="s">
        <v>155</v>
      </c>
      <c r="B7" s="195"/>
      <c r="C7" s="213">
        <f>SUM(C5:C6)</f>
        <v>400000</v>
      </c>
      <c r="D7" s="213">
        <f>SUM(D5:D6)</f>
        <v>462500</v>
      </c>
      <c r="E7" s="213">
        <f>SUM(E5:E6)</f>
        <v>487500</v>
      </c>
      <c r="F7" s="213">
        <f>SUM(C7:E7)</f>
        <v>1350000</v>
      </c>
    </row>
    <row r="8" spans="1:6" x14ac:dyDescent="0.2">
      <c r="A8" s="199" t="s">
        <v>156</v>
      </c>
      <c r="B8" s="209">
        <v>0.5</v>
      </c>
      <c r="C8" s="214">
        <f>C7*$B$8</f>
        <v>200000</v>
      </c>
      <c r="D8" s="214">
        <f>D7*$B$8</f>
        <v>231250</v>
      </c>
      <c r="E8" s="214">
        <f>E7*$B$8</f>
        <v>243750</v>
      </c>
      <c r="F8" s="214">
        <f>SUM(C8:E8)</f>
        <v>675000</v>
      </c>
    </row>
    <row r="9" spans="1:6" x14ac:dyDescent="0.2">
      <c r="A9" s="199" t="s">
        <v>157</v>
      </c>
      <c r="B9" s="209">
        <v>0.5</v>
      </c>
      <c r="C9" s="214">
        <f>C7-C8</f>
        <v>200000</v>
      </c>
      <c r="D9" s="214">
        <f>D7-D8</f>
        <v>231250</v>
      </c>
      <c r="E9" s="214">
        <f>E7-E8</f>
        <v>243750</v>
      </c>
      <c r="F9" s="214">
        <f>SUM(C9:E9)</f>
        <v>675000</v>
      </c>
    </row>
    <row r="12" spans="1:6" x14ac:dyDescent="0.2">
      <c r="A12" s="355" t="s">
        <v>185</v>
      </c>
      <c r="B12" s="356"/>
      <c r="C12" s="356"/>
      <c r="D12" s="356"/>
      <c r="E12" s="356"/>
      <c r="F12" s="356"/>
    </row>
    <row r="13" spans="1:6" x14ac:dyDescent="0.2">
      <c r="A13" s="200"/>
      <c r="B13" s="351" t="s">
        <v>158</v>
      </c>
      <c r="C13" s="357" t="s">
        <v>159</v>
      </c>
      <c r="D13" s="353"/>
      <c r="E13" s="353"/>
      <c r="F13" s="354"/>
    </row>
    <row r="14" spans="1:6" x14ac:dyDescent="0.2">
      <c r="A14" s="210"/>
      <c r="B14" s="352"/>
      <c r="C14" s="216" t="s">
        <v>188</v>
      </c>
      <c r="D14" s="216" t="s">
        <v>189</v>
      </c>
      <c r="E14" s="216" t="s">
        <v>190</v>
      </c>
      <c r="F14" s="216" t="s">
        <v>153</v>
      </c>
    </row>
    <row r="15" spans="1:6" x14ac:dyDescent="0.2">
      <c r="A15" s="224" t="s">
        <v>193</v>
      </c>
      <c r="B15" s="202">
        <f>300000/2*(1+B2)</f>
        <v>187500</v>
      </c>
      <c r="C15" s="119">
        <f>B15</f>
        <v>187500</v>
      </c>
      <c r="D15" s="119"/>
      <c r="E15" s="119"/>
      <c r="F15" s="119">
        <f t="shared" ref="F15:F20" si="0">SUM(C15:E15)</f>
        <v>187500</v>
      </c>
    </row>
    <row r="16" spans="1:6" x14ac:dyDescent="0.2">
      <c r="A16" s="196" t="s">
        <v>188</v>
      </c>
      <c r="B16" s="202">
        <f>C9</f>
        <v>200000</v>
      </c>
      <c r="C16" s="119"/>
      <c r="D16" s="119">
        <f>B16</f>
        <v>200000</v>
      </c>
      <c r="E16" s="119"/>
      <c r="F16" s="119">
        <f t="shared" si="0"/>
        <v>200000</v>
      </c>
    </row>
    <row r="17" spans="1:6" x14ac:dyDescent="0.2">
      <c r="A17" s="196" t="s">
        <v>189</v>
      </c>
      <c r="B17" s="202">
        <f>D9</f>
        <v>231250</v>
      </c>
      <c r="C17" s="119"/>
      <c r="D17" s="119"/>
      <c r="E17" s="119">
        <f>B17</f>
        <v>231250</v>
      </c>
      <c r="F17" s="119">
        <f t="shared" si="0"/>
        <v>231250</v>
      </c>
    </row>
    <row r="18" spans="1:6" x14ac:dyDescent="0.2">
      <c r="A18" s="208" t="s">
        <v>190</v>
      </c>
      <c r="B18" s="203">
        <f>E9</f>
        <v>243750</v>
      </c>
      <c r="C18" s="123"/>
      <c r="D18" s="123"/>
      <c r="E18" s="123"/>
      <c r="F18" s="123">
        <f t="shared" si="0"/>
        <v>0</v>
      </c>
    </row>
    <row r="19" spans="1:6" x14ac:dyDescent="0.2">
      <c r="A19" s="196" t="s">
        <v>160</v>
      </c>
      <c r="B19" s="202"/>
      <c r="C19" s="119">
        <f>SUM(C15:C18)</f>
        <v>187500</v>
      </c>
      <c r="D19" s="119">
        <f>SUM(D15:D18)</f>
        <v>200000</v>
      </c>
      <c r="E19" s="119">
        <f>SUM(E15:E18)</f>
        <v>231250</v>
      </c>
      <c r="F19" s="119">
        <f t="shared" si="0"/>
        <v>618750</v>
      </c>
    </row>
    <row r="20" spans="1:6" x14ac:dyDescent="0.2">
      <c r="A20" s="208" t="s">
        <v>161</v>
      </c>
      <c r="B20" s="203"/>
      <c r="C20" s="119">
        <f>C8</f>
        <v>200000</v>
      </c>
      <c r="D20" s="119">
        <f>D8</f>
        <v>231250</v>
      </c>
      <c r="E20" s="119">
        <f>E8</f>
        <v>243750</v>
      </c>
      <c r="F20" s="119">
        <f t="shared" si="0"/>
        <v>675000</v>
      </c>
    </row>
    <row r="21" spans="1:6" x14ac:dyDescent="0.2">
      <c r="A21" s="208" t="s">
        <v>162</v>
      </c>
      <c r="B21" s="203"/>
      <c r="C21" s="128">
        <f>SUM(C19:C20)</f>
        <v>387500</v>
      </c>
      <c r="D21" s="128">
        <f>SUM(D19:D20)</f>
        <v>431250</v>
      </c>
      <c r="E21" s="128">
        <f>SUM(E19:E20)</f>
        <v>475000</v>
      </c>
      <c r="F21" s="128">
        <f>SUM(F19:F20)</f>
        <v>1293750</v>
      </c>
    </row>
    <row r="24" spans="1:6" x14ac:dyDescent="0.2">
      <c r="A24" s="350" t="s">
        <v>187</v>
      </c>
      <c r="B24" s="350"/>
      <c r="C24" s="350"/>
      <c r="D24" s="350"/>
      <c r="E24" s="350"/>
      <c r="F24" s="350"/>
    </row>
    <row r="25" spans="1:6" x14ac:dyDescent="0.2">
      <c r="A25" s="199"/>
      <c r="B25" s="208"/>
      <c r="C25" s="216" t="s">
        <v>188</v>
      </c>
      <c r="D25" s="216" t="s">
        <v>189</v>
      </c>
      <c r="E25" s="216" t="s">
        <v>190</v>
      </c>
      <c r="F25" s="204"/>
    </row>
    <row r="26" spans="1:6" x14ac:dyDescent="0.2">
      <c r="A26" s="147" t="s">
        <v>155</v>
      </c>
      <c r="B26" s="195"/>
      <c r="C26" s="213">
        <f>C7</f>
        <v>400000</v>
      </c>
      <c r="D26" s="213">
        <f>D7</f>
        <v>462500</v>
      </c>
      <c r="E26" s="213">
        <f>E7</f>
        <v>487500</v>
      </c>
      <c r="F26" s="147"/>
    </row>
    <row r="27" spans="1:6" x14ac:dyDescent="0.2">
      <c r="A27" s="199" t="s">
        <v>154</v>
      </c>
      <c r="B27" s="209"/>
      <c r="C27" s="214">
        <f>C26/(1+$B$2)*$B$2</f>
        <v>80000</v>
      </c>
      <c r="D27" s="214">
        <f>D26/(1+$B$2)*$B$2</f>
        <v>92500</v>
      </c>
      <c r="E27" s="214">
        <f>E26/(1+$B$2)*$B$2</f>
        <v>97500</v>
      </c>
      <c r="F27" s="147"/>
    </row>
    <row r="28" spans="1:6" x14ac:dyDescent="0.2">
      <c r="A28" s="147" t="s">
        <v>169</v>
      </c>
      <c r="B28" s="195">
        <v>1</v>
      </c>
      <c r="C28" s="213">
        <f>C26-C27</f>
        <v>320000</v>
      </c>
      <c r="D28" s="213">
        <f>D26-D27</f>
        <v>370000</v>
      </c>
      <c r="E28" s="213">
        <f>E26-E27</f>
        <v>390000</v>
      </c>
      <c r="F28" s="147"/>
    </row>
    <row r="29" spans="1:6" x14ac:dyDescent="0.2">
      <c r="A29" s="199" t="s">
        <v>170</v>
      </c>
      <c r="B29" s="209">
        <v>0.3</v>
      </c>
      <c r="C29" s="214">
        <f>C28*$B$29</f>
        <v>96000</v>
      </c>
      <c r="D29" s="214">
        <f>D28*$B$29</f>
        <v>111000</v>
      </c>
      <c r="E29" s="214">
        <f>E28*$B$29</f>
        <v>117000</v>
      </c>
      <c r="F29" s="147"/>
    </row>
    <row r="30" spans="1:6" x14ac:dyDescent="0.2">
      <c r="A30" s="147" t="s">
        <v>16</v>
      </c>
      <c r="B30" s="195">
        <v>0.7</v>
      </c>
      <c r="C30" s="213">
        <f>C28-C29</f>
        <v>224000</v>
      </c>
      <c r="D30" s="213">
        <f>D28-D29</f>
        <v>259000</v>
      </c>
      <c r="E30" s="213">
        <f>E28-E29</f>
        <v>273000</v>
      </c>
      <c r="F30" s="147"/>
    </row>
    <row r="31" spans="1:6" x14ac:dyDescent="0.2">
      <c r="A31" s="199" t="s">
        <v>171</v>
      </c>
      <c r="B31" s="209"/>
      <c r="C31" s="214">
        <v>0</v>
      </c>
      <c r="D31" s="214">
        <v>0</v>
      </c>
      <c r="E31" s="214">
        <v>80000</v>
      </c>
      <c r="F31" s="147"/>
    </row>
    <row r="32" spans="1:6" x14ac:dyDescent="0.2">
      <c r="A32" s="147" t="s">
        <v>172</v>
      </c>
      <c r="B32" s="195"/>
      <c r="C32" s="213">
        <f>SUM(C30:C31)</f>
        <v>224000</v>
      </c>
      <c r="D32" s="213">
        <f>SUM(D30:D31)</f>
        <v>259000</v>
      </c>
      <c r="E32" s="213">
        <f>SUM(E30:E31)</f>
        <v>353000</v>
      </c>
      <c r="F32" s="147"/>
    </row>
    <row r="33" spans="1:6" x14ac:dyDescent="0.2">
      <c r="A33" s="199" t="s">
        <v>154</v>
      </c>
      <c r="B33" s="209"/>
      <c r="C33" s="214">
        <f>C32*$B$2</f>
        <v>56000</v>
      </c>
      <c r="D33" s="214">
        <f>D32*$B$2</f>
        <v>64750</v>
      </c>
      <c r="E33" s="214">
        <f>E32*$B$2</f>
        <v>88250</v>
      </c>
      <c r="F33" s="147"/>
    </row>
    <row r="34" spans="1:6" x14ac:dyDescent="0.2">
      <c r="A34" s="199" t="s">
        <v>173</v>
      </c>
      <c r="B34" s="209"/>
      <c r="C34" s="215">
        <f>SUM(C32:C33)</f>
        <v>280000</v>
      </c>
      <c r="D34" s="215">
        <f>SUM(D32:D33)</f>
        <v>323750</v>
      </c>
      <c r="E34" s="215">
        <f>SUM(E32:E33)</f>
        <v>441250</v>
      </c>
      <c r="F34" s="147"/>
    </row>
    <row r="36" spans="1:6" x14ac:dyDescent="0.2">
      <c r="A36" s="350" t="s">
        <v>174</v>
      </c>
      <c r="B36" s="350"/>
      <c r="C36" s="350"/>
      <c r="D36" s="350"/>
      <c r="E36" s="350"/>
      <c r="F36" s="350"/>
    </row>
    <row r="37" spans="1:6" x14ac:dyDescent="0.2">
      <c r="A37" s="200"/>
      <c r="B37" s="351" t="s">
        <v>175</v>
      </c>
      <c r="C37" s="357" t="s">
        <v>176</v>
      </c>
      <c r="D37" s="353"/>
      <c r="E37" s="353"/>
      <c r="F37" s="354"/>
    </row>
    <row r="38" spans="1:6" x14ac:dyDescent="0.2">
      <c r="A38" s="210"/>
      <c r="B38" s="352"/>
      <c r="C38" s="216" t="s">
        <v>188</v>
      </c>
      <c r="D38" s="216" t="s">
        <v>189</v>
      </c>
      <c r="E38" s="216" t="s">
        <v>190</v>
      </c>
      <c r="F38" s="216" t="s">
        <v>122</v>
      </c>
    </row>
    <row r="39" spans="1:6" x14ac:dyDescent="0.2">
      <c r="A39" s="224" t="s">
        <v>191</v>
      </c>
      <c r="B39" s="236">
        <f>300000/100*70/100*125/30*20</f>
        <v>175000</v>
      </c>
      <c r="C39" s="119">
        <v>175000</v>
      </c>
      <c r="D39" s="119"/>
      <c r="E39" s="119"/>
      <c r="F39" s="119"/>
    </row>
    <row r="40" spans="1:6" x14ac:dyDescent="0.2">
      <c r="A40" s="196" t="s">
        <v>188</v>
      </c>
      <c r="B40" s="119">
        <f>C34</f>
        <v>280000</v>
      </c>
      <c r="C40" s="119">
        <f>B40/3</f>
        <v>93333.333333333328</v>
      </c>
      <c r="D40" s="119">
        <f>B40-C40</f>
        <v>186666.66666666669</v>
      </c>
      <c r="E40" s="119"/>
      <c r="F40" s="119"/>
    </row>
    <row r="41" spans="1:6" x14ac:dyDescent="0.2">
      <c r="A41" s="196" t="s">
        <v>189</v>
      </c>
      <c r="B41" s="119">
        <f>D34</f>
        <v>323750</v>
      </c>
      <c r="C41" s="119"/>
      <c r="D41" s="119">
        <f>B41/3</f>
        <v>107916.66666666667</v>
      </c>
      <c r="E41" s="235">
        <f>B41-D41</f>
        <v>215833.33333333331</v>
      </c>
      <c r="F41" s="119"/>
    </row>
    <row r="42" spans="1:6" x14ac:dyDescent="0.2">
      <c r="A42" s="208" t="s">
        <v>190</v>
      </c>
      <c r="B42" s="123">
        <f>E34</f>
        <v>441250</v>
      </c>
      <c r="C42" s="123"/>
      <c r="D42" s="123"/>
      <c r="E42" s="123">
        <f>B42/3</f>
        <v>147083.33333333334</v>
      </c>
      <c r="F42" s="123">
        <f>B42-E42</f>
        <v>294166.66666666663</v>
      </c>
    </row>
    <row r="43" spans="1:6" x14ac:dyDescent="0.2">
      <c r="A43" s="208" t="s">
        <v>182</v>
      </c>
      <c r="B43" s="203"/>
      <c r="C43" s="128">
        <f>SUM(C39:C42)</f>
        <v>268333.33333333331</v>
      </c>
      <c r="D43" s="128">
        <f>SUM(D39:D42)</f>
        <v>294583.33333333337</v>
      </c>
      <c r="E43" s="128">
        <f>SUM(E39:E42)</f>
        <v>362916.66666666663</v>
      </c>
      <c r="F43" s="128">
        <f>SUM(F39:F42)</f>
        <v>294166.66666666663</v>
      </c>
    </row>
    <row r="61" spans="1:5" x14ac:dyDescent="0.2">
      <c r="A61" s="373" t="s">
        <v>206</v>
      </c>
      <c r="B61" s="373"/>
      <c r="C61" s="373"/>
      <c r="D61" s="373"/>
      <c r="E61" s="373"/>
    </row>
    <row r="62" spans="1:5" x14ac:dyDescent="0.2">
      <c r="A62" s="133"/>
      <c r="B62" s="134" t="s">
        <v>188</v>
      </c>
      <c r="C62" s="134" t="s">
        <v>189</v>
      </c>
      <c r="D62" s="134" t="s">
        <v>190</v>
      </c>
      <c r="E62" s="134" t="s">
        <v>153</v>
      </c>
    </row>
    <row r="63" spans="1:5" x14ac:dyDescent="0.2">
      <c r="A63" s="135" t="s">
        <v>194</v>
      </c>
      <c r="B63" s="136"/>
      <c r="C63" s="136"/>
      <c r="D63" s="136"/>
      <c r="E63" s="137"/>
    </row>
    <row r="64" spans="1:5" x14ac:dyDescent="0.2">
      <c r="A64" s="225" t="s">
        <v>195</v>
      </c>
      <c r="B64" s="226">
        <f>C21</f>
        <v>387500</v>
      </c>
      <c r="C64" s="226">
        <f>D21</f>
        <v>431250</v>
      </c>
      <c r="D64" s="226">
        <f>E21</f>
        <v>475000</v>
      </c>
      <c r="E64" s="226">
        <f>SUM(B64:D64)</f>
        <v>1293750</v>
      </c>
    </row>
    <row r="65" spans="1:5" x14ac:dyDescent="0.2">
      <c r="B65" s="227"/>
      <c r="C65" s="227"/>
      <c r="D65" s="227"/>
      <c r="E65" s="226">
        <f>SUM(B65:D65)</f>
        <v>0</v>
      </c>
    </row>
    <row r="66" spans="1:5" x14ac:dyDescent="0.2">
      <c r="A66" s="142" t="s">
        <v>162</v>
      </c>
      <c r="B66" s="228">
        <f>SUM(B64:B65)</f>
        <v>387500</v>
      </c>
      <c r="C66" s="228">
        <f>SUM(C64:C65)</f>
        <v>431250</v>
      </c>
      <c r="D66" s="228">
        <f>SUM(D64:D65)</f>
        <v>475000</v>
      </c>
      <c r="E66" s="228">
        <f>SUM(E64:E65)</f>
        <v>1293750</v>
      </c>
    </row>
    <row r="67" spans="1:5" x14ac:dyDescent="0.2">
      <c r="A67" s="135" t="s">
        <v>196</v>
      </c>
      <c r="B67" s="229"/>
      <c r="C67" s="229"/>
      <c r="D67" s="229"/>
      <c r="E67" s="229"/>
    </row>
    <row r="68" spans="1:5" x14ac:dyDescent="0.2">
      <c r="A68" s="138" t="s">
        <v>197</v>
      </c>
      <c r="B68" s="229">
        <f>C43</f>
        <v>268333.33333333331</v>
      </c>
      <c r="C68" s="229">
        <f>D43</f>
        <v>294583.33333333337</v>
      </c>
      <c r="D68" s="229">
        <f>E43</f>
        <v>362916.66666666663</v>
      </c>
      <c r="E68" s="229">
        <f>SUM(B68:D68)</f>
        <v>925833.33333333337</v>
      </c>
    </row>
    <row r="69" spans="1:5" x14ac:dyDescent="0.2">
      <c r="A69" s="138" t="s">
        <v>2</v>
      </c>
      <c r="B69" s="229">
        <v>34000</v>
      </c>
      <c r="C69" s="229">
        <v>34000</v>
      </c>
      <c r="D69" s="229">
        <v>34000</v>
      </c>
      <c r="E69" s="229">
        <f t="shared" ref="E69:E75" si="1">SUM(B69:D69)</f>
        <v>102000</v>
      </c>
    </row>
    <row r="70" spans="1:5" x14ac:dyDescent="0.2">
      <c r="A70" s="138" t="s">
        <v>18</v>
      </c>
      <c r="B70" s="229">
        <v>12000</v>
      </c>
      <c r="C70" s="229"/>
      <c r="D70" s="229">
        <v>9600</v>
      </c>
      <c r="E70" s="229">
        <f t="shared" si="1"/>
        <v>21600</v>
      </c>
    </row>
    <row r="71" spans="1:5" x14ac:dyDescent="0.2">
      <c r="A71" s="138" t="s">
        <v>3</v>
      </c>
      <c r="B71" s="229">
        <f>8000*3</f>
        <v>24000</v>
      </c>
      <c r="C71" s="229"/>
      <c r="D71" s="229"/>
      <c r="E71" s="229">
        <f t="shared" si="1"/>
        <v>24000</v>
      </c>
    </row>
    <row r="72" spans="1:5" x14ac:dyDescent="0.2">
      <c r="A72" s="138" t="s">
        <v>198</v>
      </c>
      <c r="B72" s="229">
        <v>65000</v>
      </c>
      <c r="C72" s="229">
        <v>65000</v>
      </c>
      <c r="D72" s="229">
        <v>65000</v>
      </c>
      <c r="E72" s="229">
        <f t="shared" si="1"/>
        <v>195000</v>
      </c>
    </row>
    <row r="73" spans="1:5" x14ac:dyDescent="0.2">
      <c r="A73" s="138" t="s">
        <v>199</v>
      </c>
      <c r="B73" s="229"/>
      <c r="C73" s="229">
        <v>20000</v>
      </c>
      <c r="D73" s="229"/>
      <c r="E73" s="229">
        <f t="shared" si="1"/>
        <v>20000</v>
      </c>
    </row>
    <row r="74" spans="1:5" x14ac:dyDescent="0.2">
      <c r="A74" s="196" t="s">
        <v>200</v>
      </c>
      <c r="B74" s="229"/>
      <c r="C74" s="229">
        <v>18600</v>
      </c>
      <c r="D74" s="229"/>
      <c r="E74" s="229">
        <f t="shared" si="1"/>
        <v>18600</v>
      </c>
    </row>
    <row r="75" spans="1:5" x14ac:dyDescent="0.2">
      <c r="A75" s="142" t="s">
        <v>182</v>
      </c>
      <c r="B75" s="228">
        <f>SUM(B68:B74)</f>
        <v>403333.33333333331</v>
      </c>
      <c r="C75" s="228">
        <f>SUM(C68:C74)</f>
        <v>432183.33333333337</v>
      </c>
      <c r="D75" s="228">
        <f>SUM(D68:D74)</f>
        <v>471516.66666666663</v>
      </c>
      <c r="E75" s="228">
        <f t="shared" si="1"/>
        <v>1307033.3333333335</v>
      </c>
    </row>
    <row r="76" spans="1:5" x14ac:dyDescent="0.2">
      <c r="A76" s="138"/>
      <c r="B76" s="229"/>
      <c r="C76" s="229"/>
      <c r="D76" s="229"/>
      <c r="E76" s="229"/>
    </row>
    <row r="77" spans="1:5" x14ac:dyDescent="0.2">
      <c r="A77" s="138" t="s">
        <v>201</v>
      </c>
      <c r="B77" s="229">
        <f>B66-B75</f>
        <v>-15833.333333333314</v>
      </c>
      <c r="C77" s="229">
        <f>C66-C75</f>
        <v>-933.33333333337214</v>
      </c>
      <c r="D77" s="229">
        <f>D66-D75</f>
        <v>3483.3333333333721</v>
      </c>
      <c r="E77" s="229">
        <f>E66-E75</f>
        <v>-13283.333333333489</v>
      </c>
    </row>
    <row r="78" spans="1:5" x14ac:dyDescent="0.2">
      <c r="A78" s="138"/>
      <c r="B78" s="229"/>
      <c r="C78" s="229"/>
      <c r="D78" s="229"/>
      <c r="E78" s="229"/>
    </row>
    <row r="79" spans="1:5" x14ac:dyDescent="0.2">
      <c r="A79" s="138" t="s">
        <v>202</v>
      </c>
      <c r="B79" s="229">
        <v>75000</v>
      </c>
      <c r="C79" s="229">
        <f>B80</f>
        <v>59166.666666666686</v>
      </c>
      <c r="D79" s="229">
        <f>C80</f>
        <v>58233.333333333314</v>
      </c>
      <c r="E79" s="229">
        <f>B79</f>
        <v>75000</v>
      </c>
    </row>
    <row r="80" spans="1:5" x14ac:dyDescent="0.2">
      <c r="A80" s="144" t="s">
        <v>203</v>
      </c>
      <c r="B80" s="230">
        <f>B79+B77</f>
        <v>59166.666666666686</v>
      </c>
      <c r="C80" s="230">
        <f>C79+C77</f>
        <v>58233.333333333314</v>
      </c>
      <c r="D80" s="231">
        <f>D79+D77</f>
        <v>61716.666666666686</v>
      </c>
      <c r="E80" s="231">
        <f>SUM(E77:E79)</f>
        <v>61716.666666666511</v>
      </c>
    </row>
    <row r="81" spans="1:5" x14ac:dyDescent="0.2">
      <c r="B81" s="148"/>
      <c r="C81" s="148"/>
      <c r="D81" s="148"/>
      <c r="E81" s="148"/>
    </row>
    <row r="82" spans="1:5" x14ac:dyDescent="0.2">
      <c r="A82" s="224" t="s">
        <v>173</v>
      </c>
      <c r="B82" s="232">
        <f>C34</f>
        <v>280000</v>
      </c>
      <c r="C82" s="232">
        <f>D34</f>
        <v>323750</v>
      </c>
      <c r="D82" s="232">
        <f>E34</f>
        <v>441250</v>
      </c>
      <c r="E82" s="148"/>
    </row>
    <row r="83" spans="1:5" x14ac:dyDescent="0.2">
      <c r="A83" s="196" t="s">
        <v>204</v>
      </c>
      <c r="B83" s="233">
        <v>0.5</v>
      </c>
      <c r="C83" s="233">
        <v>0.5</v>
      </c>
      <c r="D83" s="233">
        <v>0.5</v>
      </c>
      <c r="E83" s="148"/>
    </row>
    <row r="84" spans="1:5" x14ac:dyDescent="0.2">
      <c r="A84" s="196" t="s">
        <v>205</v>
      </c>
      <c r="B84" s="234">
        <f>B80/B82</f>
        <v>0.21130952380952389</v>
      </c>
      <c r="C84" s="234">
        <f>C80/C82</f>
        <v>0.17987129987129982</v>
      </c>
      <c r="D84" s="234">
        <f>D80/D82</f>
        <v>0.13986779981114264</v>
      </c>
      <c r="E84" s="148"/>
    </row>
  </sheetData>
  <mergeCells count="8">
    <mergeCell ref="A12:F12"/>
    <mergeCell ref="B13:B14"/>
    <mergeCell ref="C13:F13"/>
    <mergeCell ref="A61:E61"/>
    <mergeCell ref="A24:F24"/>
    <mergeCell ref="A36:F36"/>
    <mergeCell ref="B37:B38"/>
    <mergeCell ref="C37:F37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>
    <oddHeader>&amp;COppgave &amp;A</oddHeader>
    <oddFooter>&amp;CSide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/>
  </sheetViews>
  <sheetFormatPr baseColWidth="10" defaultRowHeight="12.75" x14ac:dyDescent="0.2"/>
  <cols>
    <col min="1" max="1" width="3.140625" style="237" customWidth="1"/>
    <col min="2" max="2" width="22.5703125" style="237" customWidth="1"/>
    <col min="3" max="7" width="11.7109375" style="237" customWidth="1"/>
    <col min="8" max="16384" width="11.42578125" style="237"/>
  </cols>
  <sheetData>
    <row r="1" spans="1:10" x14ac:dyDescent="0.2">
      <c r="C1" s="237" t="s">
        <v>200</v>
      </c>
      <c r="D1" s="193">
        <v>0.25</v>
      </c>
    </row>
    <row r="2" spans="1:10" x14ac:dyDescent="0.2">
      <c r="A2" s="237" t="s">
        <v>220</v>
      </c>
      <c r="D2" s="194"/>
    </row>
    <row r="4" spans="1:10" x14ac:dyDescent="0.2">
      <c r="A4" s="52" t="s">
        <v>71</v>
      </c>
    </row>
    <row r="5" spans="1:10" x14ac:dyDescent="0.2">
      <c r="B5" s="238"/>
      <c r="C5" s="134" t="s">
        <v>207</v>
      </c>
      <c r="D5" s="134" t="s">
        <v>208</v>
      </c>
      <c r="E5" s="134" t="s">
        <v>209</v>
      </c>
      <c r="F5" s="134" t="s">
        <v>153</v>
      </c>
    </row>
    <row r="6" spans="1:10" x14ac:dyDescent="0.2">
      <c r="B6" s="239" t="s">
        <v>0</v>
      </c>
      <c r="C6" s="139">
        <v>1460000</v>
      </c>
      <c r="D6" s="139">
        <v>1580000</v>
      </c>
      <c r="E6" s="240">
        <v>1420000</v>
      </c>
      <c r="F6" s="240">
        <f>SUM(C6:E6)</f>
        <v>4460000</v>
      </c>
    </row>
    <row r="7" spans="1:10" x14ac:dyDescent="0.2">
      <c r="B7" s="239"/>
      <c r="C7" s="139"/>
      <c r="D7" s="139"/>
      <c r="E7" s="140"/>
      <c r="F7" s="140"/>
    </row>
    <row r="8" spans="1:10" x14ac:dyDescent="0.2">
      <c r="B8" s="241" t="s">
        <v>16</v>
      </c>
      <c r="C8" s="139">
        <v>292000</v>
      </c>
      <c r="D8" s="139">
        <v>316000</v>
      </c>
      <c r="E8" s="140">
        <v>284000</v>
      </c>
      <c r="F8" s="140">
        <f>SUM(C8:E8)</f>
        <v>892000</v>
      </c>
    </row>
    <row r="9" spans="1:10" x14ac:dyDescent="0.2">
      <c r="B9" s="239" t="s">
        <v>2</v>
      </c>
      <c r="C9" s="139">
        <v>467000</v>
      </c>
      <c r="D9" s="139">
        <v>506000</v>
      </c>
      <c r="E9" s="140">
        <v>455000</v>
      </c>
      <c r="F9" s="140">
        <f t="shared" ref="F9:F16" si="0">SUM(C9:E9)</f>
        <v>1428000</v>
      </c>
    </row>
    <row r="10" spans="1:10" x14ac:dyDescent="0.2">
      <c r="B10" s="239" t="s">
        <v>17</v>
      </c>
      <c r="C10" s="139">
        <v>39800</v>
      </c>
      <c r="D10" s="139">
        <v>43900</v>
      </c>
      <c r="E10" s="140">
        <v>38800</v>
      </c>
      <c r="F10" s="140">
        <f t="shared" si="0"/>
        <v>122500</v>
      </c>
    </row>
    <row r="11" spans="1:10" x14ac:dyDescent="0.2">
      <c r="B11" s="239" t="s">
        <v>18</v>
      </c>
      <c r="C11" s="139">
        <v>60600</v>
      </c>
      <c r="D11" s="139">
        <v>66800</v>
      </c>
      <c r="E11" s="140">
        <v>59100</v>
      </c>
      <c r="F11" s="140">
        <f t="shared" si="0"/>
        <v>186500</v>
      </c>
    </row>
    <row r="12" spans="1:10" x14ac:dyDescent="0.2">
      <c r="B12" s="239" t="s">
        <v>3</v>
      </c>
      <c r="C12" s="139">
        <v>25000</v>
      </c>
      <c r="D12" s="139">
        <v>25000</v>
      </c>
      <c r="E12" s="140">
        <v>25000</v>
      </c>
      <c r="F12" s="140">
        <f t="shared" si="0"/>
        <v>75000</v>
      </c>
    </row>
    <row r="13" spans="1:10" x14ac:dyDescent="0.2">
      <c r="B13" s="241" t="s">
        <v>19</v>
      </c>
      <c r="C13" s="139">
        <v>5800</v>
      </c>
      <c r="D13" s="139">
        <v>5800</v>
      </c>
      <c r="E13" s="140">
        <v>5800</v>
      </c>
      <c r="F13" s="140">
        <f t="shared" si="0"/>
        <v>17400</v>
      </c>
      <c r="G13" s="196"/>
      <c r="H13" s="196"/>
      <c r="I13" s="196"/>
      <c r="J13" s="196"/>
    </row>
    <row r="14" spans="1:10" x14ac:dyDescent="0.2">
      <c r="B14" s="242" t="s">
        <v>217</v>
      </c>
      <c r="C14" s="139">
        <v>275000</v>
      </c>
      <c r="D14" s="139">
        <v>280000</v>
      </c>
      <c r="E14" s="140">
        <v>290000</v>
      </c>
      <c r="F14" s="140">
        <f t="shared" si="0"/>
        <v>845000</v>
      </c>
      <c r="G14" s="196"/>
      <c r="H14" s="196"/>
      <c r="I14" s="196"/>
      <c r="J14" s="196"/>
    </row>
    <row r="15" spans="1:10" x14ac:dyDescent="0.2">
      <c r="B15" s="239" t="s">
        <v>4</v>
      </c>
      <c r="C15" s="139">
        <v>155000</v>
      </c>
      <c r="D15" s="139">
        <v>155000</v>
      </c>
      <c r="E15" s="140">
        <v>155000</v>
      </c>
      <c r="F15" s="140">
        <f t="shared" si="0"/>
        <v>465000</v>
      </c>
      <c r="G15" s="196"/>
      <c r="H15" s="196"/>
      <c r="I15" s="196"/>
      <c r="J15" s="196"/>
    </row>
    <row r="16" spans="1:10" x14ac:dyDescent="0.2">
      <c r="B16" s="243" t="s">
        <v>5</v>
      </c>
      <c r="C16" s="141">
        <v>45000</v>
      </c>
      <c r="D16" s="141">
        <v>45000</v>
      </c>
      <c r="E16" s="145">
        <v>45000</v>
      </c>
      <c r="F16" s="145">
        <f t="shared" si="0"/>
        <v>135000</v>
      </c>
      <c r="G16" s="196"/>
      <c r="H16" s="196"/>
      <c r="I16" s="196"/>
      <c r="J16" s="196"/>
    </row>
    <row r="17" spans="1:11" x14ac:dyDescent="0.2">
      <c r="B17" s="241" t="s">
        <v>6</v>
      </c>
      <c r="C17" s="138">
        <f>SUM(C8:C16)</f>
        <v>1365200</v>
      </c>
      <c r="D17" s="138">
        <f>SUM(D8:D16)</f>
        <v>1443500</v>
      </c>
      <c r="E17" s="213">
        <f>SUM(E8:E16)</f>
        <v>1357700</v>
      </c>
      <c r="F17" s="213">
        <f>SUM(F8:F16)</f>
        <v>4166400</v>
      </c>
      <c r="G17" s="196"/>
      <c r="H17" s="196"/>
      <c r="I17" s="196"/>
      <c r="J17" s="196"/>
    </row>
    <row r="18" spans="1:11" x14ac:dyDescent="0.2">
      <c r="B18" s="243"/>
      <c r="C18" s="141"/>
      <c r="D18" s="141"/>
      <c r="E18" s="145"/>
      <c r="F18" s="145"/>
      <c r="G18" s="196"/>
      <c r="H18" s="196"/>
      <c r="I18" s="196"/>
      <c r="J18" s="196"/>
    </row>
    <row r="19" spans="1:11" x14ac:dyDescent="0.2">
      <c r="B19" s="239" t="s">
        <v>7</v>
      </c>
      <c r="C19" s="139">
        <f>C6-C17</f>
        <v>94800</v>
      </c>
      <c r="D19" s="139">
        <f>D6-D17</f>
        <v>136500</v>
      </c>
      <c r="E19" s="140">
        <f>E6-E17</f>
        <v>62300</v>
      </c>
      <c r="F19" s="140">
        <f>SUM(C19:E19)</f>
        <v>293600</v>
      </c>
    </row>
    <row r="20" spans="1:11" x14ac:dyDescent="0.2">
      <c r="B20" s="239"/>
      <c r="C20" s="139"/>
      <c r="D20" s="139"/>
      <c r="E20" s="140"/>
      <c r="F20" s="140"/>
    </row>
    <row r="21" spans="1:11" x14ac:dyDescent="0.2">
      <c r="B21" s="239" t="s">
        <v>210</v>
      </c>
      <c r="C21" s="139">
        <v>2500</v>
      </c>
      <c r="D21" s="139">
        <v>2500</v>
      </c>
      <c r="E21" s="140">
        <v>2500</v>
      </c>
      <c r="F21" s="140">
        <f>SUM(C21:E21)</f>
        <v>7500</v>
      </c>
      <c r="I21" s="196"/>
      <c r="J21" s="196"/>
      <c r="K21" s="196"/>
    </row>
    <row r="22" spans="1:11" x14ac:dyDescent="0.2">
      <c r="B22" s="239" t="s">
        <v>8</v>
      </c>
      <c r="C22" s="139">
        <v>38000</v>
      </c>
      <c r="D22" s="139">
        <v>38000</v>
      </c>
      <c r="E22" s="140">
        <v>38000</v>
      </c>
      <c r="F22" s="140">
        <f>SUM(C22:E22)</f>
        <v>114000</v>
      </c>
      <c r="I22" s="196"/>
      <c r="J22" s="196"/>
      <c r="K22" s="196"/>
    </row>
    <row r="23" spans="1:11" x14ac:dyDescent="0.2">
      <c r="B23" s="243"/>
      <c r="C23" s="141"/>
      <c r="D23" s="141"/>
      <c r="E23" s="145"/>
      <c r="F23" s="145"/>
      <c r="I23" s="196"/>
      <c r="J23" s="196"/>
      <c r="K23" s="196"/>
    </row>
    <row r="24" spans="1:11" x14ac:dyDescent="0.2">
      <c r="B24" s="243" t="s">
        <v>9</v>
      </c>
      <c r="C24" s="141">
        <f>C19+C21-C22</f>
        <v>59300</v>
      </c>
      <c r="D24" s="141">
        <f>D19+D21-D22</f>
        <v>101000</v>
      </c>
      <c r="E24" s="145">
        <f>E19+E21-E22</f>
        <v>26800</v>
      </c>
      <c r="F24" s="145">
        <f>SUM(C24:E24)</f>
        <v>187100</v>
      </c>
      <c r="I24" s="196"/>
      <c r="J24" s="196"/>
      <c r="K24" s="196"/>
    </row>
    <row r="25" spans="1:11" x14ac:dyDescent="0.2">
      <c r="C25" s="244"/>
      <c r="D25" s="244"/>
      <c r="E25" s="244"/>
      <c r="I25" s="196"/>
      <c r="J25" s="196"/>
      <c r="K25" s="196"/>
    </row>
    <row r="26" spans="1:11" x14ac:dyDescent="0.2">
      <c r="I26" s="196"/>
      <c r="J26" s="196"/>
      <c r="K26" s="196"/>
    </row>
    <row r="27" spans="1:11" x14ac:dyDescent="0.2">
      <c r="A27" s="52" t="s">
        <v>211</v>
      </c>
      <c r="I27" s="196"/>
      <c r="J27" s="196"/>
      <c r="K27" s="196"/>
    </row>
    <row r="28" spans="1:11" x14ac:dyDescent="0.2">
      <c r="B28" s="200"/>
      <c r="C28" s="351" t="s">
        <v>158</v>
      </c>
      <c r="D28" s="357" t="s">
        <v>159</v>
      </c>
      <c r="E28" s="353"/>
      <c r="F28" s="353"/>
      <c r="G28" s="354"/>
      <c r="I28" s="196"/>
      <c r="J28" s="196"/>
      <c r="K28" s="196"/>
    </row>
    <row r="29" spans="1:11" x14ac:dyDescent="0.2">
      <c r="B29" s="200"/>
      <c r="C29" s="352"/>
      <c r="D29" s="216" t="s">
        <v>207</v>
      </c>
      <c r="E29" s="216" t="s">
        <v>208</v>
      </c>
      <c r="F29" s="216" t="s">
        <v>209</v>
      </c>
      <c r="G29" s="216" t="s">
        <v>122</v>
      </c>
      <c r="I29" s="196"/>
      <c r="J29" s="196"/>
      <c r="K29" s="196"/>
    </row>
    <row r="30" spans="1:11" x14ac:dyDescent="0.2">
      <c r="B30" s="245" t="s">
        <v>212</v>
      </c>
      <c r="C30" s="246">
        <v>1240000</v>
      </c>
      <c r="D30" s="236">
        <f>C30</f>
        <v>1240000</v>
      </c>
      <c r="E30" s="236"/>
      <c r="F30" s="236"/>
      <c r="G30" s="236"/>
      <c r="I30" s="196"/>
      <c r="J30" s="196"/>
      <c r="K30" s="196"/>
    </row>
    <row r="31" spans="1:11" x14ac:dyDescent="0.2">
      <c r="B31" s="118" t="s">
        <v>207</v>
      </c>
      <c r="C31" s="157">
        <f>C6*(1+D1)</f>
        <v>1825000</v>
      </c>
      <c r="D31" s="119">
        <f>C31/3</f>
        <v>608333.33333333337</v>
      </c>
      <c r="E31" s="119">
        <f>C31-D31</f>
        <v>1216666.6666666665</v>
      </c>
      <c r="F31" s="119"/>
      <c r="G31" s="119"/>
      <c r="I31" s="196"/>
      <c r="J31" s="196"/>
      <c r="K31" s="196"/>
    </row>
    <row r="32" spans="1:11" x14ac:dyDescent="0.2">
      <c r="B32" s="118" t="s">
        <v>208</v>
      </c>
      <c r="C32" s="157">
        <f>D6*(1+D1)</f>
        <v>1975000</v>
      </c>
      <c r="D32" s="119"/>
      <c r="E32" s="119">
        <f>C32/3</f>
        <v>658333.33333333337</v>
      </c>
      <c r="F32" s="119">
        <f>C32-E32</f>
        <v>1316666.6666666665</v>
      </c>
      <c r="G32" s="119"/>
      <c r="I32" s="196"/>
      <c r="J32" s="196"/>
      <c r="K32" s="196"/>
    </row>
    <row r="33" spans="1:11" x14ac:dyDescent="0.2">
      <c r="B33" s="118" t="s">
        <v>209</v>
      </c>
      <c r="C33" s="157">
        <f>E6*(1+D1)</f>
        <v>1775000</v>
      </c>
      <c r="D33" s="119"/>
      <c r="E33" s="119"/>
      <c r="F33" s="119">
        <f>C33/3</f>
        <v>591666.66666666663</v>
      </c>
      <c r="G33" s="119">
        <f>C33-F33</f>
        <v>1183333.3333333335</v>
      </c>
      <c r="I33" s="196"/>
      <c r="J33" s="196"/>
      <c r="K33" s="196"/>
    </row>
    <row r="34" spans="1:11" x14ac:dyDescent="0.2">
      <c r="B34" s="247" t="s">
        <v>213</v>
      </c>
      <c r="C34" s="127"/>
      <c r="D34" s="128">
        <f>SUM(D30:D33)</f>
        <v>1848333.3333333335</v>
      </c>
      <c r="E34" s="128">
        <f>SUM(E30:E33)</f>
        <v>1875000</v>
      </c>
      <c r="F34" s="128">
        <f>SUM(F30:F33)</f>
        <v>1908333.333333333</v>
      </c>
      <c r="G34" s="128">
        <f>SUM(G30:G33)</f>
        <v>1183333.3333333335</v>
      </c>
      <c r="I34" s="196"/>
      <c r="J34" s="196"/>
      <c r="K34" s="196"/>
    </row>
    <row r="36" spans="1:11" x14ac:dyDescent="0.2">
      <c r="A36" s="52" t="s">
        <v>183</v>
      </c>
    </row>
    <row r="37" spans="1:11" x14ac:dyDescent="0.2">
      <c r="D37" s="254" t="s">
        <v>207</v>
      </c>
      <c r="E37" s="254" t="s">
        <v>208</v>
      </c>
      <c r="F37" s="254" t="s">
        <v>209</v>
      </c>
    </row>
    <row r="38" spans="1:11" x14ac:dyDescent="0.2">
      <c r="B38" s="248" t="s">
        <v>214</v>
      </c>
      <c r="C38" s="249"/>
      <c r="D38" s="152">
        <f>C8</f>
        <v>292000</v>
      </c>
      <c r="E38" s="152">
        <f>D8</f>
        <v>316000</v>
      </c>
      <c r="F38" s="152">
        <f>E8</f>
        <v>284000</v>
      </c>
    </row>
    <row r="39" spans="1:11" x14ac:dyDescent="0.2">
      <c r="B39" s="138" t="s">
        <v>171</v>
      </c>
      <c r="C39" s="250"/>
      <c r="D39" s="214">
        <v>-30000</v>
      </c>
      <c r="E39" s="214">
        <v>-40000</v>
      </c>
      <c r="F39" s="214">
        <v>50000</v>
      </c>
    </row>
    <row r="40" spans="1:11" x14ac:dyDescent="0.2">
      <c r="B40" s="138" t="s">
        <v>172</v>
      </c>
      <c r="C40" s="250"/>
      <c r="D40" s="213">
        <f>SUM(D38:D39)</f>
        <v>262000</v>
      </c>
      <c r="E40" s="213">
        <f>SUM(E38:E39)</f>
        <v>276000</v>
      </c>
      <c r="F40" s="213">
        <f>SUM(F38:F39)</f>
        <v>334000</v>
      </c>
    </row>
    <row r="41" spans="1:11" x14ac:dyDescent="0.2">
      <c r="B41" s="138" t="s">
        <v>154</v>
      </c>
      <c r="C41" s="250"/>
      <c r="D41" s="214">
        <f>D40*$D$1</f>
        <v>65500</v>
      </c>
      <c r="E41" s="214">
        <f>E40*$D$1</f>
        <v>69000</v>
      </c>
      <c r="F41" s="214">
        <f>F40*$D$1</f>
        <v>83500</v>
      </c>
    </row>
    <row r="42" spans="1:11" x14ac:dyDescent="0.2">
      <c r="B42" s="144" t="s">
        <v>173</v>
      </c>
      <c r="C42" s="209"/>
      <c r="D42" s="215">
        <f>SUM(D40:D41)</f>
        <v>327500</v>
      </c>
      <c r="E42" s="215">
        <f>SUM(E40:E41)</f>
        <v>345000</v>
      </c>
      <c r="F42" s="215">
        <f>SUM(F40:F41)</f>
        <v>417500</v>
      </c>
    </row>
    <row r="44" spans="1:11" x14ac:dyDescent="0.2">
      <c r="A44" s="52" t="s">
        <v>186</v>
      </c>
    </row>
    <row r="45" spans="1:11" x14ac:dyDescent="0.2">
      <c r="A45" s="52"/>
    </row>
    <row r="46" spans="1:11" x14ac:dyDescent="0.2">
      <c r="B46" s="200"/>
      <c r="C46" s="351" t="s">
        <v>175</v>
      </c>
      <c r="D46" s="357" t="s">
        <v>176</v>
      </c>
      <c r="E46" s="353"/>
      <c r="F46" s="353"/>
      <c r="G46" s="354"/>
    </row>
    <row r="47" spans="1:11" x14ac:dyDescent="0.2">
      <c r="B47" s="200"/>
      <c r="C47" s="352"/>
      <c r="D47" s="217" t="s">
        <v>207</v>
      </c>
      <c r="E47" s="254" t="s">
        <v>208</v>
      </c>
      <c r="F47" s="254" t="s">
        <v>209</v>
      </c>
      <c r="G47" s="254" t="s">
        <v>122</v>
      </c>
    </row>
    <row r="48" spans="1:11" x14ac:dyDescent="0.2">
      <c r="B48" s="245" t="s">
        <v>215</v>
      </c>
      <c r="C48" s="236">
        <v>370000</v>
      </c>
      <c r="D48" s="236">
        <f>C48</f>
        <v>370000</v>
      </c>
      <c r="E48" s="236"/>
      <c r="F48" s="236"/>
      <c r="G48" s="236"/>
    </row>
    <row r="49" spans="1:7" x14ac:dyDescent="0.2">
      <c r="B49" s="118" t="s">
        <v>207</v>
      </c>
      <c r="C49" s="119">
        <f>D42</f>
        <v>327500</v>
      </c>
      <c r="D49" s="119"/>
      <c r="E49" s="119">
        <f>C49</f>
        <v>327500</v>
      </c>
      <c r="F49" s="119"/>
      <c r="G49" s="119"/>
    </row>
    <row r="50" spans="1:7" x14ac:dyDescent="0.2">
      <c r="B50" s="118" t="s">
        <v>208</v>
      </c>
      <c r="C50" s="119">
        <f>E42</f>
        <v>345000</v>
      </c>
      <c r="D50" s="119"/>
      <c r="E50" s="119"/>
      <c r="F50" s="235">
        <f>C50</f>
        <v>345000</v>
      </c>
      <c r="G50" s="119"/>
    </row>
    <row r="51" spans="1:7" x14ac:dyDescent="0.2">
      <c r="B51" s="151" t="s">
        <v>209</v>
      </c>
      <c r="C51" s="123">
        <f>F42</f>
        <v>417500</v>
      </c>
      <c r="D51" s="123"/>
      <c r="E51" s="123"/>
      <c r="F51" s="123"/>
      <c r="G51" s="123">
        <f>C51</f>
        <v>417500</v>
      </c>
    </row>
    <row r="52" spans="1:7" x14ac:dyDescent="0.2">
      <c r="B52" s="251" t="s">
        <v>216</v>
      </c>
      <c r="C52" s="203"/>
      <c r="D52" s="123">
        <f>SUM(D48:D51)</f>
        <v>370000</v>
      </c>
      <c r="E52" s="123">
        <f>SUM(E48:E51)</f>
        <v>327500</v>
      </c>
      <c r="F52" s="123">
        <f>SUM(F48:F51)</f>
        <v>345000</v>
      </c>
      <c r="G52" s="123">
        <f>SUM(G48:G51)</f>
        <v>417500</v>
      </c>
    </row>
    <row r="58" spans="1:7" x14ac:dyDescent="0.2">
      <c r="A58" s="356" t="s">
        <v>206</v>
      </c>
      <c r="B58" s="356"/>
      <c r="C58" s="356"/>
      <c r="D58" s="356"/>
      <c r="E58" s="356"/>
      <c r="F58" s="356"/>
    </row>
    <row r="59" spans="1:7" x14ac:dyDescent="0.2">
      <c r="B59" s="133"/>
      <c r="C59" s="216" t="str">
        <f>D47</f>
        <v>April</v>
      </c>
      <c r="D59" s="216" t="str">
        <f>E47</f>
        <v>Mai</v>
      </c>
      <c r="E59" s="216" t="str">
        <f>F47</f>
        <v>Juni</v>
      </c>
      <c r="F59" s="216" t="s">
        <v>153</v>
      </c>
    </row>
    <row r="60" spans="1:7" x14ac:dyDescent="0.2">
      <c r="B60" s="135" t="s">
        <v>194</v>
      </c>
      <c r="C60" s="136"/>
      <c r="D60" s="136"/>
      <c r="E60" s="136"/>
      <c r="F60" s="137"/>
    </row>
    <row r="61" spans="1:7" x14ac:dyDescent="0.2">
      <c r="B61" s="138" t="s">
        <v>195</v>
      </c>
      <c r="C61" s="139">
        <f>ROUND(D34,-2)</f>
        <v>1848300</v>
      </c>
      <c r="D61" s="139">
        <f>ROUND(E34,-2)</f>
        <v>1875000</v>
      </c>
      <c r="E61" s="139">
        <f>ROUND(F34,-2)</f>
        <v>1908300</v>
      </c>
      <c r="F61" s="140">
        <f>SUM(C61:E61)</f>
        <v>5631600</v>
      </c>
    </row>
    <row r="62" spans="1:7" x14ac:dyDescent="0.2">
      <c r="B62" s="118"/>
      <c r="C62" s="141"/>
      <c r="D62" s="141"/>
      <c r="E62" s="141"/>
      <c r="F62" s="140">
        <f>SUM(C62:E62)</f>
        <v>0</v>
      </c>
    </row>
    <row r="63" spans="1:7" x14ac:dyDescent="0.2">
      <c r="B63" s="255" t="s">
        <v>162</v>
      </c>
      <c r="C63" s="256">
        <f>SUM(C61:C62)</f>
        <v>1848300</v>
      </c>
      <c r="D63" s="256">
        <f>SUM(D61:D62)</f>
        <v>1875000</v>
      </c>
      <c r="E63" s="256">
        <f>SUM(E61:E62)</f>
        <v>1908300</v>
      </c>
      <c r="F63" s="256">
        <f>SUM(F61:F62)</f>
        <v>5631600</v>
      </c>
    </row>
    <row r="64" spans="1:7" x14ac:dyDescent="0.2">
      <c r="B64" s="135" t="s">
        <v>196</v>
      </c>
      <c r="C64" s="140"/>
      <c r="D64" s="140"/>
      <c r="E64" s="140"/>
      <c r="F64" s="140"/>
    </row>
    <row r="65" spans="2:6" x14ac:dyDescent="0.2">
      <c r="B65" s="138" t="s">
        <v>197</v>
      </c>
      <c r="C65" s="140">
        <f>D52</f>
        <v>370000</v>
      </c>
      <c r="D65" s="140">
        <f>E52</f>
        <v>327500</v>
      </c>
      <c r="E65" s="140">
        <f>F52</f>
        <v>345000</v>
      </c>
      <c r="F65" s="140">
        <f>SUM(C65:E65)</f>
        <v>1042500</v>
      </c>
    </row>
    <row r="66" spans="2:6" x14ac:dyDescent="0.2">
      <c r="B66" s="138" t="s">
        <v>2</v>
      </c>
      <c r="C66" s="140">
        <f>C9</f>
        <v>467000</v>
      </c>
      <c r="D66" s="140">
        <f>D9</f>
        <v>506000</v>
      </c>
      <c r="E66" s="140">
        <f>E9</f>
        <v>455000</v>
      </c>
      <c r="F66" s="140">
        <f t="shared" ref="F66:F75" si="1">SUM(C66:E66)</f>
        <v>1428000</v>
      </c>
    </row>
    <row r="67" spans="2:6" x14ac:dyDescent="0.2">
      <c r="B67" s="138" t="s">
        <v>18</v>
      </c>
      <c r="C67" s="140"/>
      <c r="D67" s="140">
        <v>131600</v>
      </c>
      <c r="E67" s="140"/>
      <c r="F67" s="140">
        <f t="shared" si="1"/>
        <v>131600</v>
      </c>
    </row>
    <row r="68" spans="2:6" x14ac:dyDescent="0.2">
      <c r="B68" s="138" t="s">
        <v>3</v>
      </c>
      <c r="C68" s="140">
        <f t="shared" ref="C68:E71" si="2">C12</f>
        <v>25000</v>
      </c>
      <c r="D68" s="140">
        <f t="shared" si="2"/>
        <v>25000</v>
      </c>
      <c r="E68" s="140">
        <f t="shared" si="2"/>
        <v>25000</v>
      </c>
      <c r="F68" s="140">
        <f t="shared" si="1"/>
        <v>75000</v>
      </c>
    </row>
    <row r="69" spans="2:6" x14ac:dyDescent="0.2">
      <c r="B69" s="138" t="s">
        <v>19</v>
      </c>
      <c r="C69" s="140">
        <f t="shared" si="2"/>
        <v>5800</v>
      </c>
      <c r="D69" s="140">
        <f t="shared" si="2"/>
        <v>5800</v>
      </c>
      <c r="E69" s="140">
        <f t="shared" si="2"/>
        <v>5800</v>
      </c>
      <c r="F69" s="140">
        <f t="shared" si="1"/>
        <v>17400</v>
      </c>
    </row>
    <row r="70" spans="2:6" x14ac:dyDescent="0.2">
      <c r="B70" s="138" t="s">
        <v>217</v>
      </c>
      <c r="C70" s="140">
        <f t="shared" si="2"/>
        <v>275000</v>
      </c>
      <c r="D70" s="140">
        <f t="shared" si="2"/>
        <v>280000</v>
      </c>
      <c r="E70" s="140">
        <f t="shared" si="2"/>
        <v>290000</v>
      </c>
      <c r="F70" s="140">
        <f t="shared" si="1"/>
        <v>845000</v>
      </c>
    </row>
    <row r="71" spans="2:6" x14ac:dyDescent="0.2">
      <c r="B71" s="138" t="s">
        <v>198</v>
      </c>
      <c r="C71" s="140">
        <f t="shared" si="2"/>
        <v>155000</v>
      </c>
      <c r="D71" s="140">
        <f t="shared" si="2"/>
        <v>155000</v>
      </c>
      <c r="E71" s="140">
        <f t="shared" si="2"/>
        <v>155000</v>
      </c>
      <c r="F71" s="140">
        <f t="shared" si="1"/>
        <v>465000</v>
      </c>
    </row>
    <row r="72" spans="2:6" x14ac:dyDescent="0.2">
      <c r="B72" s="138" t="s">
        <v>199</v>
      </c>
      <c r="C72" s="140">
        <v>84500</v>
      </c>
      <c r="D72" s="140"/>
      <c r="E72" s="140">
        <f>42000+34000</f>
        <v>76000</v>
      </c>
      <c r="F72" s="140">
        <f t="shared" si="1"/>
        <v>160500</v>
      </c>
    </row>
    <row r="73" spans="2:6" x14ac:dyDescent="0.2">
      <c r="B73" s="118" t="s">
        <v>200</v>
      </c>
      <c r="C73" s="140">
        <v>438200</v>
      </c>
      <c r="D73" s="140"/>
      <c r="E73" s="140">
        <v>390000</v>
      </c>
      <c r="F73" s="140">
        <f t="shared" si="1"/>
        <v>828200</v>
      </c>
    </row>
    <row r="74" spans="2:6" x14ac:dyDescent="0.2">
      <c r="B74" s="143" t="s">
        <v>218</v>
      </c>
      <c r="C74" s="140">
        <v>48000</v>
      </c>
      <c r="D74" s="140"/>
      <c r="E74" s="140"/>
      <c r="F74" s="140">
        <f t="shared" si="1"/>
        <v>48000</v>
      </c>
    </row>
    <row r="75" spans="2:6" x14ac:dyDescent="0.2">
      <c r="B75" s="255" t="s">
        <v>182</v>
      </c>
      <c r="C75" s="256">
        <f>SUM(C65:C74)</f>
        <v>1868500</v>
      </c>
      <c r="D75" s="256">
        <f>SUM(D65:D74)</f>
        <v>1430900</v>
      </c>
      <c r="E75" s="256">
        <f>SUM(E65:E74)</f>
        <v>1741800</v>
      </c>
      <c r="F75" s="256">
        <f t="shared" si="1"/>
        <v>5041200</v>
      </c>
    </row>
    <row r="76" spans="2:6" x14ac:dyDescent="0.2">
      <c r="B76" s="138"/>
      <c r="C76" s="140"/>
      <c r="D76" s="140"/>
      <c r="E76" s="140"/>
      <c r="F76" s="140"/>
    </row>
    <row r="77" spans="2:6" x14ac:dyDescent="0.2">
      <c r="B77" s="138" t="s">
        <v>201</v>
      </c>
      <c r="C77" s="140">
        <f>C63-C75</f>
        <v>-20200</v>
      </c>
      <c r="D77" s="140">
        <f>D63-D75</f>
        <v>444100</v>
      </c>
      <c r="E77" s="140">
        <f>E63-E75</f>
        <v>166500</v>
      </c>
      <c r="F77" s="140">
        <f>F63-F75</f>
        <v>590400</v>
      </c>
    </row>
    <row r="78" spans="2:6" x14ac:dyDescent="0.2">
      <c r="B78" s="138"/>
      <c r="C78" s="140"/>
      <c r="D78" s="140"/>
      <c r="E78" s="140"/>
      <c r="F78" s="140"/>
    </row>
    <row r="79" spans="2:6" x14ac:dyDescent="0.2">
      <c r="B79" s="138" t="s">
        <v>202</v>
      </c>
      <c r="C79" s="140">
        <v>840000</v>
      </c>
      <c r="D79" s="140">
        <f>C80</f>
        <v>819800</v>
      </c>
      <c r="E79" s="140">
        <f>D80</f>
        <v>1263900</v>
      </c>
      <c r="F79" s="140">
        <f>C79</f>
        <v>840000</v>
      </c>
    </row>
    <row r="80" spans="2:6" x14ac:dyDescent="0.2">
      <c r="B80" s="144" t="s">
        <v>203</v>
      </c>
      <c r="C80" s="145">
        <f>C79+C77</f>
        <v>819800</v>
      </c>
      <c r="D80" s="145">
        <f>D79+D77</f>
        <v>1263900</v>
      </c>
      <c r="E80" s="146">
        <f>E79+E77</f>
        <v>1430400</v>
      </c>
      <c r="F80" s="146">
        <f>SUM(F77:F79)</f>
        <v>1430400</v>
      </c>
    </row>
    <row r="81" spans="2:6" x14ac:dyDescent="0.2">
      <c r="B81" s="196"/>
      <c r="C81" s="147"/>
      <c r="D81" s="147"/>
      <c r="E81" s="147"/>
      <c r="F81" s="147"/>
    </row>
    <row r="82" spans="2:6" x14ac:dyDescent="0.2">
      <c r="B82" s="252" t="s">
        <v>219</v>
      </c>
      <c r="C82" s="253">
        <f>C6*(1+$D$1)</f>
        <v>1825000</v>
      </c>
      <c r="D82" s="253">
        <f>D6*(1+$D$1)</f>
        <v>1975000</v>
      </c>
      <c r="E82" s="253">
        <f>E6*(1+$D$1)</f>
        <v>1775000</v>
      </c>
      <c r="F82" s="147"/>
    </row>
    <row r="83" spans="2:6" x14ac:dyDescent="0.2">
      <c r="B83" s="196" t="s">
        <v>204</v>
      </c>
      <c r="C83" s="233">
        <v>0.5</v>
      </c>
      <c r="D83" s="233">
        <v>0.5</v>
      </c>
      <c r="E83" s="233">
        <v>0.5</v>
      </c>
      <c r="F83" s="148"/>
    </row>
    <row r="84" spans="2:6" x14ac:dyDescent="0.2">
      <c r="B84" s="196" t="s">
        <v>205</v>
      </c>
      <c r="C84" s="234">
        <f>C80/C82</f>
        <v>0.4492054794520548</v>
      </c>
      <c r="D84" s="234">
        <f>D80/D82</f>
        <v>0.63994936708860761</v>
      </c>
      <c r="E84" s="234">
        <f>E80/E82</f>
        <v>0.80585915492957749</v>
      </c>
      <c r="F84" s="148"/>
    </row>
    <row r="85" spans="2:6" x14ac:dyDescent="0.2">
      <c r="B85" s="196"/>
      <c r="C85" s="196"/>
      <c r="D85" s="196"/>
      <c r="E85" s="196"/>
      <c r="F85" s="196"/>
    </row>
  </sheetData>
  <mergeCells count="5">
    <mergeCell ref="A58:F58"/>
    <mergeCell ref="C28:C29"/>
    <mergeCell ref="D28:G28"/>
    <mergeCell ref="C46:C47"/>
    <mergeCell ref="D46:G46"/>
  </mergeCells>
  <phoneticPr fontId="0" type="noConversion"/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.28515625" style="23" customWidth="1"/>
    <col min="3" max="3" width="23" style="23" bestFit="1" customWidth="1"/>
    <col min="4" max="4" width="12.85546875" style="23" bestFit="1" customWidth="1"/>
    <col min="5" max="5" width="12.85546875" style="23" customWidth="1"/>
    <col min="6" max="6" width="12.28515625" style="23" bestFit="1" customWidth="1"/>
    <col min="7" max="16384" width="11.42578125" style="23"/>
  </cols>
  <sheetData>
    <row r="1" spans="1:9" x14ac:dyDescent="0.2">
      <c r="A1" s="52" t="s">
        <v>295</v>
      </c>
    </row>
    <row r="2" spans="1:9" x14ac:dyDescent="0.2">
      <c r="B2" s="56"/>
    </row>
    <row r="3" spans="1:9" x14ac:dyDescent="0.2">
      <c r="A3" s="52" t="s">
        <v>26</v>
      </c>
      <c r="B3" s="169"/>
      <c r="C3" s="168"/>
      <c r="D3" s="338" t="s">
        <v>10</v>
      </c>
      <c r="E3" s="339"/>
      <c r="F3" s="338" t="s">
        <v>12</v>
      </c>
      <c r="G3" s="372"/>
      <c r="H3" s="344" t="s">
        <v>231</v>
      </c>
      <c r="I3" s="346"/>
    </row>
    <row r="4" spans="1:9" x14ac:dyDescent="0.2">
      <c r="B4" s="24"/>
      <c r="C4" s="25"/>
      <c r="D4" s="26" t="s">
        <v>14</v>
      </c>
      <c r="E4" s="27" t="s">
        <v>15</v>
      </c>
      <c r="F4" s="27" t="str">
        <f>D4</f>
        <v>Kr</v>
      </c>
      <c r="G4" s="27" t="str">
        <f>E4</f>
        <v>%</v>
      </c>
      <c r="H4" s="165" t="str">
        <f>F4</f>
        <v>Kr</v>
      </c>
      <c r="I4" s="165" t="str">
        <f>G4</f>
        <v>%</v>
      </c>
    </row>
    <row r="5" spans="1:9" x14ac:dyDescent="0.2">
      <c r="B5" s="24"/>
      <c r="C5" s="25" t="s">
        <v>0</v>
      </c>
      <c r="D5" s="32">
        <v>728000</v>
      </c>
      <c r="E5" s="20">
        <f>D5/D5</f>
        <v>1</v>
      </c>
      <c r="F5" s="33">
        <v>780000</v>
      </c>
      <c r="G5" s="162">
        <f>F5/F5</f>
        <v>1</v>
      </c>
      <c r="H5" s="66">
        <f>D5-F5</f>
        <v>-52000</v>
      </c>
      <c r="I5" s="166">
        <f>H5/F5</f>
        <v>-6.6666666666666666E-2</v>
      </c>
    </row>
    <row r="6" spans="1:9" x14ac:dyDescent="0.2">
      <c r="B6" s="171" t="s">
        <v>74</v>
      </c>
      <c r="C6" s="56" t="s">
        <v>16</v>
      </c>
      <c r="D6" s="34">
        <v>462000</v>
      </c>
      <c r="E6" s="21">
        <f>D6/D5</f>
        <v>0.63461538461538458</v>
      </c>
      <c r="F6" s="35">
        <v>468000</v>
      </c>
      <c r="G6" s="163">
        <f>F6/F5</f>
        <v>0.6</v>
      </c>
      <c r="H6" s="30">
        <f>F6-D6</f>
        <v>6000</v>
      </c>
      <c r="I6" s="40">
        <f>H6/F6</f>
        <v>1.282051282051282E-2</v>
      </c>
    </row>
    <row r="7" spans="1:9" x14ac:dyDescent="0.2">
      <c r="B7" s="170" t="s">
        <v>69</v>
      </c>
      <c r="C7" s="48" t="s">
        <v>170</v>
      </c>
      <c r="D7" s="160">
        <f>D5-D6</f>
        <v>266000</v>
      </c>
      <c r="E7" s="50">
        <f>D7/D5</f>
        <v>0.36538461538461536</v>
      </c>
      <c r="F7" s="160">
        <f>F5-F6</f>
        <v>312000</v>
      </c>
      <c r="G7" s="164">
        <f>F7/F5</f>
        <v>0.4</v>
      </c>
      <c r="H7" s="63">
        <f>D7-F7</f>
        <v>-46000</v>
      </c>
      <c r="I7" s="167">
        <f>H7/F7</f>
        <v>-0.14743589743589744</v>
      </c>
    </row>
    <row r="8" spans="1:9" x14ac:dyDescent="0.2">
      <c r="C8" s="25"/>
      <c r="D8" s="59"/>
      <c r="E8" s="155"/>
      <c r="F8" s="59"/>
      <c r="G8" s="155"/>
    </row>
    <row r="9" spans="1:9" x14ac:dyDescent="0.2">
      <c r="D9" s="31"/>
      <c r="E9" s="31"/>
      <c r="F9" s="31"/>
      <c r="G9" s="31"/>
    </row>
    <row r="10" spans="1:9" x14ac:dyDescent="0.2">
      <c r="A10" s="52" t="s">
        <v>27</v>
      </c>
      <c r="B10" s="52"/>
      <c r="C10" s="47" t="s">
        <v>232</v>
      </c>
    </row>
    <row r="14" spans="1:9" x14ac:dyDescent="0.2">
      <c r="A14" s="52" t="s">
        <v>294</v>
      </c>
    </row>
    <row r="17" spans="1:10" x14ac:dyDescent="0.2">
      <c r="A17" s="52" t="s">
        <v>26</v>
      </c>
      <c r="B17" s="172"/>
      <c r="C17" s="38"/>
      <c r="D17" s="338" t="s">
        <v>10</v>
      </c>
      <c r="E17" s="339"/>
      <c r="F17" s="338" t="s">
        <v>12</v>
      </c>
      <c r="G17" s="372"/>
      <c r="H17" s="344" t="s">
        <v>231</v>
      </c>
      <c r="I17" s="346"/>
    </row>
    <row r="18" spans="1:10" x14ac:dyDescent="0.2">
      <c r="B18" s="24"/>
      <c r="C18" s="39"/>
      <c r="D18" s="26" t="s">
        <v>14</v>
      </c>
      <c r="E18" s="27" t="s">
        <v>15</v>
      </c>
      <c r="F18" s="27" t="str">
        <f>D18</f>
        <v>Kr</v>
      </c>
      <c r="G18" s="27" t="str">
        <f>E18</f>
        <v>%</v>
      </c>
      <c r="H18" s="165" t="str">
        <f>F18</f>
        <v>Kr</v>
      </c>
      <c r="I18" s="165" t="str">
        <f>G18</f>
        <v>%</v>
      </c>
    </row>
    <row r="19" spans="1:10" x14ac:dyDescent="0.2">
      <c r="B19" s="24"/>
      <c r="C19" s="25" t="s">
        <v>0</v>
      </c>
      <c r="D19" s="175">
        <v>458000</v>
      </c>
      <c r="E19" s="49">
        <f>D19/D19</f>
        <v>1</v>
      </c>
      <c r="F19" s="175">
        <v>400000</v>
      </c>
      <c r="G19" s="49">
        <f>F19/F19</f>
        <v>1</v>
      </c>
      <c r="H19" s="66">
        <f>D19-F19</f>
        <v>58000</v>
      </c>
      <c r="I19" s="166">
        <f>H19/F19</f>
        <v>0.14499999999999999</v>
      </c>
    </row>
    <row r="20" spans="1:10" x14ac:dyDescent="0.2">
      <c r="B20" s="171" t="s">
        <v>74</v>
      </c>
      <c r="C20" s="56" t="s">
        <v>16</v>
      </c>
      <c r="D20" s="35">
        <v>270000</v>
      </c>
      <c r="E20" s="21">
        <f>D20/D19</f>
        <v>0.58951965065502188</v>
      </c>
      <c r="F20" s="35">
        <v>220000</v>
      </c>
      <c r="G20" s="21">
        <f>F20/F19</f>
        <v>0.55000000000000004</v>
      </c>
      <c r="H20" s="30">
        <f>F20-D20</f>
        <v>-50000</v>
      </c>
      <c r="I20" s="40">
        <f>H20/F20</f>
        <v>-0.22727272727272727</v>
      </c>
    </row>
    <row r="21" spans="1:10" x14ac:dyDescent="0.2">
      <c r="B21" s="174" t="s">
        <v>69</v>
      </c>
      <c r="C21" s="38" t="s">
        <v>170</v>
      </c>
      <c r="D21" s="33">
        <f>D19-D20</f>
        <v>188000</v>
      </c>
      <c r="E21" s="20">
        <f>D21/$D$19</f>
        <v>0.41048034934497818</v>
      </c>
      <c r="F21" s="33">
        <f>F19-F20</f>
        <v>180000</v>
      </c>
      <c r="G21" s="20">
        <f>F21/$F$19</f>
        <v>0.45</v>
      </c>
      <c r="H21" s="30">
        <f>D21-F21</f>
        <v>8000</v>
      </c>
      <c r="I21" s="40">
        <f>H21/F21</f>
        <v>4.4444444444444446E-2</v>
      </c>
    </row>
    <row r="22" spans="1:10" x14ac:dyDescent="0.2">
      <c r="B22" s="24" t="s">
        <v>74</v>
      </c>
      <c r="C22" s="39" t="s">
        <v>233</v>
      </c>
      <c r="D22" s="30">
        <v>140000</v>
      </c>
      <c r="E22" s="20">
        <f>D22/$D$19</f>
        <v>0.3056768558951965</v>
      </c>
      <c r="F22" s="30">
        <v>150000</v>
      </c>
      <c r="G22" s="20">
        <f>F22/$F$19</f>
        <v>0.375</v>
      </c>
      <c r="H22" s="30">
        <f>F22-D22</f>
        <v>10000</v>
      </c>
      <c r="I22" s="40">
        <f>H22/F22</f>
        <v>6.6666666666666666E-2</v>
      </c>
      <c r="J22" s="25"/>
    </row>
    <row r="23" spans="1:10" x14ac:dyDescent="0.2">
      <c r="B23" s="159" t="s">
        <v>69</v>
      </c>
      <c r="C23" s="173" t="s">
        <v>234</v>
      </c>
      <c r="D23" s="63">
        <f>D21-D22</f>
        <v>48000</v>
      </c>
      <c r="E23" s="50">
        <f>D23/$D$19</f>
        <v>0.10480349344978165</v>
      </c>
      <c r="F23" s="63">
        <f>F21-F22</f>
        <v>30000</v>
      </c>
      <c r="G23" s="50">
        <f>F23/$F$19</f>
        <v>7.4999999999999997E-2</v>
      </c>
      <c r="H23" s="63">
        <f>D23-F23</f>
        <v>18000</v>
      </c>
      <c r="I23" s="167">
        <f>H23/F23</f>
        <v>0.6</v>
      </c>
      <c r="J23" s="25"/>
    </row>
    <row r="26" spans="1:10" x14ac:dyDescent="0.2">
      <c r="A26" s="52" t="s">
        <v>27</v>
      </c>
      <c r="C26" s="23" t="s">
        <v>235</v>
      </c>
    </row>
    <row r="27" spans="1:10" x14ac:dyDescent="0.2">
      <c r="C27" s="47" t="s">
        <v>236</v>
      </c>
    </row>
    <row r="29" spans="1:10" x14ac:dyDescent="0.2">
      <c r="A29" s="52" t="s">
        <v>44</v>
      </c>
      <c r="C29" s="23" t="str">
        <f>C10</f>
        <v>Se lærebok.</v>
      </c>
    </row>
  </sheetData>
  <mergeCells count="6">
    <mergeCell ref="H17:I17"/>
    <mergeCell ref="H3:I3"/>
    <mergeCell ref="D3:E3"/>
    <mergeCell ref="F3:G3"/>
    <mergeCell ref="D17:E17"/>
    <mergeCell ref="F17:G17"/>
  </mergeCells>
  <phoneticPr fontId="0" type="noConversion"/>
  <pageMargins left="0.75" right="0.75" top="1" bottom="1" header="0.5" footer="0.5"/>
  <pageSetup paperSize="9" scale="95" fitToHeight="2" orientation="landscape" r:id="rId1"/>
  <headerFooter alignWithMargins="0">
    <oddHeader>&amp;COppgave 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.28515625" style="23" customWidth="1"/>
    <col min="3" max="3" width="23" style="23" bestFit="1" customWidth="1"/>
    <col min="4" max="4" width="12.85546875" style="23" bestFit="1" customWidth="1"/>
    <col min="5" max="5" width="12.85546875" style="23" customWidth="1"/>
    <col min="6" max="6" width="12.28515625" style="23" bestFit="1" customWidth="1"/>
    <col min="7" max="16384" width="11.42578125" style="23"/>
  </cols>
  <sheetData>
    <row r="1" spans="1:9" x14ac:dyDescent="0.2">
      <c r="B1" s="56"/>
    </row>
    <row r="2" spans="1:9" x14ac:dyDescent="0.2">
      <c r="A2" s="52" t="s">
        <v>26</v>
      </c>
      <c r="B2" s="169"/>
      <c r="C2" s="168"/>
      <c r="D2" s="338" t="s">
        <v>10</v>
      </c>
      <c r="E2" s="339"/>
      <c r="F2" s="338" t="s">
        <v>12</v>
      </c>
      <c r="G2" s="372"/>
      <c r="H2" s="344" t="s">
        <v>231</v>
      </c>
      <c r="I2" s="346"/>
    </row>
    <row r="3" spans="1:9" x14ac:dyDescent="0.2">
      <c r="B3" s="24"/>
      <c r="C3" s="25"/>
      <c r="D3" s="26" t="s">
        <v>14</v>
      </c>
      <c r="E3" s="27" t="s">
        <v>15</v>
      </c>
      <c r="F3" s="27" t="str">
        <f>D3</f>
        <v>Kr</v>
      </c>
      <c r="G3" s="27" t="str">
        <f>E3</f>
        <v>%</v>
      </c>
      <c r="H3" s="165" t="str">
        <f>F3</f>
        <v>Kr</v>
      </c>
      <c r="I3" s="165" t="str">
        <f>G3</f>
        <v>%</v>
      </c>
    </row>
    <row r="4" spans="1:9" x14ac:dyDescent="0.2">
      <c r="B4" s="24"/>
      <c r="C4" s="25" t="s">
        <v>0</v>
      </c>
      <c r="D4" s="32">
        <v>1108000</v>
      </c>
      <c r="E4" s="20">
        <f>D4/D4</f>
        <v>1</v>
      </c>
      <c r="F4" s="33">
        <v>1260000</v>
      </c>
      <c r="G4" s="162">
        <f>F4/F4</f>
        <v>1</v>
      </c>
      <c r="H4" s="66">
        <f>D4-F4</f>
        <v>-152000</v>
      </c>
      <c r="I4" s="176">
        <f>H4/F4</f>
        <v>-0.12063492063492064</v>
      </c>
    </row>
    <row r="5" spans="1:9" x14ac:dyDescent="0.2">
      <c r="B5" s="171" t="s">
        <v>74</v>
      </c>
      <c r="C5" s="56" t="s">
        <v>16</v>
      </c>
      <c r="D5" s="34">
        <v>806000</v>
      </c>
      <c r="E5" s="21">
        <f>D5/D4</f>
        <v>0.72743682310469315</v>
      </c>
      <c r="F5" s="35">
        <f>F4*0.7</f>
        <v>882000</v>
      </c>
      <c r="G5" s="163">
        <f>F5/F4</f>
        <v>0.7</v>
      </c>
      <c r="H5" s="30">
        <f>F5-D5</f>
        <v>76000</v>
      </c>
      <c r="I5" s="177">
        <f>H5/F5</f>
        <v>8.6167800453514742E-2</v>
      </c>
    </row>
    <row r="6" spans="1:9" x14ac:dyDescent="0.2">
      <c r="B6" s="170" t="s">
        <v>69</v>
      </c>
      <c r="C6" s="48" t="s">
        <v>170</v>
      </c>
      <c r="D6" s="160">
        <f>D4-D5</f>
        <v>302000</v>
      </c>
      <c r="E6" s="50">
        <f>D6/D4</f>
        <v>0.27256317689530685</v>
      </c>
      <c r="F6" s="160">
        <f>F4-F5</f>
        <v>378000</v>
      </c>
      <c r="G6" s="164">
        <f>F6/F4</f>
        <v>0.3</v>
      </c>
      <c r="H6" s="63">
        <f>D6-F6</f>
        <v>-76000</v>
      </c>
      <c r="I6" s="178">
        <f>H6/F6</f>
        <v>-0.20105820105820105</v>
      </c>
    </row>
    <row r="7" spans="1:9" x14ac:dyDescent="0.2">
      <c r="C7" s="25"/>
      <c r="D7" s="59"/>
      <c r="E7" s="155"/>
      <c r="F7" s="59"/>
      <c r="G7" s="155"/>
    </row>
    <row r="8" spans="1:9" x14ac:dyDescent="0.2">
      <c r="D8" s="31"/>
      <c r="E8" s="31"/>
      <c r="F8" s="31"/>
      <c r="G8" s="31"/>
    </row>
    <row r="9" spans="1:9" x14ac:dyDescent="0.2">
      <c r="A9" s="52" t="s">
        <v>27</v>
      </c>
    </row>
    <row r="10" spans="1:9" x14ac:dyDescent="0.2">
      <c r="C10" s="23" t="s">
        <v>237</v>
      </c>
      <c r="D10" s="47" t="s">
        <v>238</v>
      </c>
      <c r="F10" s="179">
        <f>30000*(15-15)</f>
        <v>0</v>
      </c>
    </row>
    <row r="11" spans="1:9" x14ac:dyDescent="0.2">
      <c r="C11" s="56" t="s">
        <v>239</v>
      </c>
      <c r="D11" s="55" t="s">
        <v>240</v>
      </c>
      <c r="E11" s="56"/>
      <c r="F11" s="180">
        <f>(27000-30000)*15</f>
        <v>-45000</v>
      </c>
    </row>
    <row r="12" spans="1:9" x14ac:dyDescent="0.2">
      <c r="C12" s="23" t="s">
        <v>241</v>
      </c>
      <c r="F12" s="182">
        <f>SUM(F10:F11)</f>
        <v>-45000</v>
      </c>
    </row>
    <row r="13" spans="1:9" x14ac:dyDescent="0.2">
      <c r="F13" s="179"/>
    </row>
    <row r="14" spans="1:9" x14ac:dyDescent="0.2">
      <c r="C14" s="23" t="s">
        <v>242</v>
      </c>
      <c r="D14" s="47" t="s">
        <v>243</v>
      </c>
      <c r="F14" s="181">
        <f>18000*(38-45)</f>
        <v>-126000</v>
      </c>
    </row>
    <row r="15" spans="1:9" x14ac:dyDescent="0.2">
      <c r="C15" s="56" t="s">
        <v>244</v>
      </c>
      <c r="D15" s="55" t="s">
        <v>245</v>
      </c>
      <c r="E15" s="56"/>
      <c r="F15" s="180">
        <f>(18500-18000)*38</f>
        <v>19000</v>
      </c>
    </row>
    <row r="16" spans="1:9" x14ac:dyDescent="0.2">
      <c r="C16" s="23" t="s">
        <v>246</v>
      </c>
      <c r="F16" s="182">
        <f>SUM(F14:F15)</f>
        <v>-107000</v>
      </c>
    </row>
    <row r="17" spans="1:6" x14ac:dyDescent="0.2">
      <c r="F17" s="179"/>
    </row>
    <row r="18" spans="1:6" x14ac:dyDescent="0.2">
      <c r="C18" s="23" t="s">
        <v>247</v>
      </c>
      <c r="F18" s="182">
        <f>H4</f>
        <v>-152000</v>
      </c>
    </row>
    <row r="20" spans="1:6" x14ac:dyDescent="0.2">
      <c r="C20" s="23" t="s">
        <v>248</v>
      </c>
    </row>
    <row r="22" spans="1:6" x14ac:dyDescent="0.2">
      <c r="A22" s="52" t="s">
        <v>44</v>
      </c>
      <c r="C22" s="47" t="s">
        <v>249</v>
      </c>
    </row>
    <row r="23" spans="1:6" x14ac:dyDescent="0.2">
      <c r="C23" s="23" t="s">
        <v>250</v>
      </c>
    </row>
  </sheetData>
  <mergeCells count="3">
    <mergeCell ref="H2:I2"/>
    <mergeCell ref="D2:E2"/>
    <mergeCell ref="F2:G2"/>
  </mergeCells>
  <phoneticPr fontId="0" type="noConversion"/>
  <pageMargins left="0.75" right="0.75" top="1" bottom="1" header="0.5" footer="0.5"/>
  <pageSetup paperSize="9" scale="95" fitToHeight="2" orientation="landscape" r:id="rId1"/>
  <headerFooter alignWithMargins="0">
    <oddHeader>&amp;COppgave 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2.28515625" style="23" bestFit="1" customWidth="1"/>
    <col min="6" max="16384" width="11.42578125" style="23"/>
  </cols>
  <sheetData>
    <row r="1" spans="1:8" x14ac:dyDescent="0.2">
      <c r="A1" s="57" t="s">
        <v>298</v>
      </c>
    </row>
    <row r="3" spans="1:8" x14ac:dyDescent="0.2">
      <c r="A3" s="23" t="s">
        <v>26</v>
      </c>
      <c r="B3" s="22"/>
      <c r="C3" s="338" t="s">
        <v>10</v>
      </c>
      <c r="D3" s="339"/>
      <c r="E3" s="338" t="s">
        <v>12</v>
      </c>
      <c r="F3" s="372"/>
      <c r="G3" s="344" t="s">
        <v>231</v>
      </c>
      <c r="H3" s="346"/>
    </row>
    <row r="4" spans="1:8" x14ac:dyDescent="0.2">
      <c r="B4" s="24"/>
      <c r="C4" s="26" t="s">
        <v>14</v>
      </c>
      <c r="D4" s="27" t="s">
        <v>15</v>
      </c>
      <c r="E4" s="27" t="str">
        <f>C4</f>
        <v>Kr</v>
      </c>
      <c r="F4" s="27" t="str">
        <f>D4</f>
        <v>%</v>
      </c>
      <c r="G4" s="165" t="str">
        <f>E4</f>
        <v>Kr</v>
      </c>
      <c r="H4" s="165" t="str">
        <f>F4</f>
        <v>%</v>
      </c>
    </row>
    <row r="5" spans="1:8" x14ac:dyDescent="0.2">
      <c r="B5" s="24" t="s">
        <v>0</v>
      </c>
      <c r="C5" s="32">
        <v>4224000</v>
      </c>
      <c r="D5" s="20">
        <f>C5/C5</f>
        <v>1</v>
      </c>
      <c r="E5" s="33">
        <v>3840000</v>
      </c>
      <c r="F5" s="162">
        <f>E5/E5</f>
        <v>1</v>
      </c>
      <c r="G5" s="66">
        <f>C5-E5</f>
        <v>384000</v>
      </c>
      <c r="H5" s="166">
        <f>G5/E5</f>
        <v>0.1</v>
      </c>
    </row>
    <row r="6" spans="1:8" x14ac:dyDescent="0.2">
      <c r="B6" s="24"/>
      <c r="C6" s="32"/>
      <c r="D6" s="20"/>
      <c r="E6" s="33"/>
      <c r="F6" s="162"/>
      <c r="G6" s="30"/>
      <c r="H6" s="40"/>
    </row>
    <row r="7" spans="1:8" x14ac:dyDescent="0.2">
      <c r="B7" s="28" t="s">
        <v>16</v>
      </c>
      <c r="C7" s="32">
        <v>2800000</v>
      </c>
      <c r="D7" s="20">
        <f>C7/$C$5</f>
        <v>0.66287878787878785</v>
      </c>
      <c r="E7" s="33">
        <v>2690000</v>
      </c>
      <c r="F7" s="162">
        <f t="shared" ref="F7:F13" si="0">E7/$E$5</f>
        <v>0.70052083333333337</v>
      </c>
      <c r="G7" s="30">
        <f>E7-C7</f>
        <v>-110000</v>
      </c>
      <c r="H7" s="40">
        <f>G7/E7</f>
        <v>-4.0892193308550186E-2</v>
      </c>
    </row>
    <row r="8" spans="1:8" x14ac:dyDescent="0.2">
      <c r="B8" s="24" t="s">
        <v>2</v>
      </c>
      <c r="C8" s="32">
        <v>496000</v>
      </c>
      <c r="D8" s="20">
        <f>C8/$C$5</f>
        <v>0.11742424242424243</v>
      </c>
      <c r="E8" s="33">
        <v>400000</v>
      </c>
      <c r="F8" s="162">
        <f t="shared" si="0"/>
        <v>0.10416666666666667</v>
      </c>
      <c r="G8" s="30">
        <f t="shared" ref="G8:G13" si="1">E8-C8</f>
        <v>-96000</v>
      </c>
      <c r="H8" s="40">
        <f t="shared" ref="H8:H13" si="2">G8/E8</f>
        <v>-0.24</v>
      </c>
    </row>
    <row r="9" spans="1:8" x14ac:dyDescent="0.2">
      <c r="B9" s="24" t="s">
        <v>3</v>
      </c>
      <c r="C9" s="32">
        <v>62400</v>
      </c>
      <c r="D9" s="20">
        <f>C9/$C$5</f>
        <v>1.4772727272727272E-2</v>
      </c>
      <c r="E9" s="33">
        <v>58000</v>
      </c>
      <c r="F9" s="162">
        <f t="shared" si="0"/>
        <v>1.5104166666666667E-2</v>
      </c>
      <c r="G9" s="30">
        <f t="shared" si="1"/>
        <v>-4400</v>
      </c>
      <c r="H9" s="40">
        <f t="shared" si="2"/>
        <v>-7.586206896551724E-2</v>
      </c>
    </row>
    <row r="10" spans="1:8" x14ac:dyDescent="0.2">
      <c r="B10" s="24" t="s">
        <v>4</v>
      </c>
      <c r="C10" s="32">
        <v>278400</v>
      </c>
      <c r="D10" s="20">
        <f>C10/$C$5</f>
        <v>6.5909090909090903E-2</v>
      </c>
      <c r="E10" s="33">
        <v>305000</v>
      </c>
      <c r="F10" s="162">
        <f t="shared" si="0"/>
        <v>7.9427083333333329E-2</v>
      </c>
      <c r="G10" s="30">
        <f t="shared" si="1"/>
        <v>26600</v>
      </c>
      <c r="H10" s="40">
        <f t="shared" si="2"/>
        <v>8.7213114754098361E-2</v>
      </c>
    </row>
    <row r="11" spans="1:8" x14ac:dyDescent="0.2">
      <c r="B11" s="183" t="s">
        <v>5</v>
      </c>
      <c r="C11" s="32">
        <v>96000</v>
      </c>
      <c r="D11" s="20">
        <f>C11/$C$5</f>
        <v>2.2727272727272728E-2</v>
      </c>
      <c r="E11" s="33">
        <v>77000</v>
      </c>
      <c r="F11" s="162">
        <f t="shared" si="0"/>
        <v>2.0052083333333335E-2</v>
      </c>
      <c r="G11" s="30">
        <f t="shared" si="1"/>
        <v>-19000</v>
      </c>
      <c r="H11" s="40">
        <f t="shared" si="2"/>
        <v>-0.24675324675324675</v>
      </c>
    </row>
    <row r="12" spans="1:8" x14ac:dyDescent="0.2">
      <c r="B12" s="184"/>
      <c r="C12" s="34"/>
      <c r="D12" s="21"/>
      <c r="E12" s="35"/>
      <c r="F12" s="163"/>
      <c r="G12" s="64"/>
      <c r="H12" s="93"/>
    </row>
    <row r="13" spans="1:8" x14ac:dyDescent="0.2">
      <c r="B13" s="28" t="s">
        <v>6</v>
      </c>
      <c r="C13" s="36">
        <f>SUM(C7:C11)</f>
        <v>3732800</v>
      </c>
      <c r="D13" s="20">
        <f>C13/$C$5</f>
        <v>0.88371212121212117</v>
      </c>
      <c r="E13" s="37">
        <f>SUM(E7:E11)</f>
        <v>3530000</v>
      </c>
      <c r="F13" s="162">
        <f t="shared" si="0"/>
        <v>0.91927083333333337</v>
      </c>
      <c r="G13" s="30">
        <f t="shared" si="1"/>
        <v>-202800</v>
      </c>
      <c r="H13" s="40">
        <f t="shared" si="2"/>
        <v>-5.745042492917847E-2</v>
      </c>
    </row>
    <row r="14" spans="1:8" x14ac:dyDescent="0.2">
      <c r="B14" s="29"/>
      <c r="C14" s="34"/>
      <c r="D14" s="21"/>
      <c r="E14" s="35"/>
      <c r="F14" s="163"/>
      <c r="G14" s="64"/>
      <c r="H14" s="93"/>
    </row>
    <row r="15" spans="1:8" x14ac:dyDescent="0.2">
      <c r="B15" s="24" t="s">
        <v>7</v>
      </c>
      <c r="C15" s="32">
        <f>C5-C13</f>
        <v>491200</v>
      </c>
      <c r="D15" s="20">
        <f>C15/$C$5</f>
        <v>0.11628787878787879</v>
      </c>
      <c r="E15" s="33">
        <f>E5-E13</f>
        <v>310000</v>
      </c>
      <c r="F15" s="162">
        <f>E15/$E$5</f>
        <v>8.0729166666666671E-2</v>
      </c>
      <c r="G15" s="30">
        <f>C15-E15</f>
        <v>181200</v>
      </c>
      <c r="H15" s="40">
        <f>G15/E15</f>
        <v>0.58451612903225802</v>
      </c>
    </row>
    <row r="16" spans="1:8" x14ac:dyDescent="0.2">
      <c r="B16" s="24"/>
      <c r="C16" s="32"/>
      <c r="D16" s="20"/>
      <c r="E16" s="33"/>
      <c r="F16" s="162"/>
      <c r="G16" s="30"/>
      <c r="H16" s="40"/>
    </row>
    <row r="17" spans="1:8" x14ac:dyDescent="0.2">
      <c r="B17" s="24" t="s">
        <v>8</v>
      </c>
      <c r="C17" s="32">
        <v>51200</v>
      </c>
      <c r="D17" s="20">
        <f>C17/$C$5</f>
        <v>1.2121212121212121E-2</v>
      </c>
      <c r="E17" s="33">
        <v>58000</v>
      </c>
      <c r="F17" s="162">
        <f>E17/$E$5</f>
        <v>1.5104166666666667E-2</v>
      </c>
      <c r="G17" s="30">
        <f>E17-C17</f>
        <v>6800</v>
      </c>
      <c r="H17" s="40">
        <f>G17/E17</f>
        <v>0.11724137931034483</v>
      </c>
    </row>
    <row r="18" spans="1:8" x14ac:dyDescent="0.2">
      <c r="B18" s="29"/>
      <c r="C18" s="34"/>
      <c r="D18" s="21"/>
      <c r="E18" s="35"/>
      <c r="F18" s="163"/>
      <c r="G18" s="64"/>
      <c r="H18" s="93"/>
    </row>
    <row r="19" spans="1:8" x14ac:dyDescent="0.2">
      <c r="B19" s="29" t="s">
        <v>9</v>
      </c>
      <c r="C19" s="34">
        <f>C15-C17</f>
        <v>440000</v>
      </c>
      <c r="D19" s="21">
        <f>C19/$C$5</f>
        <v>0.10416666666666667</v>
      </c>
      <c r="E19" s="35">
        <f>E15-E17</f>
        <v>252000</v>
      </c>
      <c r="F19" s="163">
        <f>E19/$E$5</f>
        <v>6.5625000000000003E-2</v>
      </c>
      <c r="G19" s="64">
        <f>C19-E19</f>
        <v>188000</v>
      </c>
      <c r="H19" s="93">
        <f>G19/E19</f>
        <v>0.74603174603174605</v>
      </c>
    </row>
    <row r="20" spans="1:8" x14ac:dyDescent="0.2">
      <c r="C20" s="31"/>
      <c r="D20" s="31"/>
      <c r="E20" s="31"/>
      <c r="F20" s="31"/>
      <c r="H20" s="161"/>
    </row>
    <row r="21" spans="1:8" x14ac:dyDescent="0.2">
      <c r="B21" s="23" t="s">
        <v>253</v>
      </c>
      <c r="C21" s="31"/>
      <c r="D21" s="31"/>
      <c r="E21" s="31"/>
      <c r="F21" s="31"/>
      <c r="H21" s="161"/>
    </row>
    <row r="23" spans="1:8" x14ac:dyDescent="0.2">
      <c r="A23" s="57" t="s">
        <v>299</v>
      </c>
    </row>
    <row r="25" spans="1:8" x14ac:dyDescent="0.2">
      <c r="A25" s="52" t="s">
        <v>26</v>
      </c>
      <c r="B25" s="22"/>
      <c r="C25" s="338" t="s">
        <v>10</v>
      </c>
      <c r="D25" s="339"/>
      <c r="E25" s="338" t="s">
        <v>12</v>
      </c>
      <c r="F25" s="372"/>
      <c r="G25" s="344" t="s">
        <v>231</v>
      </c>
      <c r="H25" s="346"/>
    </row>
    <row r="26" spans="1:8" x14ac:dyDescent="0.2">
      <c r="B26" s="24"/>
      <c r="C26" s="26" t="s">
        <v>14</v>
      </c>
      <c r="D26" s="27" t="s">
        <v>15</v>
      </c>
      <c r="E26" s="27" t="str">
        <f>C26</f>
        <v>Kr</v>
      </c>
      <c r="F26" s="27" t="str">
        <f>D26</f>
        <v>%</v>
      </c>
      <c r="G26" s="165" t="str">
        <f>E26</f>
        <v>Kr</v>
      </c>
      <c r="H26" s="165" t="str">
        <f>F26</f>
        <v>%</v>
      </c>
    </row>
    <row r="27" spans="1:8" x14ac:dyDescent="0.2">
      <c r="B27" s="24" t="s">
        <v>0</v>
      </c>
      <c r="C27" s="32">
        <v>1135000</v>
      </c>
      <c r="D27" s="20">
        <f>C27/C27</f>
        <v>1</v>
      </c>
      <c r="E27" s="33">
        <v>1250000</v>
      </c>
      <c r="F27" s="162">
        <f>E27/E27</f>
        <v>1</v>
      </c>
      <c r="G27" s="66">
        <f>C27-E27</f>
        <v>-115000</v>
      </c>
      <c r="H27" s="166">
        <f>G27/E27</f>
        <v>-9.1999999999999998E-2</v>
      </c>
    </row>
    <row r="28" spans="1:8" x14ac:dyDescent="0.2">
      <c r="B28" s="185" t="s">
        <v>16</v>
      </c>
      <c r="C28" s="34">
        <v>871000</v>
      </c>
      <c r="D28" s="21">
        <f>C28/$C$27</f>
        <v>0.76740088105726867</v>
      </c>
      <c r="E28" s="35">
        <v>919500</v>
      </c>
      <c r="F28" s="163">
        <f>E28/$E$27</f>
        <v>0.73560000000000003</v>
      </c>
      <c r="G28" s="64">
        <f>E28-C28</f>
        <v>48500</v>
      </c>
      <c r="H28" s="40">
        <f>G28/E28</f>
        <v>5.274605764002175E-2</v>
      </c>
    </row>
    <row r="29" spans="1:8" x14ac:dyDescent="0.2">
      <c r="B29" s="183" t="s">
        <v>170</v>
      </c>
      <c r="C29" s="32">
        <f>C27-C28</f>
        <v>264000</v>
      </c>
      <c r="D29" s="20">
        <f t="shared" ref="D29:D41" si="3">C29/$C$27</f>
        <v>0.23259911894273128</v>
      </c>
      <c r="E29" s="32">
        <f>E27-E28</f>
        <v>330500</v>
      </c>
      <c r="F29" s="162">
        <f t="shared" ref="F29:F41" si="4">E29/$E$27</f>
        <v>0.26440000000000002</v>
      </c>
      <c r="G29" s="30">
        <f>C29-E29</f>
        <v>-66500</v>
      </c>
      <c r="H29" s="166">
        <f>G29/E29</f>
        <v>-0.20121028744326777</v>
      </c>
    </row>
    <row r="30" spans="1:8" x14ac:dyDescent="0.2">
      <c r="B30" s="28"/>
      <c r="C30" s="32"/>
      <c r="D30" s="20"/>
      <c r="E30" s="33"/>
      <c r="F30" s="162"/>
      <c r="G30" s="30"/>
      <c r="H30" s="40"/>
    </row>
    <row r="31" spans="1:8" x14ac:dyDescent="0.2">
      <c r="B31" s="24" t="s">
        <v>2</v>
      </c>
      <c r="C31" s="32">
        <v>90900</v>
      </c>
      <c r="D31" s="20">
        <f t="shared" si="3"/>
        <v>8.008810572687225E-2</v>
      </c>
      <c r="E31" s="33">
        <v>85500</v>
      </c>
      <c r="F31" s="162">
        <f t="shared" si="4"/>
        <v>6.8400000000000002E-2</v>
      </c>
      <c r="G31" s="30">
        <f t="shared" ref="G31:G36" si="5">E31-C31</f>
        <v>-5400</v>
      </c>
      <c r="H31" s="40">
        <f t="shared" ref="H31:H37" si="6">G31/E31</f>
        <v>-6.3157894736842107E-2</v>
      </c>
    </row>
    <row r="32" spans="1:8" x14ac:dyDescent="0.2">
      <c r="B32" s="24" t="s">
        <v>18</v>
      </c>
      <c r="C32" s="32">
        <v>11700</v>
      </c>
      <c r="D32" s="20">
        <f t="shared" si="3"/>
        <v>1.0308370044052863E-2</v>
      </c>
      <c r="E32" s="33">
        <v>12000</v>
      </c>
      <c r="F32" s="162">
        <f t="shared" si="4"/>
        <v>9.5999999999999992E-3</v>
      </c>
      <c r="G32" s="30">
        <f t="shared" si="5"/>
        <v>300</v>
      </c>
      <c r="H32" s="40">
        <f t="shared" si="6"/>
        <v>2.5000000000000001E-2</v>
      </c>
    </row>
    <row r="33" spans="2:8" x14ac:dyDescent="0.2">
      <c r="B33" s="24" t="s">
        <v>251</v>
      </c>
      <c r="C33" s="32">
        <v>2700</v>
      </c>
      <c r="D33" s="20">
        <f t="shared" si="3"/>
        <v>2.3788546255506609E-3</v>
      </c>
      <c r="E33" s="33">
        <v>2500</v>
      </c>
      <c r="F33" s="162">
        <f t="shared" si="4"/>
        <v>2E-3</v>
      </c>
      <c r="G33" s="30">
        <f t="shared" si="5"/>
        <v>-200</v>
      </c>
      <c r="H33" s="40">
        <f t="shared" si="6"/>
        <v>-0.08</v>
      </c>
    </row>
    <row r="34" spans="2:8" x14ac:dyDescent="0.2">
      <c r="B34" s="183" t="s">
        <v>5</v>
      </c>
      <c r="C34" s="32">
        <v>7200</v>
      </c>
      <c r="D34" s="20">
        <f t="shared" si="3"/>
        <v>6.343612334801762E-3</v>
      </c>
      <c r="E34" s="33">
        <v>7200</v>
      </c>
      <c r="F34" s="162">
        <f t="shared" si="4"/>
        <v>5.7600000000000004E-3</v>
      </c>
      <c r="G34" s="30">
        <f t="shared" si="5"/>
        <v>0</v>
      </c>
      <c r="H34" s="40">
        <f t="shared" si="6"/>
        <v>0</v>
      </c>
    </row>
    <row r="35" spans="2:8" x14ac:dyDescent="0.2">
      <c r="B35" s="24" t="s">
        <v>4</v>
      </c>
      <c r="C35" s="32">
        <v>46700</v>
      </c>
      <c r="D35" s="20">
        <f t="shared" si="3"/>
        <v>4.114537444933921E-2</v>
      </c>
      <c r="E35" s="33">
        <v>43000</v>
      </c>
      <c r="F35" s="162">
        <f t="shared" si="4"/>
        <v>3.44E-2</v>
      </c>
      <c r="G35" s="30">
        <f t="shared" si="5"/>
        <v>-3700</v>
      </c>
      <c r="H35" s="40">
        <f t="shared" si="6"/>
        <v>-8.6046511627906982E-2</v>
      </c>
    </row>
    <row r="36" spans="2:8" x14ac:dyDescent="0.2">
      <c r="B36" s="29" t="s">
        <v>252</v>
      </c>
      <c r="C36" s="34">
        <v>24600</v>
      </c>
      <c r="D36" s="21">
        <f t="shared" si="3"/>
        <v>2.1674008810572687E-2</v>
      </c>
      <c r="E36" s="35">
        <v>21500</v>
      </c>
      <c r="F36" s="163">
        <f t="shared" si="4"/>
        <v>1.72E-2</v>
      </c>
      <c r="G36" s="64">
        <f t="shared" si="5"/>
        <v>-3100</v>
      </c>
      <c r="H36" s="40">
        <f t="shared" si="6"/>
        <v>-0.14418604651162792</v>
      </c>
    </row>
    <row r="37" spans="2:8" x14ac:dyDescent="0.2">
      <c r="B37" s="24" t="s">
        <v>7</v>
      </c>
      <c r="C37" s="32">
        <f>C29-SUM(C31:C36)</f>
        <v>80200</v>
      </c>
      <c r="D37" s="20">
        <f t="shared" si="3"/>
        <v>7.0660792951541845E-2</v>
      </c>
      <c r="E37" s="32">
        <f>E29-SUM(E31:E36)</f>
        <v>158800</v>
      </c>
      <c r="F37" s="162">
        <f t="shared" si="4"/>
        <v>0.12703999999999999</v>
      </c>
      <c r="G37" s="30">
        <f>C37-E37</f>
        <v>-78600</v>
      </c>
      <c r="H37" s="166">
        <f t="shared" si="6"/>
        <v>-0.49496221662468515</v>
      </c>
    </row>
    <row r="38" spans="2:8" x14ac:dyDescent="0.2">
      <c r="B38" s="24"/>
      <c r="C38" s="32"/>
      <c r="D38" s="20"/>
      <c r="E38" s="33"/>
      <c r="F38" s="162"/>
      <c r="G38" s="30"/>
      <c r="H38" s="40"/>
    </row>
    <row r="39" spans="2:8" x14ac:dyDescent="0.2">
      <c r="B39" s="24" t="s">
        <v>8</v>
      </c>
      <c r="C39" s="32">
        <v>7200</v>
      </c>
      <c r="D39" s="20">
        <f t="shared" si="3"/>
        <v>6.343612334801762E-3</v>
      </c>
      <c r="E39" s="33">
        <v>7200</v>
      </c>
      <c r="F39" s="162">
        <f t="shared" si="4"/>
        <v>5.7600000000000004E-3</v>
      </c>
      <c r="G39" s="30">
        <f>E39-C39</f>
        <v>0</v>
      </c>
      <c r="H39" s="40">
        <f>G39/E39</f>
        <v>0</v>
      </c>
    </row>
    <row r="40" spans="2:8" x14ac:dyDescent="0.2">
      <c r="B40" s="24"/>
      <c r="C40" s="32"/>
      <c r="D40" s="20"/>
      <c r="E40" s="33"/>
      <c r="F40" s="162"/>
      <c r="G40" s="30"/>
      <c r="H40" s="40"/>
    </row>
    <row r="41" spans="2:8" x14ac:dyDescent="0.2">
      <c r="B41" s="159" t="s">
        <v>9</v>
      </c>
      <c r="C41" s="160">
        <f>C37-C39</f>
        <v>73000</v>
      </c>
      <c r="D41" s="50">
        <f t="shared" si="3"/>
        <v>6.4317180616740091E-2</v>
      </c>
      <c r="E41" s="46">
        <f>E37-E39</f>
        <v>151600</v>
      </c>
      <c r="F41" s="164">
        <f t="shared" si="4"/>
        <v>0.12128</v>
      </c>
      <c r="G41" s="63">
        <f>C41-E41</f>
        <v>-78600</v>
      </c>
      <c r="H41" s="167">
        <f>G41/E41</f>
        <v>-0.51846965699208447</v>
      </c>
    </row>
    <row r="43" spans="2:8" x14ac:dyDescent="0.2">
      <c r="B43" s="23" t="str">
        <f>B21</f>
        <v>Kommentarer utelatt. Se lærebok.</v>
      </c>
    </row>
  </sheetData>
  <mergeCells count="6">
    <mergeCell ref="G3:H3"/>
    <mergeCell ref="C3:D3"/>
    <mergeCell ref="E3:F3"/>
    <mergeCell ref="C25:D25"/>
    <mergeCell ref="E25:F25"/>
    <mergeCell ref="G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fitToHeight="2" orientation="portrait" r:id="rId1"/>
  <headerFooter alignWithMargins="0">
    <oddHeader>&amp;COppgave 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6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2.28515625" style="23" bestFit="1" customWidth="1"/>
    <col min="6" max="16384" width="11.42578125" style="23"/>
  </cols>
  <sheetData>
    <row r="3" spans="2:6" x14ac:dyDescent="0.2">
      <c r="B3" s="22"/>
      <c r="C3" s="338" t="s">
        <v>10</v>
      </c>
      <c r="D3" s="339"/>
      <c r="E3" s="338" t="s">
        <v>12</v>
      </c>
      <c r="F3" s="339"/>
    </row>
    <row r="4" spans="2:6" x14ac:dyDescent="0.2">
      <c r="B4" s="24"/>
      <c r="C4" s="340" t="s">
        <v>11</v>
      </c>
      <c r="D4" s="341"/>
      <c r="E4" s="342" t="s">
        <v>13</v>
      </c>
      <c r="F4" s="343"/>
    </row>
    <row r="5" spans="2:6" x14ac:dyDescent="0.2">
      <c r="B5" s="64"/>
      <c r="C5" s="26" t="s">
        <v>14</v>
      </c>
      <c r="D5" s="27" t="s">
        <v>15</v>
      </c>
      <c r="E5" s="27" t="str">
        <f>C5</f>
        <v>Kr</v>
      </c>
      <c r="F5" s="27" t="str">
        <f>D5</f>
        <v>%</v>
      </c>
    </row>
    <row r="6" spans="2:6" x14ac:dyDescent="0.2">
      <c r="B6" s="24" t="s">
        <v>0</v>
      </c>
      <c r="C6" s="32">
        <v>1912800</v>
      </c>
      <c r="D6" s="20">
        <f>C6/C6</f>
        <v>1</v>
      </c>
      <c r="E6" s="33">
        <f>C6*1.05</f>
        <v>2008440</v>
      </c>
      <c r="F6" s="20">
        <f>E6/E6</f>
        <v>1</v>
      </c>
    </row>
    <row r="7" spans="2:6" x14ac:dyDescent="0.2">
      <c r="B7" s="24"/>
      <c r="C7" s="32"/>
      <c r="D7" s="20"/>
      <c r="E7" s="33"/>
      <c r="F7" s="20"/>
    </row>
    <row r="8" spans="2:6" x14ac:dyDescent="0.2">
      <c r="B8" s="28" t="s">
        <v>16</v>
      </c>
      <c r="C8" s="32">
        <v>1432700</v>
      </c>
      <c r="D8" s="20">
        <f t="shared" ref="D8:D16" si="0">C8/$C$6</f>
        <v>0.74900669176076951</v>
      </c>
      <c r="E8" s="33">
        <f>INT(E6*0.73)</f>
        <v>1466161</v>
      </c>
      <c r="F8" s="20">
        <f t="shared" ref="F8:F16" si="1">E8/$E$6</f>
        <v>0.72999990042022667</v>
      </c>
    </row>
    <row r="9" spans="2:6" x14ac:dyDescent="0.2">
      <c r="B9" s="24" t="s">
        <v>2</v>
      </c>
      <c r="C9" s="32">
        <v>240000</v>
      </c>
      <c r="D9" s="20">
        <f t="shared" si="0"/>
        <v>0.12547051442910917</v>
      </c>
      <c r="E9" s="33">
        <f>INT(C9*1.05)</f>
        <v>252000</v>
      </c>
      <c r="F9" s="20">
        <f t="shared" si="1"/>
        <v>0.12547051442910917</v>
      </c>
    </row>
    <row r="10" spans="2:6" x14ac:dyDescent="0.2">
      <c r="B10" s="24" t="s">
        <v>17</v>
      </c>
      <c r="C10" s="32">
        <f>C9*0.12</f>
        <v>28800</v>
      </c>
      <c r="D10" s="20">
        <f t="shared" si="0"/>
        <v>1.5056461731493099E-2</v>
      </c>
      <c r="E10" s="33">
        <f>INT(C10*1.05)</f>
        <v>30240</v>
      </c>
      <c r="F10" s="20">
        <f t="shared" si="1"/>
        <v>1.5056461731493099E-2</v>
      </c>
    </row>
    <row r="11" spans="2:6" x14ac:dyDescent="0.2">
      <c r="B11" s="24" t="s">
        <v>18</v>
      </c>
      <c r="C11" s="32">
        <v>37900</v>
      </c>
      <c r="D11" s="20">
        <f t="shared" si="0"/>
        <v>1.9813885403596822E-2</v>
      </c>
      <c r="E11" s="33">
        <f>INT(C11*1.05)</f>
        <v>39795</v>
      </c>
      <c r="F11" s="20">
        <f t="shared" si="1"/>
        <v>1.9813885403596822E-2</v>
      </c>
    </row>
    <row r="12" spans="2:6" x14ac:dyDescent="0.2">
      <c r="B12" s="24" t="s">
        <v>3</v>
      </c>
      <c r="C12" s="32">
        <v>45800</v>
      </c>
      <c r="D12" s="20">
        <f t="shared" si="0"/>
        <v>2.3943956503554999E-2</v>
      </c>
      <c r="E12" s="33">
        <f>C12+(800*12)</f>
        <v>55400</v>
      </c>
      <c r="F12" s="20">
        <f t="shared" si="1"/>
        <v>2.7583597219732726E-2</v>
      </c>
    </row>
    <row r="13" spans="2:6" x14ac:dyDescent="0.2">
      <c r="B13" s="24" t="s">
        <v>4</v>
      </c>
      <c r="C13" s="32">
        <v>68300</v>
      </c>
      <c r="D13" s="20">
        <f t="shared" si="0"/>
        <v>3.570681723128398E-2</v>
      </c>
      <c r="E13" s="33">
        <f>C13</f>
        <v>68300</v>
      </c>
      <c r="F13" s="20">
        <f t="shared" si="1"/>
        <v>3.4006492601222842E-2</v>
      </c>
    </row>
    <row r="14" spans="2:6" x14ac:dyDescent="0.2">
      <c r="B14" s="28" t="s">
        <v>19</v>
      </c>
      <c r="C14" s="32"/>
      <c r="D14" s="20"/>
      <c r="E14" s="33">
        <v>30000</v>
      </c>
      <c r="F14" s="20">
        <f t="shared" si="1"/>
        <v>1.4936966003465377E-2</v>
      </c>
    </row>
    <row r="15" spans="2:6" x14ac:dyDescent="0.2">
      <c r="B15" s="29" t="s">
        <v>5</v>
      </c>
      <c r="C15" s="34">
        <v>18500</v>
      </c>
      <c r="D15" s="21">
        <f t="shared" si="0"/>
        <v>9.6716854872438314E-3</v>
      </c>
      <c r="E15" s="35">
        <f>C15+25000</f>
        <v>43500</v>
      </c>
      <c r="F15" s="21">
        <f t="shared" si="1"/>
        <v>2.1658600705024796E-2</v>
      </c>
    </row>
    <row r="16" spans="2:6" x14ac:dyDescent="0.2">
      <c r="B16" s="28" t="s">
        <v>6</v>
      </c>
      <c r="C16" s="36">
        <f>SUM(C8:C15)</f>
        <v>1872000</v>
      </c>
      <c r="D16" s="20">
        <f t="shared" si="0"/>
        <v>0.97867001254705144</v>
      </c>
      <c r="E16" s="37">
        <f>SUM(E8:E15)</f>
        <v>1985396</v>
      </c>
      <c r="F16" s="20">
        <f t="shared" si="1"/>
        <v>0.98852641851387146</v>
      </c>
    </row>
    <row r="17" spans="1:9" x14ac:dyDescent="0.2">
      <c r="B17" s="29"/>
      <c r="C17" s="34"/>
      <c r="D17" s="21"/>
      <c r="E17" s="35"/>
      <c r="F17" s="21"/>
    </row>
    <row r="18" spans="1:9" x14ac:dyDescent="0.2">
      <c r="B18" s="24" t="s">
        <v>7</v>
      </c>
      <c r="C18" s="32">
        <f>C6-C16</f>
        <v>40800</v>
      </c>
      <c r="D18" s="20">
        <f>C18/$C$6</f>
        <v>2.1329987452948559E-2</v>
      </c>
      <c r="E18" s="33">
        <f>E6-E16</f>
        <v>23044</v>
      </c>
      <c r="F18" s="20">
        <f>E18/$E$6</f>
        <v>1.1473581486128537E-2</v>
      </c>
    </row>
    <row r="19" spans="1:9" x14ac:dyDescent="0.2">
      <c r="B19" s="24"/>
      <c r="C19" s="32"/>
      <c r="D19" s="20"/>
      <c r="E19" s="33"/>
      <c r="F19" s="20"/>
    </row>
    <row r="20" spans="1:9" x14ac:dyDescent="0.2">
      <c r="B20" s="24" t="s">
        <v>8</v>
      </c>
      <c r="C20" s="32">
        <v>28500</v>
      </c>
      <c r="D20" s="20">
        <f>C20/$C$6</f>
        <v>1.4899623588456713E-2</v>
      </c>
      <c r="E20" s="33">
        <f>C20+16000</f>
        <v>44500</v>
      </c>
      <c r="F20" s="20">
        <f>E20/$E$6</f>
        <v>2.2156499571806973E-2</v>
      </c>
    </row>
    <row r="21" spans="1:9" x14ac:dyDescent="0.2">
      <c r="B21" s="29"/>
      <c r="C21" s="34"/>
      <c r="D21" s="21"/>
      <c r="E21" s="35"/>
      <c r="F21" s="21"/>
    </row>
    <row r="22" spans="1:9" x14ac:dyDescent="0.2">
      <c r="B22" s="29" t="s">
        <v>9</v>
      </c>
      <c r="C22" s="34">
        <f>C18-C20</f>
        <v>12300</v>
      </c>
      <c r="D22" s="21">
        <f>C22/$C$6</f>
        <v>6.4303638644918441E-3</v>
      </c>
      <c r="E22" s="35">
        <f>E18-E20</f>
        <v>-21456</v>
      </c>
      <c r="F22" s="21">
        <f>E22/$E$6</f>
        <v>-1.0682918085678436E-2</v>
      </c>
    </row>
    <row r="23" spans="1:9" x14ac:dyDescent="0.2">
      <c r="C23" s="31"/>
      <c r="D23" s="31"/>
      <c r="E23" s="31"/>
      <c r="F23" s="31"/>
    </row>
    <row r="24" spans="1:9" x14ac:dyDescent="0.2">
      <c r="A24" s="23" t="s">
        <v>26</v>
      </c>
      <c r="C24" s="31"/>
      <c r="D24" s="31"/>
      <c r="E24" s="31"/>
      <c r="F24" s="31"/>
    </row>
    <row r="25" spans="1:9" x14ac:dyDescent="0.2">
      <c r="B25" s="22"/>
      <c r="C25" s="41" t="s">
        <v>20</v>
      </c>
      <c r="D25" s="41" t="s">
        <v>21</v>
      </c>
      <c r="E25" s="187" t="s">
        <v>22</v>
      </c>
      <c r="F25" s="24"/>
      <c r="I25" s="25"/>
    </row>
    <row r="26" spans="1:9" x14ac:dyDescent="0.2">
      <c r="B26" s="24" t="s">
        <v>24</v>
      </c>
      <c r="C26" s="40">
        <v>0.08</v>
      </c>
      <c r="D26" s="42">
        <v>7.4999999999999997E-2</v>
      </c>
      <c r="E26" s="188">
        <v>0.09</v>
      </c>
      <c r="F26" s="24"/>
    </row>
    <row r="27" spans="1:9" x14ac:dyDescent="0.2">
      <c r="B27" s="24" t="s">
        <v>25</v>
      </c>
      <c r="C27" s="40">
        <f>1/12</f>
        <v>8.3333333333333329E-2</v>
      </c>
      <c r="D27" s="42">
        <f>1/12</f>
        <v>8.3333333333333329E-2</v>
      </c>
      <c r="E27" s="188">
        <f>1/12</f>
        <v>8.3333333333333329E-2</v>
      </c>
      <c r="F27" s="24"/>
    </row>
    <row r="28" spans="1:9" x14ac:dyDescent="0.2">
      <c r="B28" s="24"/>
      <c r="C28" s="30"/>
      <c r="D28" s="39"/>
      <c r="E28" s="24"/>
      <c r="F28" s="29"/>
    </row>
    <row r="29" spans="1:9" x14ac:dyDescent="0.2">
      <c r="B29" s="64"/>
      <c r="C29" s="27" t="str">
        <f>C25</f>
        <v>Januar</v>
      </c>
      <c r="D29" s="43" t="str">
        <f>D25</f>
        <v>Februar</v>
      </c>
      <c r="E29" s="27" t="str">
        <f>E25</f>
        <v>Mars</v>
      </c>
      <c r="F29" s="189" t="s">
        <v>23</v>
      </c>
    </row>
    <row r="30" spans="1:9" x14ac:dyDescent="0.2">
      <c r="B30" s="24" t="s">
        <v>0</v>
      </c>
      <c r="C30" s="33">
        <f>INT($E$6*C26)</f>
        <v>160675</v>
      </c>
      <c r="D30" s="33">
        <f>INT($E$6*D26)</f>
        <v>150633</v>
      </c>
      <c r="E30" s="33">
        <f>INT($E$6*E26)</f>
        <v>180759</v>
      </c>
      <c r="F30" s="33">
        <f>SUM(C30:E30)</f>
        <v>492067</v>
      </c>
    </row>
    <row r="31" spans="1:9" x14ac:dyDescent="0.2">
      <c r="B31" s="24"/>
      <c r="C31" s="33"/>
      <c r="D31" s="33"/>
      <c r="E31" s="33"/>
      <c r="F31" s="33"/>
    </row>
    <row r="32" spans="1:9" x14ac:dyDescent="0.2">
      <c r="B32" s="24" t="s">
        <v>1</v>
      </c>
      <c r="C32" s="33">
        <f>INT($E$8*C26)</f>
        <v>117292</v>
      </c>
      <c r="D32" s="33">
        <f>INT($E$8*D26)</f>
        <v>109962</v>
      </c>
      <c r="E32" s="33">
        <f>INT($E$8*E26)</f>
        <v>131954</v>
      </c>
      <c r="F32" s="33">
        <f t="shared" ref="F32:F46" si="2">SUM(C32:E32)</f>
        <v>359208</v>
      </c>
    </row>
    <row r="33" spans="2:6" x14ac:dyDescent="0.2">
      <c r="B33" s="24" t="s">
        <v>2</v>
      </c>
      <c r="C33" s="33">
        <f>$E$9*C27</f>
        <v>21000</v>
      </c>
      <c r="D33" s="33">
        <f>$E$9*D27</f>
        <v>21000</v>
      </c>
      <c r="E33" s="33">
        <f>$E$9*E27</f>
        <v>21000</v>
      </c>
      <c r="F33" s="33">
        <f t="shared" si="2"/>
        <v>63000</v>
      </c>
    </row>
    <row r="34" spans="2:6" x14ac:dyDescent="0.2">
      <c r="B34" s="24" t="s">
        <v>17</v>
      </c>
      <c r="C34" s="33">
        <f>$E$10*C27</f>
        <v>2520</v>
      </c>
      <c r="D34" s="33">
        <f>$E$10*D27</f>
        <v>2520</v>
      </c>
      <c r="E34" s="33">
        <f>$E$10*E27</f>
        <v>2520</v>
      </c>
      <c r="F34" s="33">
        <f t="shared" si="2"/>
        <v>7560</v>
      </c>
    </row>
    <row r="35" spans="2:6" x14ac:dyDescent="0.2">
      <c r="B35" s="24" t="s">
        <v>18</v>
      </c>
      <c r="C35" s="33">
        <f>INT($E$11*C27)</f>
        <v>3316</v>
      </c>
      <c r="D35" s="33">
        <f>INT($E$11*D27)</f>
        <v>3316</v>
      </c>
      <c r="E35" s="33">
        <f>INT($E$11*E27)</f>
        <v>3316</v>
      </c>
      <c r="F35" s="33">
        <f t="shared" si="2"/>
        <v>9948</v>
      </c>
    </row>
    <row r="36" spans="2:6" x14ac:dyDescent="0.2">
      <c r="B36" s="24" t="s">
        <v>3</v>
      </c>
      <c r="C36" s="33">
        <f>INT($E$12*C27)</f>
        <v>4616</v>
      </c>
      <c r="D36" s="33">
        <f>INT($E$12*D27)</f>
        <v>4616</v>
      </c>
      <c r="E36" s="33">
        <f>INT($E$12*E27)</f>
        <v>4616</v>
      </c>
      <c r="F36" s="33">
        <f t="shared" si="2"/>
        <v>13848</v>
      </c>
    </row>
    <row r="37" spans="2:6" x14ac:dyDescent="0.2">
      <c r="B37" s="24" t="s">
        <v>4</v>
      </c>
      <c r="C37" s="33">
        <f>INT($E$13*C27)</f>
        <v>5691</v>
      </c>
      <c r="D37" s="33">
        <f>INT($E$13*D27)</f>
        <v>5691</v>
      </c>
      <c r="E37" s="33">
        <f>INT($E$13*E27)</f>
        <v>5691</v>
      </c>
      <c r="F37" s="33">
        <f t="shared" si="2"/>
        <v>17073</v>
      </c>
    </row>
    <row r="38" spans="2:6" x14ac:dyDescent="0.2">
      <c r="B38" s="28" t="s">
        <v>19</v>
      </c>
      <c r="C38" s="37">
        <f>$E$14*C27</f>
        <v>2500</v>
      </c>
      <c r="D38" s="37">
        <f>$E$14*D27</f>
        <v>2500</v>
      </c>
      <c r="E38" s="37">
        <f>$E$14*E27</f>
        <v>2500</v>
      </c>
      <c r="F38" s="33">
        <f t="shared" si="2"/>
        <v>7500</v>
      </c>
    </row>
    <row r="39" spans="2:6" x14ac:dyDescent="0.2">
      <c r="B39" s="29" t="s">
        <v>5</v>
      </c>
      <c r="C39" s="44">
        <f>INT($E$15*C27)</f>
        <v>3625</v>
      </c>
      <c r="D39" s="44">
        <f>INT($E$15*D27)</f>
        <v>3625</v>
      </c>
      <c r="E39" s="44">
        <f>INT($E$15*E27)</f>
        <v>3625</v>
      </c>
      <c r="F39" s="35">
        <f t="shared" si="2"/>
        <v>10875</v>
      </c>
    </row>
    <row r="40" spans="2:6" x14ac:dyDescent="0.2">
      <c r="B40" s="28" t="s">
        <v>6</v>
      </c>
      <c r="C40" s="37">
        <f>SUM(C32:C39)</f>
        <v>160560</v>
      </c>
      <c r="D40" s="37">
        <f>SUM(D32:D39)</f>
        <v>153230</v>
      </c>
      <c r="E40" s="37">
        <f>SUM(E32:E39)</f>
        <v>175222</v>
      </c>
      <c r="F40" s="33">
        <f t="shared" si="2"/>
        <v>489012</v>
      </c>
    </row>
    <row r="41" spans="2:6" x14ac:dyDescent="0.2">
      <c r="B41" s="29"/>
      <c r="C41" s="44"/>
      <c r="D41" s="44"/>
      <c r="E41" s="44"/>
      <c r="F41" s="35"/>
    </row>
    <row r="42" spans="2:6" x14ac:dyDescent="0.2">
      <c r="B42" s="24" t="s">
        <v>7</v>
      </c>
      <c r="C42" s="37">
        <f>C30-C40</f>
        <v>115</v>
      </c>
      <c r="D42" s="37">
        <f>D30-D40</f>
        <v>-2597</v>
      </c>
      <c r="E42" s="37">
        <f>E30-E40</f>
        <v>5537</v>
      </c>
      <c r="F42" s="33">
        <f t="shared" si="2"/>
        <v>3055</v>
      </c>
    </row>
    <row r="43" spans="2:6" x14ac:dyDescent="0.2">
      <c r="B43" s="24"/>
      <c r="C43" s="37"/>
      <c r="D43" s="37"/>
      <c r="E43" s="37"/>
      <c r="F43" s="33"/>
    </row>
    <row r="44" spans="2:6" x14ac:dyDescent="0.2">
      <c r="B44" s="24" t="s">
        <v>8</v>
      </c>
      <c r="C44" s="37">
        <f>INT($E$20*C27)</f>
        <v>3708</v>
      </c>
      <c r="D44" s="37">
        <f>INT($E$20*D27)</f>
        <v>3708</v>
      </c>
      <c r="E44" s="37">
        <f>INT($E$20*E27)</f>
        <v>3708</v>
      </c>
      <c r="F44" s="33">
        <f t="shared" si="2"/>
        <v>11124</v>
      </c>
    </row>
    <row r="45" spans="2:6" x14ac:dyDescent="0.2">
      <c r="B45" s="29"/>
      <c r="C45" s="37"/>
      <c r="D45" s="37"/>
      <c r="E45" s="37"/>
      <c r="F45" s="33"/>
    </row>
    <row r="46" spans="2:6" x14ac:dyDescent="0.2">
      <c r="B46" s="29" t="s">
        <v>9</v>
      </c>
      <c r="C46" s="45">
        <f>C42-C44</f>
        <v>-3593</v>
      </c>
      <c r="D46" s="45">
        <f>D42-D44</f>
        <v>-6305</v>
      </c>
      <c r="E46" s="45">
        <f>E42-E44</f>
        <v>1829</v>
      </c>
      <c r="F46" s="46">
        <f t="shared" si="2"/>
        <v>-8069</v>
      </c>
    </row>
    <row r="47" spans="2:6" x14ac:dyDescent="0.2">
      <c r="B47" s="25"/>
      <c r="C47" s="58"/>
      <c r="D47" s="58"/>
      <c r="E47" s="58"/>
      <c r="F47" s="59"/>
    </row>
    <row r="48" spans="2:6" x14ac:dyDescent="0.2">
      <c r="B48" s="25"/>
      <c r="C48" s="58"/>
      <c r="D48" s="58"/>
      <c r="E48" s="58"/>
      <c r="F48" s="59"/>
    </row>
    <row r="51" spans="1:4" x14ac:dyDescent="0.2">
      <c r="A51" s="23" t="s">
        <v>27</v>
      </c>
      <c r="B51" s="23" t="s">
        <v>28</v>
      </c>
    </row>
    <row r="52" spans="1:4" x14ac:dyDescent="0.2">
      <c r="B52" s="47" t="s">
        <v>29</v>
      </c>
      <c r="C52" s="23">
        <v>50</v>
      </c>
    </row>
    <row r="53" spans="1:4" x14ac:dyDescent="0.2">
      <c r="B53" s="23" t="s">
        <v>30</v>
      </c>
      <c r="C53" s="23">
        <v>6</v>
      </c>
    </row>
    <row r="54" spans="1:4" x14ac:dyDescent="0.2">
      <c r="B54" s="47" t="s">
        <v>31</v>
      </c>
      <c r="C54" s="23">
        <v>5</v>
      </c>
    </row>
    <row r="56" spans="1:4" x14ac:dyDescent="0.2">
      <c r="B56" s="23" t="s">
        <v>32</v>
      </c>
      <c r="D56" s="23">
        <f>C52*C53*C54</f>
        <v>1500</v>
      </c>
    </row>
    <row r="58" spans="1:4" x14ac:dyDescent="0.2">
      <c r="B58" s="23" t="s">
        <v>33</v>
      </c>
      <c r="C58" s="23">
        <v>50</v>
      </c>
      <c r="D58" s="23" t="s">
        <v>34</v>
      </c>
    </row>
    <row r="60" spans="1:4" x14ac:dyDescent="0.2">
      <c r="B60" s="48" t="s">
        <v>35</v>
      </c>
      <c r="C60" s="48">
        <f>D56*C58</f>
        <v>75000</v>
      </c>
    </row>
    <row r="62" spans="1:4" x14ac:dyDescent="0.2">
      <c r="B62" s="23" t="s">
        <v>36</v>
      </c>
    </row>
    <row r="63" spans="1:4" x14ac:dyDescent="0.2">
      <c r="B63" s="23" t="s">
        <v>37</v>
      </c>
      <c r="C63" s="23">
        <v>30000</v>
      </c>
    </row>
    <row r="64" spans="1:4" x14ac:dyDescent="0.2">
      <c r="B64" s="23" t="s">
        <v>5</v>
      </c>
      <c r="C64" s="23">
        <v>25000</v>
      </c>
    </row>
    <row r="65" spans="1:3" x14ac:dyDescent="0.2">
      <c r="B65" s="23" t="s">
        <v>38</v>
      </c>
      <c r="C65" s="23">
        <v>16000</v>
      </c>
    </row>
    <row r="66" spans="1:3" x14ac:dyDescent="0.2">
      <c r="B66" s="48" t="s">
        <v>39</v>
      </c>
      <c r="C66" s="48">
        <f>SUM(C63:C65)</f>
        <v>71000</v>
      </c>
    </row>
    <row r="68" spans="1:3" x14ac:dyDescent="0.2">
      <c r="B68" s="23" t="s">
        <v>40</v>
      </c>
    </row>
    <row r="69" spans="1:3" x14ac:dyDescent="0.2">
      <c r="B69" s="23" t="s">
        <v>41</v>
      </c>
    </row>
    <row r="70" spans="1:3" x14ac:dyDescent="0.2">
      <c r="B70" s="23" t="s">
        <v>42</v>
      </c>
    </row>
    <row r="72" spans="1:3" x14ac:dyDescent="0.2">
      <c r="B72" s="23" t="s">
        <v>43</v>
      </c>
    </row>
    <row r="75" spans="1:3" x14ac:dyDescent="0.2">
      <c r="A75" s="23" t="s">
        <v>44</v>
      </c>
      <c r="B75" s="23" t="s">
        <v>45</v>
      </c>
    </row>
    <row r="76" spans="1:3" x14ac:dyDescent="0.2">
      <c r="B76" s="47" t="s">
        <v>46</v>
      </c>
    </row>
  </sheetData>
  <mergeCells count="4">
    <mergeCell ref="C3:D3"/>
    <mergeCell ref="C4:D4"/>
    <mergeCell ref="E3:F3"/>
    <mergeCell ref="E4:F4"/>
  </mergeCells>
  <phoneticPr fontId="0" type="noConversion"/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3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2.28515625" style="23" bestFit="1" customWidth="1"/>
    <col min="6" max="16384" width="11.42578125" style="23"/>
  </cols>
  <sheetData>
    <row r="3" spans="2:6" x14ac:dyDescent="0.2">
      <c r="B3" s="22"/>
      <c r="C3" s="338" t="s">
        <v>10</v>
      </c>
      <c r="D3" s="339"/>
      <c r="E3" s="338" t="s">
        <v>12</v>
      </c>
      <c r="F3" s="339"/>
    </row>
    <row r="4" spans="2:6" x14ac:dyDescent="0.2">
      <c r="B4" s="24"/>
      <c r="C4" s="340" t="s">
        <v>11</v>
      </c>
      <c r="D4" s="341"/>
      <c r="E4" s="342" t="s">
        <v>13</v>
      </c>
      <c r="F4" s="343"/>
    </row>
    <row r="5" spans="2:6" x14ac:dyDescent="0.2">
      <c r="B5" s="64"/>
      <c r="C5" s="26" t="s">
        <v>14</v>
      </c>
      <c r="D5" s="27" t="s">
        <v>15</v>
      </c>
      <c r="E5" s="27" t="str">
        <f>C5</f>
        <v>Kr</v>
      </c>
      <c r="F5" s="27" t="str">
        <f>D5</f>
        <v>%</v>
      </c>
    </row>
    <row r="6" spans="2:6" x14ac:dyDescent="0.2">
      <c r="B6" s="24" t="s">
        <v>0</v>
      </c>
      <c r="C6" s="32">
        <v>26700000</v>
      </c>
      <c r="D6" s="20">
        <f>C6/C8</f>
        <v>0.96907665505226481</v>
      </c>
      <c r="E6" s="33">
        <f>C6*1.05</f>
        <v>28035000</v>
      </c>
      <c r="F6" s="20">
        <f>E6/E8</f>
        <v>0.98836594394500266</v>
      </c>
    </row>
    <row r="7" spans="2:6" x14ac:dyDescent="0.2">
      <c r="B7" s="29" t="s">
        <v>47</v>
      </c>
      <c r="C7" s="34">
        <v>852000</v>
      </c>
      <c r="D7" s="21">
        <f>C7/C8</f>
        <v>3.0923344947735191E-2</v>
      </c>
      <c r="E7" s="35">
        <v>330000</v>
      </c>
      <c r="F7" s="21">
        <f>E7/E8</f>
        <v>1.1634056054997356E-2</v>
      </c>
    </row>
    <row r="8" spans="2:6" x14ac:dyDescent="0.2">
      <c r="B8" s="24" t="s">
        <v>49</v>
      </c>
      <c r="C8" s="32">
        <f>SUM(C6:C7)</f>
        <v>27552000</v>
      </c>
      <c r="D8" s="20">
        <f>C8/C8</f>
        <v>1</v>
      </c>
      <c r="E8" s="33">
        <f>SUM(E6:E7)</f>
        <v>28365000</v>
      </c>
      <c r="F8" s="20">
        <f>E8/E8</f>
        <v>1</v>
      </c>
    </row>
    <row r="9" spans="2:6" x14ac:dyDescent="0.2">
      <c r="B9" s="24"/>
      <c r="C9" s="32"/>
      <c r="D9" s="20"/>
      <c r="E9" s="33"/>
      <c r="F9" s="20"/>
    </row>
    <row r="10" spans="2:6" x14ac:dyDescent="0.2">
      <c r="B10" s="24" t="s">
        <v>16</v>
      </c>
      <c r="C10" s="32">
        <v>8758000</v>
      </c>
      <c r="D10" s="20">
        <f>C10/$C$8</f>
        <v>0.31787166085946572</v>
      </c>
      <c r="E10" s="33">
        <f>C10*1.05</f>
        <v>9195900</v>
      </c>
      <c r="F10" s="20">
        <f>E10/$E$8</f>
        <v>0.32419883659439452</v>
      </c>
    </row>
    <row r="11" spans="2:6" x14ac:dyDescent="0.2">
      <c r="B11" s="28" t="s">
        <v>48</v>
      </c>
      <c r="C11" s="32">
        <v>9358000</v>
      </c>
      <c r="D11" s="20">
        <f t="shared" ref="D11:D19" si="0">C11/$C$8</f>
        <v>0.33964866434378632</v>
      </c>
      <c r="E11" s="33">
        <f>INT(C11*1.06)</f>
        <v>9919480</v>
      </c>
      <c r="F11" s="20">
        <f t="shared" ref="F11:F25" si="1">E11/$E$8</f>
        <v>0.34970844350431868</v>
      </c>
    </row>
    <row r="12" spans="2:6" x14ac:dyDescent="0.2">
      <c r="B12" s="24" t="s">
        <v>5</v>
      </c>
      <c r="C12" s="32">
        <v>458000</v>
      </c>
      <c r="D12" s="20">
        <f t="shared" si="0"/>
        <v>1.6623112659698024E-2</v>
      </c>
      <c r="E12" s="33">
        <f>C12</f>
        <v>458000</v>
      </c>
      <c r="F12" s="20">
        <f t="shared" si="1"/>
        <v>1.6146659615723605E-2</v>
      </c>
    </row>
    <row r="13" spans="2:6" x14ac:dyDescent="0.2">
      <c r="B13" s="29" t="s">
        <v>4</v>
      </c>
      <c r="C13" s="34">
        <v>7897000</v>
      </c>
      <c r="D13" s="21">
        <f t="shared" si="0"/>
        <v>0.28662166085946572</v>
      </c>
      <c r="E13" s="35">
        <f>C13*1.05</f>
        <v>8291850</v>
      </c>
      <c r="F13" s="20">
        <f t="shared" si="1"/>
        <v>0.29232681121099946</v>
      </c>
    </row>
    <row r="14" spans="2:6" x14ac:dyDescent="0.2">
      <c r="B14" s="28" t="s">
        <v>6</v>
      </c>
      <c r="C14" s="36">
        <f>SUM(C10:C13)</f>
        <v>26471000</v>
      </c>
      <c r="D14" s="20">
        <f t="shared" si="0"/>
        <v>0.96076509872241578</v>
      </c>
      <c r="E14" s="37">
        <f>SUM(E10:E13)</f>
        <v>27865230</v>
      </c>
      <c r="F14" s="49">
        <f t="shared" si="1"/>
        <v>0.98238075092543631</v>
      </c>
    </row>
    <row r="15" spans="2:6" x14ac:dyDescent="0.2">
      <c r="B15" s="29"/>
      <c r="C15" s="34"/>
      <c r="D15" s="21"/>
      <c r="E15" s="35"/>
      <c r="F15" s="20"/>
    </row>
    <row r="16" spans="2:6" x14ac:dyDescent="0.2">
      <c r="B16" s="24" t="s">
        <v>7</v>
      </c>
      <c r="C16" s="32">
        <f>C8-C14</f>
        <v>1081000</v>
      </c>
      <c r="D16" s="20">
        <f t="shared" si="0"/>
        <v>3.9234901277584201E-2</v>
      </c>
      <c r="E16" s="32">
        <f>E8-E14</f>
        <v>499770</v>
      </c>
      <c r="F16" s="49">
        <f t="shared" si="1"/>
        <v>1.7619249074563723E-2</v>
      </c>
    </row>
    <row r="17" spans="2:6" x14ac:dyDescent="0.2">
      <c r="B17" s="24"/>
      <c r="C17" s="32"/>
      <c r="D17" s="20"/>
      <c r="E17" s="33"/>
      <c r="F17" s="20">
        <f t="shared" si="1"/>
        <v>0</v>
      </c>
    </row>
    <row r="18" spans="2:6" x14ac:dyDescent="0.2">
      <c r="B18" s="24" t="s">
        <v>50</v>
      </c>
      <c r="C18" s="32">
        <v>130000</v>
      </c>
      <c r="D18" s="20">
        <f t="shared" si="0"/>
        <v>4.7183507549361211E-3</v>
      </c>
      <c r="E18" s="33">
        <f>C18*0.9</f>
        <v>117000</v>
      </c>
      <c r="F18" s="20">
        <f t="shared" si="1"/>
        <v>4.1248016922263353E-3</v>
      </c>
    </row>
    <row r="19" spans="2:6" x14ac:dyDescent="0.2">
      <c r="B19" s="24" t="s">
        <v>8</v>
      </c>
      <c r="C19" s="32">
        <v>876000</v>
      </c>
      <c r="D19" s="20">
        <f t="shared" si="0"/>
        <v>3.1794425087108016E-2</v>
      </c>
      <c r="E19" s="33">
        <f>C19*0.9</f>
        <v>788400</v>
      </c>
      <c r="F19" s="20">
        <f t="shared" si="1"/>
        <v>2.779481755684823E-2</v>
      </c>
    </row>
    <row r="20" spans="2:6" x14ac:dyDescent="0.2">
      <c r="B20" s="29"/>
      <c r="C20" s="34"/>
      <c r="D20" s="21"/>
      <c r="E20" s="35"/>
      <c r="F20" s="21"/>
    </row>
    <row r="21" spans="2:6" x14ac:dyDescent="0.2">
      <c r="B21" s="24" t="s">
        <v>9</v>
      </c>
      <c r="C21" s="33">
        <f>C16+C18-C19</f>
        <v>335000</v>
      </c>
      <c r="D21" s="20">
        <f>C21/$C$8</f>
        <v>1.2158826945412312E-2</v>
      </c>
      <c r="E21" s="33">
        <f>E16+E18-E19</f>
        <v>-171630</v>
      </c>
      <c r="F21" s="49">
        <f t="shared" si="1"/>
        <v>-6.0507667900581699E-3</v>
      </c>
    </row>
    <row r="22" spans="2:6" x14ac:dyDescent="0.2">
      <c r="B22" s="29"/>
      <c r="C22" s="35"/>
      <c r="D22" s="21"/>
      <c r="E22" s="35"/>
      <c r="F22" s="21"/>
    </row>
    <row r="23" spans="2:6" x14ac:dyDescent="0.2">
      <c r="B23" s="24" t="s">
        <v>51</v>
      </c>
      <c r="C23" s="33">
        <v>90000</v>
      </c>
      <c r="D23" s="20">
        <f>C23/$C$8</f>
        <v>3.2665505226480837E-3</v>
      </c>
      <c r="E23" s="33">
        <v>0</v>
      </c>
      <c r="F23" s="49">
        <f t="shared" si="1"/>
        <v>0</v>
      </c>
    </row>
    <row r="24" spans="2:6" x14ac:dyDescent="0.2">
      <c r="B24" s="29"/>
      <c r="C24" s="35"/>
      <c r="D24" s="21"/>
      <c r="E24" s="35"/>
      <c r="F24" s="20"/>
    </row>
    <row r="25" spans="2:6" x14ac:dyDescent="0.2">
      <c r="B25" s="29" t="s">
        <v>52</v>
      </c>
      <c r="C25" s="35">
        <f>C21-C23</f>
        <v>245000</v>
      </c>
      <c r="D25" s="21">
        <f>C25/$C$8</f>
        <v>8.8922764227642274E-3</v>
      </c>
      <c r="E25" s="35">
        <f>E21-E23</f>
        <v>-171630</v>
      </c>
      <c r="F25" s="50">
        <f t="shared" si="1"/>
        <v>-6.0507667900581699E-3</v>
      </c>
    </row>
    <row r="26" spans="2:6" x14ac:dyDescent="0.2">
      <c r="C26" s="31"/>
      <c r="D26" s="31"/>
      <c r="E26" s="31"/>
      <c r="F26" s="31"/>
    </row>
    <row r="27" spans="2:6" x14ac:dyDescent="0.2">
      <c r="B27" s="23" t="s">
        <v>53</v>
      </c>
    </row>
    <row r="28" spans="2:6" x14ac:dyDescent="0.2">
      <c r="B28" s="47" t="s">
        <v>54</v>
      </c>
    </row>
    <row r="29" spans="2:6" x14ac:dyDescent="0.2">
      <c r="B29" s="23" t="s">
        <v>55</v>
      </c>
    </row>
    <row r="31" spans="2:6" x14ac:dyDescent="0.2">
      <c r="B31" s="47" t="s">
        <v>56</v>
      </c>
    </row>
    <row r="32" spans="2:6" x14ac:dyDescent="0.2">
      <c r="B32" s="51" t="s">
        <v>57</v>
      </c>
    </row>
    <row r="33" spans="2:2" x14ac:dyDescent="0.2">
      <c r="B33" s="51" t="s">
        <v>58</v>
      </c>
    </row>
  </sheetData>
  <mergeCells count="4">
    <mergeCell ref="C3:D3"/>
    <mergeCell ref="C4:D4"/>
    <mergeCell ref="E3:F3"/>
    <mergeCell ref="E4:F4"/>
  </mergeCells>
  <phoneticPr fontId="0" type="noConversion"/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2.28515625" style="23" bestFit="1" customWidth="1"/>
    <col min="6" max="16384" width="11.42578125" style="23"/>
  </cols>
  <sheetData>
    <row r="1" spans="1:3" x14ac:dyDescent="0.2">
      <c r="A1" s="57" t="s">
        <v>296</v>
      </c>
    </row>
    <row r="2" spans="1:3" x14ac:dyDescent="0.2">
      <c r="A2" s="57"/>
    </row>
    <row r="3" spans="1:3" x14ac:dyDescent="0.2">
      <c r="A3" s="52" t="s">
        <v>26</v>
      </c>
      <c r="B3" s="23" t="s">
        <v>59</v>
      </c>
    </row>
    <row r="4" spans="1:3" x14ac:dyDescent="0.2">
      <c r="B4" s="23" t="s">
        <v>60</v>
      </c>
    </row>
    <row r="6" spans="1:3" x14ac:dyDescent="0.2">
      <c r="B6" s="52" t="s">
        <v>64</v>
      </c>
    </row>
    <row r="7" spans="1:3" x14ac:dyDescent="0.2">
      <c r="B7" s="23" t="s">
        <v>61</v>
      </c>
      <c r="C7" s="53">
        <v>300</v>
      </c>
    </row>
    <row r="8" spans="1:3" x14ac:dyDescent="0.2">
      <c r="B8" s="23" t="s">
        <v>62</v>
      </c>
      <c r="C8" s="53">
        <v>245000</v>
      </c>
    </row>
    <row r="9" spans="1:3" x14ac:dyDescent="0.2">
      <c r="B9" s="23" t="s">
        <v>63</v>
      </c>
      <c r="C9" s="53">
        <v>80</v>
      </c>
    </row>
    <row r="11" spans="1:3" x14ac:dyDescent="0.2">
      <c r="B11" s="52" t="s">
        <v>65</v>
      </c>
    </row>
    <row r="12" spans="1:3" x14ac:dyDescent="0.2">
      <c r="B12" s="23" t="s">
        <v>66</v>
      </c>
      <c r="C12" s="23">
        <f>C8/C7</f>
        <v>816.66666666666663</v>
      </c>
    </row>
    <row r="13" spans="1:3" x14ac:dyDescent="0.2">
      <c r="A13" s="54" t="s">
        <v>67</v>
      </c>
      <c r="B13" s="23" t="s">
        <v>68</v>
      </c>
      <c r="C13" s="23">
        <f>C9</f>
        <v>80</v>
      </c>
    </row>
    <row r="14" spans="1:3" x14ac:dyDescent="0.2">
      <c r="A14" s="54" t="s">
        <v>69</v>
      </c>
      <c r="B14" s="48" t="s">
        <v>70</v>
      </c>
      <c r="C14" s="48">
        <f>SUM(C12:C13)</f>
        <v>896.66666666666663</v>
      </c>
    </row>
    <row r="17" spans="1:4" x14ac:dyDescent="0.2">
      <c r="A17" s="52" t="s">
        <v>27</v>
      </c>
      <c r="B17" s="23" t="s">
        <v>71</v>
      </c>
    </row>
    <row r="19" spans="1:4" x14ac:dyDescent="0.2">
      <c r="B19" s="23" t="s">
        <v>72</v>
      </c>
      <c r="C19" s="23">
        <f>C7*C14</f>
        <v>269000</v>
      </c>
    </row>
    <row r="20" spans="1:4" x14ac:dyDescent="0.2">
      <c r="A20" s="54" t="s">
        <v>74</v>
      </c>
      <c r="B20" s="55" t="s">
        <v>73</v>
      </c>
      <c r="C20" s="56">
        <f>C13*C7</f>
        <v>24000</v>
      </c>
    </row>
    <row r="21" spans="1:4" x14ac:dyDescent="0.2">
      <c r="A21" s="54" t="s">
        <v>69</v>
      </c>
      <c r="B21" s="23" t="s">
        <v>75</v>
      </c>
      <c r="C21" s="23">
        <f>C19-C20</f>
        <v>245000</v>
      </c>
    </row>
    <row r="22" spans="1:4" x14ac:dyDescent="0.2">
      <c r="A22" s="54" t="s">
        <v>74</v>
      </c>
      <c r="B22" s="23" t="s">
        <v>76</v>
      </c>
      <c r="C22" s="23">
        <v>145000</v>
      </c>
    </row>
    <row r="23" spans="1:4" x14ac:dyDescent="0.2">
      <c r="A23" s="54" t="s">
        <v>69</v>
      </c>
      <c r="B23" s="48" t="s">
        <v>77</v>
      </c>
      <c r="C23" s="48">
        <f>C21-C22</f>
        <v>100000</v>
      </c>
    </row>
    <row r="26" spans="1:4" x14ac:dyDescent="0.2">
      <c r="A26" s="52" t="s">
        <v>44</v>
      </c>
      <c r="B26" s="23" t="s">
        <v>78</v>
      </c>
    </row>
    <row r="28" spans="1:4" x14ac:dyDescent="0.2">
      <c r="B28" s="23" t="s">
        <v>64</v>
      </c>
    </row>
    <row r="30" spans="1:4" x14ac:dyDescent="0.2">
      <c r="C30" s="23" t="s">
        <v>80</v>
      </c>
      <c r="D30" s="23" t="s">
        <v>81</v>
      </c>
    </row>
    <row r="31" spans="1:4" x14ac:dyDescent="0.2">
      <c r="B31" s="23" t="s">
        <v>79</v>
      </c>
      <c r="C31" s="23">
        <v>50</v>
      </c>
      <c r="D31" s="23">
        <v>1590</v>
      </c>
    </row>
    <row r="32" spans="1:4" x14ac:dyDescent="0.2">
      <c r="B32" s="23" t="s">
        <v>82</v>
      </c>
      <c r="C32" s="23">
        <v>25</v>
      </c>
      <c r="D32" s="23">
        <v>2500</v>
      </c>
    </row>
    <row r="33" spans="1:4" x14ac:dyDescent="0.2">
      <c r="B33" s="23" t="s">
        <v>83</v>
      </c>
      <c r="C33" s="23">
        <v>25.609756097560961</v>
      </c>
      <c r="D33" s="23">
        <v>900</v>
      </c>
    </row>
    <row r="35" spans="1:4" x14ac:dyDescent="0.2">
      <c r="B35" s="47" t="s">
        <v>84</v>
      </c>
      <c r="C35" s="23">
        <f>C31*D31</f>
        <v>79500</v>
      </c>
    </row>
    <row r="36" spans="1:4" x14ac:dyDescent="0.2">
      <c r="A36" s="54" t="s">
        <v>67</v>
      </c>
      <c r="B36" s="23" t="s">
        <v>85</v>
      </c>
      <c r="C36" s="23">
        <f>C32*D32</f>
        <v>62500</v>
      </c>
    </row>
    <row r="37" spans="1:4" x14ac:dyDescent="0.2">
      <c r="A37" s="54" t="s">
        <v>67</v>
      </c>
      <c r="B37" s="23" t="s">
        <v>86</v>
      </c>
      <c r="C37" s="23">
        <f>C33*D33</f>
        <v>23048.780487804866</v>
      </c>
    </row>
    <row r="38" spans="1:4" x14ac:dyDescent="0.2">
      <c r="A38" s="54" t="s">
        <v>74</v>
      </c>
      <c r="B38" s="55" t="s">
        <v>73</v>
      </c>
      <c r="C38" s="56">
        <f>(C33+(C32*5)+(C31*2))*C13</f>
        <v>20048.780487804877</v>
      </c>
    </row>
    <row r="39" spans="1:4" x14ac:dyDescent="0.2">
      <c r="A39" s="54" t="s">
        <v>69</v>
      </c>
      <c r="B39" s="23" t="s">
        <v>75</v>
      </c>
      <c r="C39" s="23">
        <f>C35+C36+C37-C38</f>
        <v>145000</v>
      </c>
    </row>
    <row r="40" spans="1:4" x14ac:dyDescent="0.2">
      <c r="A40" s="54" t="s">
        <v>74</v>
      </c>
      <c r="B40" s="23" t="s">
        <v>76</v>
      </c>
      <c r="C40" s="23">
        <v>145000</v>
      </c>
    </row>
    <row r="41" spans="1:4" x14ac:dyDescent="0.2">
      <c r="A41" s="54" t="s">
        <v>69</v>
      </c>
      <c r="B41" s="48" t="s">
        <v>77</v>
      </c>
      <c r="C41" s="48">
        <f>C39-C40</f>
        <v>0</v>
      </c>
    </row>
    <row r="44" spans="1:4" x14ac:dyDescent="0.2">
      <c r="B44" s="23" t="s">
        <v>87</v>
      </c>
    </row>
    <row r="45" spans="1:4" x14ac:dyDescent="0.2">
      <c r="B45" s="23" t="s">
        <v>88</v>
      </c>
    </row>
    <row r="47" spans="1:4" x14ac:dyDescent="0.2">
      <c r="A47" s="52" t="s">
        <v>89</v>
      </c>
      <c r="B47" s="47" t="s">
        <v>91</v>
      </c>
    </row>
    <row r="48" spans="1:4" x14ac:dyDescent="0.2">
      <c r="B48" s="23" t="s">
        <v>90</v>
      </c>
    </row>
    <row r="50" spans="1:3" x14ac:dyDescent="0.2">
      <c r="B50" s="47" t="s">
        <v>92</v>
      </c>
    </row>
    <row r="51" spans="1:3" x14ac:dyDescent="0.2">
      <c r="B51" s="47" t="s">
        <v>93</v>
      </c>
    </row>
    <row r="52" spans="1:3" x14ac:dyDescent="0.2">
      <c r="B52" s="23" t="s">
        <v>94</v>
      </c>
      <c r="C52" s="23">
        <f>373*100/730</f>
        <v>51.095890410958901</v>
      </c>
    </row>
    <row r="55" spans="1:3" x14ac:dyDescent="0.2">
      <c r="A55" s="52" t="s">
        <v>297</v>
      </c>
    </row>
    <row r="57" spans="1:3" x14ac:dyDescent="0.2">
      <c r="B57" s="23" t="s">
        <v>95</v>
      </c>
    </row>
    <row r="58" spans="1:3" x14ac:dyDescent="0.2">
      <c r="B58" s="23" t="s">
        <v>96</v>
      </c>
    </row>
  </sheetData>
  <phoneticPr fontId="0" type="noConversion"/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.140625" style="23" bestFit="1" customWidth="1"/>
    <col min="3" max="3" width="31.85546875" style="23" bestFit="1" customWidth="1"/>
    <col min="4" max="4" width="2.5703125" style="23" bestFit="1" customWidth="1"/>
    <col min="5" max="5" width="12.28515625" style="23" bestFit="1" customWidth="1"/>
    <col min="6" max="16384" width="11.42578125" style="23"/>
  </cols>
  <sheetData>
    <row r="1" spans="1:5" x14ac:dyDescent="0.2">
      <c r="A1" s="57"/>
    </row>
    <row r="2" spans="1:5" x14ac:dyDescent="0.2">
      <c r="A2" s="57"/>
      <c r="C2" s="23" t="s">
        <v>120</v>
      </c>
      <c r="E2" s="62">
        <v>0.25</v>
      </c>
    </row>
    <row r="3" spans="1:5" x14ac:dyDescent="0.2">
      <c r="A3" s="57"/>
    </row>
    <row r="4" spans="1:5" x14ac:dyDescent="0.2">
      <c r="C4" s="23" t="s">
        <v>97</v>
      </c>
      <c r="D4" s="23" t="s">
        <v>98</v>
      </c>
      <c r="E4" s="53">
        <v>400000</v>
      </c>
    </row>
    <row r="5" spans="1:5" x14ac:dyDescent="0.2">
      <c r="B5" s="56" t="s">
        <v>99</v>
      </c>
      <c r="C5" s="56" t="s">
        <v>100</v>
      </c>
      <c r="D5" s="56" t="s">
        <v>98</v>
      </c>
      <c r="E5" s="60">
        <f>400000*0.4</f>
        <v>160000</v>
      </c>
    </row>
    <row r="6" spans="1:5" x14ac:dyDescent="0.2">
      <c r="B6" s="23" t="s">
        <v>69</v>
      </c>
      <c r="C6" s="23" t="s">
        <v>101</v>
      </c>
      <c r="D6" s="23" t="s">
        <v>98</v>
      </c>
      <c r="E6" s="53">
        <f>E4-E5</f>
        <v>240000</v>
      </c>
    </row>
    <row r="7" spans="1:5" x14ac:dyDescent="0.2">
      <c r="B7" s="56" t="s">
        <v>99</v>
      </c>
      <c r="C7" s="56" t="s">
        <v>102</v>
      </c>
      <c r="D7" s="56" t="s">
        <v>98</v>
      </c>
      <c r="E7" s="60">
        <v>22000</v>
      </c>
    </row>
    <row r="8" spans="1:5" x14ac:dyDescent="0.2">
      <c r="B8" s="23" t="s">
        <v>69</v>
      </c>
      <c r="C8" s="23" t="s">
        <v>103</v>
      </c>
      <c r="D8" s="23" t="s">
        <v>98</v>
      </c>
      <c r="E8" s="53">
        <f>E6-E7</f>
        <v>218000</v>
      </c>
    </row>
    <row r="9" spans="1:5" x14ac:dyDescent="0.2">
      <c r="B9" s="56" t="s">
        <v>67</v>
      </c>
      <c r="C9" s="55" t="s">
        <v>105</v>
      </c>
      <c r="D9" s="56" t="s">
        <v>98</v>
      </c>
      <c r="E9" s="60">
        <f>E8*E2</f>
        <v>54500</v>
      </c>
    </row>
    <row r="10" spans="1:5" x14ac:dyDescent="0.2">
      <c r="B10" s="56" t="s">
        <v>69</v>
      </c>
      <c r="C10" s="56" t="s">
        <v>104</v>
      </c>
      <c r="D10" s="56" t="s">
        <v>98</v>
      </c>
      <c r="E10" s="60">
        <f>SUM(E8:E9)</f>
        <v>272500</v>
      </c>
    </row>
    <row r="13" spans="1:5" x14ac:dyDescent="0.2">
      <c r="A13" s="23" t="s">
        <v>26</v>
      </c>
      <c r="B13" s="47" t="s">
        <v>110</v>
      </c>
      <c r="D13" s="23" t="s">
        <v>98</v>
      </c>
      <c r="E13" s="23">
        <f>E6</f>
        <v>240000</v>
      </c>
    </row>
    <row r="14" spans="1:5" x14ac:dyDescent="0.2">
      <c r="A14" s="23" t="s">
        <v>27</v>
      </c>
      <c r="B14" s="23" t="s">
        <v>106</v>
      </c>
    </row>
    <row r="15" spans="1:5" x14ac:dyDescent="0.2">
      <c r="A15" s="23" t="s">
        <v>44</v>
      </c>
      <c r="B15" s="47" t="s">
        <v>111</v>
      </c>
      <c r="D15" s="23" t="s">
        <v>98</v>
      </c>
      <c r="E15" s="23">
        <f>E10</f>
        <v>272500</v>
      </c>
    </row>
    <row r="16" spans="1:5" x14ac:dyDescent="0.2">
      <c r="A16" s="23" t="s">
        <v>89</v>
      </c>
      <c r="B16" s="47" t="s">
        <v>112</v>
      </c>
      <c r="D16" s="23" t="s">
        <v>98</v>
      </c>
      <c r="E16" s="23">
        <f>E10</f>
        <v>272500</v>
      </c>
    </row>
    <row r="17" spans="1:9" x14ac:dyDescent="0.2">
      <c r="A17" s="23" t="s">
        <v>107</v>
      </c>
      <c r="B17" s="47" t="s">
        <v>113</v>
      </c>
      <c r="D17" s="23" t="s">
        <v>98</v>
      </c>
      <c r="E17" s="23">
        <f>E4*(1+E2)</f>
        <v>500000</v>
      </c>
    </row>
    <row r="18" spans="1:9" x14ac:dyDescent="0.2">
      <c r="A18" s="23" t="s">
        <v>108</v>
      </c>
      <c r="B18" s="23" t="s">
        <v>109</v>
      </c>
    </row>
    <row r="22" spans="1:9" x14ac:dyDescent="0.2">
      <c r="E22" s="67" t="s">
        <v>114</v>
      </c>
      <c r="F22" s="344" t="s">
        <v>115</v>
      </c>
      <c r="G22" s="345"/>
      <c r="H22" s="346"/>
      <c r="I22" s="65"/>
    </row>
    <row r="23" spans="1:9" x14ac:dyDescent="0.2">
      <c r="C23" s="56"/>
      <c r="D23" s="56"/>
      <c r="E23" s="68" t="s">
        <v>116</v>
      </c>
      <c r="F23" s="27" t="s">
        <v>20</v>
      </c>
      <c r="G23" s="27" t="s">
        <v>21</v>
      </c>
      <c r="H23" s="27" t="s">
        <v>22</v>
      </c>
      <c r="I23" s="27" t="s">
        <v>122</v>
      </c>
    </row>
    <row r="24" spans="1:9" x14ac:dyDescent="0.2">
      <c r="C24" s="69" t="s">
        <v>121</v>
      </c>
      <c r="E24" s="66">
        <v>350000</v>
      </c>
      <c r="F24" s="30">
        <v>175000</v>
      </c>
      <c r="G24" s="30"/>
      <c r="H24" s="30"/>
      <c r="I24" s="30"/>
    </row>
    <row r="25" spans="1:9" x14ac:dyDescent="0.2">
      <c r="C25" s="24" t="s">
        <v>117</v>
      </c>
      <c r="E25" s="30">
        <v>300000</v>
      </c>
      <c r="F25" s="30">
        <v>150000</v>
      </c>
      <c r="G25" s="30">
        <v>150000</v>
      </c>
      <c r="H25" s="30"/>
      <c r="I25" s="30"/>
    </row>
    <row r="26" spans="1:9" x14ac:dyDescent="0.2">
      <c r="C26" s="24" t="s">
        <v>118</v>
      </c>
      <c r="E26" s="30">
        <v>280000</v>
      </c>
      <c r="F26" s="30"/>
      <c r="G26" s="30">
        <v>140000</v>
      </c>
      <c r="H26" s="30">
        <v>140000</v>
      </c>
      <c r="I26" s="30"/>
    </row>
    <row r="27" spans="1:9" x14ac:dyDescent="0.2">
      <c r="C27" s="29" t="s">
        <v>119</v>
      </c>
      <c r="D27" s="56"/>
      <c r="E27" s="64">
        <v>320000</v>
      </c>
      <c r="F27" s="64"/>
      <c r="G27" s="64"/>
      <c r="H27" s="64">
        <v>160000</v>
      </c>
      <c r="I27" s="64">
        <v>160000</v>
      </c>
    </row>
    <row r="28" spans="1:9" x14ac:dyDescent="0.2">
      <c r="F28" s="63">
        <v>325000</v>
      </c>
      <c r="G28" s="63">
        <v>290000</v>
      </c>
      <c r="H28" s="63">
        <v>300000</v>
      </c>
    </row>
  </sheetData>
  <mergeCells count="1">
    <mergeCell ref="F22:H22"/>
  </mergeCells>
  <phoneticPr fontId="0" type="noConversion"/>
  <pageMargins left="0.75" right="0.75" top="1" bottom="1" header="0.5" footer="0.5"/>
  <pageSetup paperSize="9" scale="95" fitToHeight="2" orientation="landscape" r:id="rId1"/>
  <headerFooter alignWithMargins="0">
    <oddHeader>&amp;COppgave 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1.7109375" style="23" customWidth="1"/>
    <col min="3" max="3" width="15.28515625" style="53" customWidth="1"/>
    <col min="4" max="4" width="11.5703125" style="53" bestFit="1" customWidth="1"/>
    <col min="5" max="5" width="12.28515625" style="53" customWidth="1"/>
    <col min="6" max="6" width="11.42578125" style="53"/>
    <col min="7" max="16384" width="11.42578125" style="23"/>
  </cols>
  <sheetData>
    <row r="1" spans="1:5" x14ac:dyDescent="0.2">
      <c r="C1" s="53" t="s">
        <v>143</v>
      </c>
      <c r="D1" s="62">
        <v>0.25</v>
      </c>
    </row>
    <row r="2" spans="1:5" x14ac:dyDescent="0.2">
      <c r="D2" s="61"/>
    </row>
    <row r="4" spans="1:5" x14ac:dyDescent="0.2">
      <c r="A4" s="23" t="s">
        <v>26</v>
      </c>
      <c r="B4" s="51" t="s">
        <v>144</v>
      </c>
    </row>
    <row r="5" spans="1:5" x14ac:dyDescent="0.2">
      <c r="C5" s="53" t="s">
        <v>20</v>
      </c>
      <c r="D5" s="53" t="s">
        <v>21</v>
      </c>
      <c r="E5" s="53" t="s">
        <v>22</v>
      </c>
    </row>
    <row r="6" spans="1:5" x14ac:dyDescent="0.2">
      <c r="B6" s="23" t="s">
        <v>123</v>
      </c>
      <c r="C6" s="53">
        <f>360000*1.26</f>
        <v>453600</v>
      </c>
      <c r="D6" s="53">
        <f>420000*1.26</f>
        <v>529200</v>
      </c>
      <c r="E6" s="53">
        <f>520000*1.26</f>
        <v>655200</v>
      </c>
    </row>
    <row r="7" spans="1:5" x14ac:dyDescent="0.2">
      <c r="B7" s="47" t="s">
        <v>142</v>
      </c>
      <c r="C7" s="53">
        <f>C6*D1</f>
        <v>113400</v>
      </c>
      <c r="D7" s="53">
        <f>D6*D1</f>
        <v>132300</v>
      </c>
      <c r="E7" s="53">
        <f>E6*D1</f>
        <v>163800</v>
      </c>
    </row>
    <row r="8" spans="1:5" x14ac:dyDescent="0.2">
      <c r="B8" s="48" t="s">
        <v>124</v>
      </c>
      <c r="C8" s="70">
        <f>SUM(C6:C7)</f>
        <v>567000</v>
      </c>
      <c r="D8" s="70">
        <f>SUM(D6:D7)</f>
        <v>661500</v>
      </c>
      <c r="E8" s="70">
        <f>SUM(E6:E7)</f>
        <v>819000</v>
      </c>
    </row>
    <row r="11" spans="1:5" x14ac:dyDescent="0.2">
      <c r="A11" s="23" t="s">
        <v>27</v>
      </c>
      <c r="B11" s="23" t="s">
        <v>145</v>
      </c>
    </row>
    <row r="12" spans="1:5" x14ac:dyDescent="0.2">
      <c r="B12" s="23" t="s">
        <v>125</v>
      </c>
      <c r="C12" s="53">
        <f>E8</f>
        <v>819000</v>
      </c>
    </row>
    <row r="14" spans="1:5" x14ac:dyDescent="0.2">
      <c r="B14" s="23" t="s">
        <v>126</v>
      </c>
      <c r="C14" s="53">
        <f>D8</f>
        <v>661500</v>
      </c>
    </row>
    <row r="16" spans="1:5" x14ac:dyDescent="0.2">
      <c r="B16" s="23" t="s">
        <v>146</v>
      </c>
    </row>
    <row r="17" spans="2:7" x14ac:dyDescent="0.2">
      <c r="B17" s="47" t="s">
        <v>147</v>
      </c>
      <c r="E17" s="53">
        <f>C8/2</f>
        <v>283500</v>
      </c>
    </row>
    <row r="18" spans="2:7" x14ac:dyDescent="0.2">
      <c r="B18" s="47" t="s">
        <v>148</v>
      </c>
      <c r="C18" s="71"/>
      <c r="E18" s="53">
        <f>D8/2</f>
        <v>330750</v>
      </c>
    </row>
    <row r="19" spans="2:7" x14ac:dyDescent="0.2">
      <c r="E19" s="72">
        <f>SUM(E17:E18)</f>
        <v>614250</v>
      </c>
    </row>
    <row r="21" spans="2:7" x14ac:dyDescent="0.2">
      <c r="B21" s="23" t="s">
        <v>149</v>
      </c>
    </row>
    <row r="22" spans="2:7" x14ac:dyDescent="0.2">
      <c r="B22" s="47" t="s">
        <v>150</v>
      </c>
      <c r="C22" s="71"/>
      <c r="E22" s="53">
        <f>E8*0.2</f>
        <v>163800</v>
      </c>
    </row>
    <row r="23" spans="2:7" x14ac:dyDescent="0.2">
      <c r="B23" s="47" t="s">
        <v>151</v>
      </c>
      <c r="E23" s="53">
        <f>D8*0.8</f>
        <v>529200</v>
      </c>
    </row>
    <row r="24" spans="2:7" x14ac:dyDescent="0.2">
      <c r="E24" s="72">
        <f>SUM(E22:E23)</f>
        <v>693000</v>
      </c>
    </row>
    <row r="26" spans="2:7" x14ac:dyDescent="0.2">
      <c r="B26" s="23" t="s">
        <v>152</v>
      </c>
    </row>
    <row r="27" spans="2:7" x14ac:dyDescent="0.2">
      <c r="C27" s="347" t="s">
        <v>128</v>
      </c>
      <c r="D27" s="348"/>
      <c r="F27" s="74" t="s">
        <v>129</v>
      </c>
    </row>
    <row r="28" spans="2:7" x14ac:dyDescent="0.2">
      <c r="B28" s="22" t="s">
        <v>127</v>
      </c>
      <c r="C28" s="73" t="s">
        <v>130</v>
      </c>
      <c r="D28" s="75" t="s">
        <v>131</v>
      </c>
      <c r="E28" s="76"/>
      <c r="F28" s="77" t="s">
        <v>132</v>
      </c>
    </row>
    <row r="29" spans="2:7" x14ac:dyDescent="0.2">
      <c r="B29" s="24" t="s">
        <v>133</v>
      </c>
      <c r="C29" s="78">
        <f>C8*0.25</f>
        <v>141750</v>
      </c>
      <c r="D29" s="78">
        <f>C8*0.75</f>
        <v>425250</v>
      </c>
      <c r="E29" s="58"/>
      <c r="F29" s="79">
        <f>D29/2</f>
        <v>212625</v>
      </c>
      <c r="G29" s="23" t="s">
        <v>134</v>
      </c>
    </row>
    <row r="30" spans="2:7" x14ac:dyDescent="0.2">
      <c r="B30" s="24" t="s">
        <v>118</v>
      </c>
      <c r="C30" s="37">
        <f>D8*0.25</f>
        <v>165375</v>
      </c>
      <c r="D30" s="37">
        <f>D8*0.75</f>
        <v>496125</v>
      </c>
      <c r="E30" s="58"/>
      <c r="F30" s="79">
        <f>(D30/2)+(C30/2)</f>
        <v>330750</v>
      </c>
      <c r="G30" s="23" t="s">
        <v>135</v>
      </c>
    </row>
    <row r="31" spans="2:7" x14ac:dyDescent="0.2">
      <c r="B31" s="29" t="s">
        <v>119</v>
      </c>
      <c r="C31" s="44">
        <f>E8*0.25</f>
        <v>204750</v>
      </c>
      <c r="D31" s="44">
        <f>E8*0.75</f>
        <v>614250</v>
      </c>
      <c r="E31" s="60"/>
      <c r="F31" s="80">
        <f>C31/2</f>
        <v>102375</v>
      </c>
      <c r="G31" s="23" t="s">
        <v>136</v>
      </c>
    </row>
    <row r="32" spans="2:7" x14ac:dyDescent="0.2">
      <c r="F32" s="81">
        <f>SUM(F29:F31)</f>
        <v>645750</v>
      </c>
    </row>
    <row r="34" spans="2:2" x14ac:dyDescent="0.2">
      <c r="B34" s="23" t="s">
        <v>137</v>
      </c>
    </row>
    <row r="35" spans="2:2" x14ac:dyDescent="0.2">
      <c r="B35" s="23" t="s">
        <v>138</v>
      </c>
    </row>
    <row r="36" spans="2:2" x14ac:dyDescent="0.2">
      <c r="B36" s="23" t="s">
        <v>139</v>
      </c>
    </row>
    <row r="37" spans="2:2" x14ac:dyDescent="0.2">
      <c r="B37" s="23" t="s">
        <v>140</v>
      </c>
    </row>
    <row r="38" spans="2:2" x14ac:dyDescent="0.2">
      <c r="B38" s="23" t="s">
        <v>141</v>
      </c>
    </row>
  </sheetData>
  <mergeCells count="1">
    <mergeCell ref="C27:D27"/>
  </mergeCells>
  <phoneticPr fontId="0" type="noConversion"/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/>
  </sheetViews>
  <sheetFormatPr baseColWidth="10" defaultRowHeight="12.75" x14ac:dyDescent="0.2"/>
  <cols>
    <col min="1" max="1" width="21.28515625" style="196" customWidth="1"/>
    <col min="2" max="6" width="11.7109375" style="196" customWidth="1"/>
    <col min="7" max="7" width="11.42578125" style="196"/>
    <col min="8" max="8" width="11.5703125" style="196" bestFit="1" customWidth="1"/>
    <col min="9" max="16384" width="11.42578125" style="196"/>
  </cols>
  <sheetData>
    <row r="1" spans="1:10" s="191" customFormat="1" x14ac:dyDescent="0.2">
      <c r="A1" s="192"/>
      <c r="B1" s="192"/>
      <c r="C1" s="192"/>
      <c r="D1" s="192"/>
      <c r="E1" s="192"/>
      <c r="F1" s="192"/>
    </row>
    <row r="2" spans="1:10" s="191" customFormat="1" x14ac:dyDescent="0.2">
      <c r="A2" s="192" t="s">
        <v>154</v>
      </c>
      <c r="B2" s="193">
        <v>0.25</v>
      </c>
      <c r="D2" s="192"/>
      <c r="E2" s="192"/>
      <c r="F2" s="192"/>
    </row>
    <row r="3" spans="1:10" s="191" customFormat="1" x14ac:dyDescent="0.2">
      <c r="A3" s="192"/>
      <c r="B3" s="194"/>
      <c r="D3" s="192"/>
      <c r="E3" s="192"/>
      <c r="F3" s="192"/>
    </row>
    <row r="4" spans="1:10" s="191" customFormat="1" x14ac:dyDescent="0.2">
      <c r="A4" s="190" t="s">
        <v>184</v>
      </c>
      <c r="B4" s="195"/>
      <c r="D4" s="192"/>
      <c r="E4" s="192"/>
      <c r="F4" s="192"/>
    </row>
    <row r="5" spans="1:10" x14ac:dyDescent="0.2">
      <c r="A5" s="199"/>
      <c r="B5" s="207" t="s">
        <v>168</v>
      </c>
      <c r="C5" s="216" t="s">
        <v>20</v>
      </c>
      <c r="D5" s="216" t="s">
        <v>21</v>
      </c>
      <c r="E5" s="216" t="s">
        <v>22</v>
      </c>
      <c r="F5" s="216" t="s">
        <v>153</v>
      </c>
    </row>
    <row r="6" spans="1:10" x14ac:dyDescent="0.2">
      <c r="A6" s="197" t="s">
        <v>166</v>
      </c>
      <c r="B6" s="198"/>
      <c r="C6" s="213"/>
      <c r="D6" s="213"/>
      <c r="E6" s="213"/>
      <c r="F6" s="213">
        <f>SUM(C6:E6)</f>
        <v>0</v>
      </c>
    </row>
    <row r="7" spans="1:10" x14ac:dyDescent="0.2">
      <c r="A7" s="197" t="s">
        <v>167</v>
      </c>
      <c r="C7" s="213">
        <v>500000</v>
      </c>
      <c r="D7" s="213">
        <v>550000</v>
      </c>
      <c r="E7" s="213">
        <v>700000</v>
      </c>
      <c r="F7" s="213">
        <f>SUM(C7:E7)</f>
        <v>1750000</v>
      </c>
    </row>
    <row r="8" spans="1:10" x14ac:dyDescent="0.2">
      <c r="A8" s="199" t="s">
        <v>154</v>
      </c>
      <c r="B8" s="208"/>
      <c r="C8" s="214">
        <f>C7*$B$2</f>
        <v>125000</v>
      </c>
      <c r="D8" s="214">
        <f>D7*$B$2</f>
        <v>137500</v>
      </c>
      <c r="E8" s="214">
        <f>E7*$B$2</f>
        <v>175000</v>
      </c>
      <c r="F8" s="214">
        <f>SUM(C8:E8)</f>
        <v>437500</v>
      </c>
    </row>
    <row r="9" spans="1:10" x14ac:dyDescent="0.2">
      <c r="A9" s="147" t="s">
        <v>155</v>
      </c>
      <c r="B9" s="195"/>
      <c r="C9" s="213">
        <f>SUM(C7:C8)</f>
        <v>625000</v>
      </c>
      <c r="D9" s="213">
        <f>SUM(D7:D8)</f>
        <v>687500</v>
      </c>
      <c r="E9" s="213">
        <f>SUM(E7:E8)</f>
        <v>875000</v>
      </c>
      <c r="F9" s="213">
        <f>SUM(F7:F8)</f>
        <v>2187500</v>
      </c>
    </row>
    <row r="10" spans="1:10" x14ac:dyDescent="0.2">
      <c r="A10" s="199" t="s">
        <v>156</v>
      </c>
      <c r="B10" s="209">
        <v>0.2</v>
      </c>
      <c r="C10" s="214">
        <f>C9*$B$10</f>
        <v>125000</v>
      </c>
      <c r="D10" s="214">
        <f>D9*$B$10</f>
        <v>137500</v>
      </c>
      <c r="E10" s="214">
        <f>E9*$B$10</f>
        <v>175000</v>
      </c>
      <c r="F10" s="214">
        <f>SUM(C10:E10)</f>
        <v>437500</v>
      </c>
    </row>
    <row r="11" spans="1:10" x14ac:dyDescent="0.2">
      <c r="A11" s="199" t="s">
        <v>157</v>
      </c>
      <c r="B11" s="209">
        <v>0.8</v>
      </c>
      <c r="C11" s="214">
        <f>C9-C10</f>
        <v>500000</v>
      </c>
      <c r="D11" s="214">
        <f>D9-D10</f>
        <v>550000</v>
      </c>
      <c r="E11" s="214">
        <f>E9-E10</f>
        <v>700000</v>
      </c>
      <c r="F11" s="214">
        <f>SUM(C11:E11)</f>
        <v>1750000</v>
      </c>
    </row>
    <row r="12" spans="1:10" x14ac:dyDescent="0.2">
      <c r="A12" s="200"/>
      <c r="B12" s="200"/>
      <c r="C12" s="200"/>
      <c r="D12" s="200"/>
      <c r="E12" s="200"/>
    </row>
    <row r="13" spans="1:10" s="191" customFormat="1" x14ac:dyDescent="0.2">
      <c r="A13" s="355" t="s">
        <v>185</v>
      </c>
      <c r="B13" s="356"/>
      <c r="C13" s="356"/>
      <c r="D13" s="356"/>
      <c r="E13" s="356"/>
      <c r="F13" s="356"/>
    </row>
    <row r="14" spans="1:10" s="191" customFormat="1" x14ac:dyDescent="0.2">
      <c r="A14" s="201"/>
      <c r="B14" s="201"/>
      <c r="C14" s="201"/>
      <c r="D14" s="201"/>
      <c r="E14" s="201"/>
      <c r="F14" s="201"/>
    </row>
    <row r="15" spans="1:10" x14ac:dyDescent="0.2">
      <c r="A15" s="200"/>
      <c r="B15" s="351" t="s">
        <v>158</v>
      </c>
      <c r="C15" s="357" t="s">
        <v>159</v>
      </c>
      <c r="D15" s="353"/>
      <c r="E15" s="353"/>
      <c r="F15" s="354"/>
    </row>
    <row r="16" spans="1:10" x14ac:dyDescent="0.2">
      <c r="A16" s="210"/>
      <c r="B16" s="352"/>
      <c r="C16" s="216" t="s">
        <v>20</v>
      </c>
      <c r="D16" s="216" t="s">
        <v>21</v>
      </c>
      <c r="E16" s="216" t="s">
        <v>22</v>
      </c>
      <c r="F16" s="216" t="s">
        <v>153</v>
      </c>
      <c r="I16"/>
      <c r="J16"/>
    </row>
    <row r="17" spans="1:10" x14ac:dyDescent="0.2">
      <c r="A17" s="149" t="s">
        <v>163</v>
      </c>
      <c r="B17" s="236">
        <f>610000*B11</f>
        <v>488000</v>
      </c>
      <c r="C17" s="119">
        <f>B17/2</f>
        <v>244000</v>
      </c>
      <c r="D17" s="119"/>
      <c r="E17" s="119"/>
      <c r="F17" s="119">
        <f t="shared" ref="F17:F23" si="0">SUM(C17:E17)</f>
        <v>244000</v>
      </c>
      <c r="I17"/>
      <c r="J17"/>
    </row>
    <row r="18" spans="1:10" x14ac:dyDescent="0.2">
      <c r="A18" s="118" t="s">
        <v>164</v>
      </c>
      <c r="B18" s="119">
        <f>793000*B11</f>
        <v>634400</v>
      </c>
      <c r="C18" s="119">
        <f>B18/2</f>
        <v>317200</v>
      </c>
      <c r="D18" s="119">
        <f>B18-C18</f>
        <v>317200</v>
      </c>
      <c r="E18" s="119"/>
      <c r="F18" s="119">
        <f t="shared" si="0"/>
        <v>634400</v>
      </c>
      <c r="I18"/>
      <c r="J18"/>
    </row>
    <row r="19" spans="1:10" x14ac:dyDescent="0.2">
      <c r="A19" s="118" t="s">
        <v>20</v>
      </c>
      <c r="B19" s="119">
        <f>C11</f>
        <v>500000</v>
      </c>
      <c r="C19" s="119"/>
      <c r="D19" s="119">
        <f>B19/2</f>
        <v>250000</v>
      </c>
      <c r="E19" s="119">
        <f>B19-D19</f>
        <v>250000</v>
      </c>
      <c r="F19" s="119">
        <f t="shared" si="0"/>
        <v>500000</v>
      </c>
      <c r="I19"/>
      <c r="J19"/>
    </row>
    <row r="20" spans="1:10" x14ac:dyDescent="0.2">
      <c r="A20" s="118" t="s">
        <v>21</v>
      </c>
      <c r="B20" s="119">
        <f>D11</f>
        <v>550000</v>
      </c>
      <c r="C20" s="119"/>
      <c r="D20" s="119"/>
      <c r="E20" s="119">
        <f>B20/2</f>
        <v>275000</v>
      </c>
      <c r="F20" s="119">
        <f t="shared" si="0"/>
        <v>275000</v>
      </c>
      <c r="I20"/>
      <c r="J20"/>
    </row>
    <row r="21" spans="1:10" x14ac:dyDescent="0.2">
      <c r="A21" s="151" t="s">
        <v>22</v>
      </c>
      <c r="B21" s="123">
        <f>E11</f>
        <v>700000</v>
      </c>
      <c r="C21" s="123"/>
      <c r="D21" s="123"/>
      <c r="E21" s="123"/>
      <c r="F21" s="123">
        <f t="shared" si="0"/>
        <v>0</v>
      </c>
      <c r="I21"/>
      <c r="J21"/>
    </row>
    <row r="22" spans="1:10" x14ac:dyDescent="0.2">
      <c r="A22" s="118" t="s">
        <v>160</v>
      </c>
      <c r="B22" s="120"/>
      <c r="C22" s="119">
        <f>SUM(C17:C21)</f>
        <v>561200</v>
      </c>
      <c r="D22" s="119">
        <f>SUM(D17:D21)</f>
        <v>567200</v>
      </c>
      <c r="E22" s="119">
        <f>SUM(E17:E21)</f>
        <v>525000</v>
      </c>
      <c r="F22" s="119">
        <f t="shared" si="0"/>
        <v>1653400</v>
      </c>
    </row>
    <row r="23" spans="1:10" x14ac:dyDescent="0.2">
      <c r="A23" s="151" t="s">
        <v>161</v>
      </c>
      <c r="B23" s="124"/>
      <c r="C23" s="119">
        <f>C10</f>
        <v>125000</v>
      </c>
      <c r="D23" s="119">
        <f>D10</f>
        <v>137500</v>
      </c>
      <c r="E23" s="119">
        <f>E10</f>
        <v>175000</v>
      </c>
      <c r="F23" s="119">
        <f t="shared" si="0"/>
        <v>437500</v>
      </c>
    </row>
    <row r="24" spans="1:10" x14ac:dyDescent="0.2">
      <c r="A24" s="126" t="s">
        <v>162</v>
      </c>
      <c r="B24" s="222"/>
      <c r="C24" s="128">
        <f>SUM(C22:C23)</f>
        <v>686200</v>
      </c>
      <c r="D24" s="128">
        <f>SUM(D22:D23)</f>
        <v>704700</v>
      </c>
      <c r="E24" s="128">
        <f>SUM(E22:E23)</f>
        <v>700000</v>
      </c>
      <c r="F24" s="128">
        <f>SUM(F22:F23)</f>
        <v>2090900</v>
      </c>
    </row>
    <row r="26" spans="1:10" x14ac:dyDescent="0.2">
      <c r="A26" s="196" t="s">
        <v>165</v>
      </c>
    </row>
    <row r="28" spans="1:10" x14ac:dyDescent="0.2">
      <c r="A28" s="211" t="s">
        <v>183</v>
      </c>
      <c r="B28" s="208"/>
    </row>
    <row r="29" spans="1:10" x14ac:dyDescent="0.2">
      <c r="A29" s="133"/>
      <c r="B29" s="218" t="s">
        <v>168</v>
      </c>
      <c r="C29" s="216" t="str">
        <f>C16</f>
        <v>Januar</v>
      </c>
      <c r="D29" s="216" t="str">
        <f>D16</f>
        <v>Februar</v>
      </c>
      <c r="E29" s="216" t="str">
        <f>E16</f>
        <v>Mars</v>
      </c>
      <c r="F29" s="204"/>
    </row>
    <row r="30" spans="1:10" x14ac:dyDescent="0.2">
      <c r="A30" s="138" t="s">
        <v>155</v>
      </c>
      <c r="B30" s="219"/>
      <c r="C30" s="213">
        <f>C9</f>
        <v>625000</v>
      </c>
      <c r="D30" s="213">
        <f>D9</f>
        <v>687500</v>
      </c>
      <c r="E30" s="213">
        <f>E9</f>
        <v>875000</v>
      </c>
      <c r="F30" s="200"/>
    </row>
    <row r="31" spans="1:10" x14ac:dyDescent="0.2">
      <c r="A31" s="144" t="s">
        <v>154</v>
      </c>
      <c r="B31" s="220">
        <f>B2</f>
        <v>0.25</v>
      </c>
      <c r="C31" s="214">
        <f>C30/(1+$B$2)*$B$2</f>
        <v>125000</v>
      </c>
      <c r="D31" s="214">
        <f>D30/(1+$B$2)*$B$2</f>
        <v>137500</v>
      </c>
      <c r="E31" s="214">
        <f>E30/(1+$B$2)*$B$2</f>
        <v>175000</v>
      </c>
      <c r="F31" s="200"/>
    </row>
    <row r="32" spans="1:10" x14ac:dyDescent="0.2">
      <c r="A32" s="138" t="s">
        <v>169</v>
      </c>
      <c r="B32" s="219"/>
      <c r="C32" s="213">
        <f>C30-C31</f>
        <v>500000</v>
      </c>
      <c r="D32" s="213">
        <f>D30-D31</f>
        <v>550000</v>
      </c>
      <c r="E32" s="213">
        <f>E30-E31</f>
        <v>700000</v>
      </c>
      <c r="F32" s="200"/>
    </row>
    <row r="33" spans="1:6" x14ac:dyDescent="0.2">
      <c r="A33" s="144" t="s">
        <v>170</v>
      </c>
      <c r="B33" s="220">
        <v>0.2</v>
      </c>
      <c r="C33" s="214">
        <f>C32*$B$33</f>
        <v>100000</v>
      </c>
      <c r="D33" s="214">
        <f>D32*$B$33</f>
        <v>110000</v>
      </c>
      <c r="E33" s="214">
        <f>E32*$B$33</f>
        <v>140000</v>
      </c>
      <c r="F33" s="200"/>
    </row>
    <row r="34" spans="1:6" x14ac:dyDescent="0.2">
      <c r="A34" s="138" t="s">
        <v>16</v>
      </c>
      <c r="B34" s="219"/>
      <c r="C34" s="213">
        <f>C32-C33</f>
        <v>400000</v>
      </c>
      <c r="D34" s="213">
        <f>D32-D33</f>
        <v>440000</v>
      </c>
      <c r="E34" s="213">
        <f>E32-E33</f>
        <v>560000</v>
      </c>
      <c r="F34" s="200"/>
    </row>
    <row r="35" spans="1:6" x14ac:dyDescent="0.2">
      <c r="A35" s="144" t="s">
        <v>171</v>
      </c>
      <c r="B35" s="220"/>
      <c r="C35" s="214">
        <v>15000</v>
      </c>
      <c r="D35" s="214">
        <v>15000</v>
      </c>
      <c r="E35" s="214">
        <v>50000</v>
      </c>
      <c r="F35" s="200"/>
    </row>
    <row r="36" spans="1:6" x14ac:dyDescent="0.2">
      <c r="A36" s="138" t="s">
        <v>172</v>
      </c>
      <c r="B36" s="219"/>
      <c r="C36" s="213">
        <f>SUM(C34:C35)</f>
        <v>415000</v>
      </c>
      <c r="D36" s="213">
        <f>SUM(D34:D35)</f>
        <v>455000</v>
      </c>
      <c r="E36" s="213">
        <f>E34-E35</f>
        <v>510000</v>
      </c>
      <c r="F36" s="200"/>
    </row>
    <row r="37" spans="1:6" x14ac:dyDescent="0.2">
      <c r="A37" s="144" t="s">
        <v>154</v>
      </c>
      <c r="B37" s="220">
        <f>B31</f>
        <v>0.25</v>
      </c>
      <c r="C37" s="214">
        <f>C36*$B$2</f>
        <v>103750</v>
      </c>
      <c r="D37" s="214">
        <f>D36*$B$2</f>
        <v>113750</v>
      </c>
      <c r="E37" s="214">
        <f>E36*$B$2</f>
        <v>127500</v>
      </c>
      <c r="F37" s="200"/>
    </row>
    <row r="38" spans="1:6" x14ac:dyDescent="0.2">
      <c r="A38" s="133" t="s">
        <v>173</v>
      </c>
      <c r="B38" s="221"/>
      <c r="C38" s="215">
        <f>SUM(C36:C37)</f>
        <v>518750</v>
      </c>
      <c r="D38" s="215">
        <f>SUM(D36:D37)</f>
        <v>568750</v>
      </c>
      <c r="E38" s="215">
        <f>SUM(E36:E37)</f>
        <v>637500</v>
      </c>
      <c r="F38" s="200"/>
    </row>
    <row r="39" spans="1:6" x14ac:dyDescent="0.2">
      <c r="F39" s="205"/>
    </row>
    <row r="40" spans="1:6" x14ac:dyDescent="0.2">
      <c r="A40" s="349" t="s">
        <v>186</v>
      </c>
      <c r="B40" s="350"/>
      <c r="C40" s="350"/>
      <c r="D40" s="350"/>
      <c r="E40" s="350"/>
      <c r="F40" s="350"/>
    </row>
    <row r="41" spans="1:6" x14ac:dyDescent="0.2">
      <c r="A41" s="206"/>
      <c r="B41" s="190"/>
      <c r="C41" s="190"/>
      <c r="D41" s="190"/>
      <c r="E41" s="190"/>
      <c r="F41" s="190"/>
    </row>
    <row r="42" spans="1:6" x14ac:dyDescent="0.2">
      <c r="A42" s="117"/>
      <c r="B42" s="351" t="s">
        <v>175</v>
      </c>
      <c r="C42" s="353" t="s">
        <v>176</v>
      </c>
      <c r="D42" s="353"/>
      <c r="E42" s="353"/>
      <c r="F42" s="354"/>
    </row>
    <row r="43" spans="1:6" x14ac:dyDescent="0.2">
      <c r="A43" s="212"/>
      <c r="B43" s="352"/>
      <c r="C43" s="217" t="str">
        <f>C29</f>
        <v>Januar</v>
      </c>
      <c r="D43" s="217" t="str">
        <f>D29</f>
        <v>Februar</v>
      </c>
      <c r="E43" s="217" t="str">
        <f>E29</f>
        <v>Mars</v>
      </c>
      <c r="F43" s="216" t="s">
        <v>122</v>
      </c>
    </row>
    <row r="44" spans="1:6" x14ac:dyDescent="0.2">
      <c r="A44" s="118" t="s">
        <v>177</v>
      </c>
      <c r="B44" s="119">
        <f>793000*0.8</f>
        <v>634400</v>
      </c>
      <c r="C44" s="120">
        <f>B44/2</f>
        <v>317200</v>
      </c>
      <c r="D44" s="119"/>
      <c r="E44" s="119"/>
      <c r="F44" s="121"/>
    </row>
    <row r="45" spans="1:6" x14ac:dyDescent="0.2">
      <c r="A45" s="118" t="s">
        <v>178</v>
      </c>
      <c r="B45" s="119">
        <f>C38</f>
        <v>518750</v>
      </c>
      <c r="C45" s="120">
        <f>B45/2</f>
        <v>259375</v>
      </c>
      <c r="D45" s="119">
        <f>B45-C45</f>
        <v>259375</v>
      </c>
      <c r="E45" s="119"/>
      <c r="F45" s="121"/>
    </row>
    <row r="46" spans="1:6" x14ac:dyDescent="0.2">
      <c r="A46" s="118" t="s">
        <v>179</v>
      </c>
      <c r="B46" s="119">
        <f>D38</f>
        <v>568750</v>
      </c>
      <c r="C46" s="120"/>
      <c r="D46" s="119">
        <f>B46/2</f>
        <v>284375</v>
      </c>
      <c r="E46" s="119">
        <f>B46-D46</f>
        <v>284375</v>
      </c>
      <c r="F46" s="121"/>
    </row>
    <row r="47" spans="1:6" x14ac:dyDescent="0.2">
      <c r="A47" s="122" t="s">
        <v>180</v>
      </c>
      <c r="B47" s="123">
        <f>E38</f>
        <v>637500</v>
      </c>
      <c r="C47" s="124"/>
      <c r="D47" s="123"/>
      <c r="E47" s="123">
        <f>B47/2</f>
        <v>318750</v>
      </c>
      <c r="F47" s="125">
        <f>B47-E47</f>
        <v>318750</v>
      </c>
    </row>
    <row r="48" spans="1:6" x14ac:dyDescent="0.2">
      <c r="A48" s="126" t="s">
        <v>181</v>
      </c>
      <c r="B48" s="222"/>
      <c r="C48" s="128">
        <f>SUM(C44:C47)</f>
        <v>576575</v>
      </c>
      <c r="D48" s="128">
        <f>SUM(D44:D47)</f>
        <v>543750</v>
      </c>
      <c r="E48" s="128">
        <f>SUM(E44:E47)</f>
        <v>603125</v>
      </c>
      <c r="F48" s="129">
        <f>SUM(F47)</f>
        <v>318750</v>
      </c>
    </row>
    <row r="49" spans="6:6" x14ac:dyDescent="0.2">
      <c r="F49" s="205"/>
    </row>
  </sheetData>
  <mergeCells count="6">
    <mergeCell ref="A40:F40"/>
    <mergeCell ref="B42:B43"/>
    <mergeCell ref="C42:F42"/>
    <mergeCell ref="A13:F13"/>
    <mergeCell ref="B15:B16"/>
    <mergeCell ref="C15:F15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>
    <oddHeader>&amp;COppgave 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zoomScaleNormal="100" workbookViewId="0"/>
  </sheetViews>
  <sheetFormatPr baseColWidth="10" defaultRowHeight="12.75" x14ac:dyDescent="0.2"/>
  <cols>
    <col min="1" max="1" width="3.140625" style="23" customWidth="1"/>
    <col min="2" max="2" width="23" style="23" bestFit="1" customWidth="1"/>
    <col min="3" max="3" width="12.85546875" style="23" bestFit="1" customWidth="1"/>
    <col min="4" max="4" width="12.85546875" style="23" customWidth="1"/>
    <col min="5" max="5" width="12.28515625" style="23" bestFit="1" customWidth="1"/>
    <col min="6" max="16384" width="11.42578125" style="23"/>
  </cols>
  <sheetData>
    <row r="2" spans="2:6" x14ac:dyDescent="0.2">
      <c r="B2" s="22"/>
      <c r="C2" s="338" t="s">
        <v>10</v>
      </c>
      <c r="D2" s="339"/>
      <c r="E2" s="338" t="s">
        <v>12</v>
      </c>
      <c r="F2" s="339"/>
    </row>
    <row r="3" spans="2:6" x14ac:dyDescent="0.2">
      <c r="B3" s="24"/>
      <c r="C3" s="340" t="s">
        <v>11</v>
      </c>
      <c r="D3" s="341"/>
      <c r="E3" s="342" t="s">
        <v>13</v>
      </c>
      <c r="F3" s="343"/>
    </row>
    <row r="4" spans="2:6" x14ac:dyDescent="0.2">
      <c r="B4" s="64"/>
      <c r="C4" s="26" t="s">
        <v>14</v>
      </c>
      <c r="D4" s="27" t="s">
        <v>15</v>
      </c>
      <c r="E4" s="27" t="str">
        <f>C4</f>
        <v>Kr</v>
      </c>
      <c r="F4" s="27" t="str">
        <f>D4</f>
        <v>%</v>
      </c>
    </row>
    <row r="5" spans="2:6" x14ac:dyDescent="0.2">
      <c r="B5" s="24" t="s">
        <v>0</v>
      </c>
      <c r="C5" s="32">
        <v>1912800</v>
      </c>
      <c r="D5" s="20">
        <f>C5/C5</f>
        <v>1</v>
      </c>
      <c r="E5" s="33">
        <f>C5*1.05</f>
        <v>2008440</v>
      </c>
      <c r="F5" s="20">
        <f>E5/E5</f>
        <v>1</v>
      </c>
    </row>
    <row r="6" spans="2:6" x14ac:dyDescent="0.2">
      <c r="B6" s="24"/>
      <c r="C6" s="32"/>
      <c r="D6" s="20"/>
      <c r="E6" s="33"/>
      <c r="F6" s="20"/>
    </row>
    <row r="7" spans="2:6" x14ac:dyDescent="0.2">
      <c r="B7" s="28" t="s">
        <v>16</v>
      </c>
      <c r="C7" s="32">
        <v>1432700</v>
      </c>
      <c r="D7" s="20">
        <f t="shared" ref="D7:D15" si="0">C7/$C$5</f>
        <v>0.74900669176076951</v>
      </c>
      <c r="E7" s="33">
        <f>INT(E5*0.73)</f>
        <v>1466161</v>
      </c>
      <c r="F7" s="20">
        <f t="shared" ref="F7:F15" si="1">E7/$E$5</f>
        <v>0.72999990042022667</v>
      </c>
    </row>
    <row r="8" spans="2:6" x14ac:dyDescent="0.2">
      <c r="B8" s="24" t="s">
        <v>2</v>
      </c>
      <c r="C8" s="32">
        <v>240000</v>
      </c>
      <c r="D8" s="20">
        <f t="shared" si="0"/>
        <v>0.12547051442910917</v>
      </c>
      <c r="E8" s="33">
        <f>INT(C8*1.05)</f>
        <v>252000</v>
      </c>
      <c r="F8" s="20">
        <f t="shared" si="1"/>
        <v>0.12547051442910917</v>
      </c>
    </row>
    <row r="9" spans="2:6" x14ac:dyDescent="0.2">
      <c r="B9" s="24" t="s">
        <v>17</v>
      </c>
      <c r="C9" s="32">
        <f>C8*0.12</f>
        <v>28800</v>
      </c>
      <c r="D9" s="20">
        <f t="shared" si="0"/>
        <v>1.5056461731493099E-2</v>
      </c>
      <c r="E9" s="33">
        <f>INT(C9*1.05)</f>
        <v>30240</v>
      </c>
      <c r="F9" s="20">
        <f t="shared" si="1"/>
        <v>1.5056461731493099E-2</v>
      </c>
    </row>
    <row r="10" spans="2:6" x14ac:dyDescent="0.2">
      <c r="B10" s="24" t="s">
        <v>18</v>
      </c>
      <c r="C10" s="32">
        <v>37900</v>
      </c>
      <c r="D10" s="20">
        <f t="shared" si="0"/>
        <v>1.9813885403596822E-2</v>
      </c>
      <c r="E10" s="33">
        <f>INT(C10*1.05)</f>
        <v>39795</v>
      </c>
      <c r="F10" s="20">
        <f t="shared" si="1"/>
        <v>1.9813885403596822E-2</v>
      </c>
    </row>
    <row r="11" spans="2:6" x14ac:dyDescent="0.2">
      <c r="B11" s="24" t="s">
        <v>3</v>
      </c>
      <c r="C11" s="32">
        <v>45800</v>
      </c>
      <c r="D11" s="20">
        <f t="shared" si="0"/>
        <v>2.3943956503554999E-2</v>
      </c>
      <c r="E11" s="33">
        <f>C11+(800*12)</f>
        <v>55400</v>
      </c>
      <c r="F11" s="20">
        <f t="shared" si="1"/>
        <v>2.7583597219732726E-2</v>
      </c>
    </row>
    <row r="12" spans="2:6" x14ac:dyDescent="0.2">
      <c r="B12" s="24" t="s">
        <v>4</v>
      </c>
      <c r="C12" s="32">
        <v>68300</v>
      </c>
      <c r="D12" s="20">
        <f t="shared" si="0"/>
        <v>3.570681723128398E-2</v>
      </c>
      <c r="E12" s="33">
        <f>C12</f>
        <v>68300</v>
      </c>
      <c r="F12" s="20">
        <f t="shared" si="1"/>
        <v>3.4006492601222842E-2</v>
      </c>
    </row>
    <row r="13" spans="2:6" x14ac:dyDescent="0.2">
      <c r="B13" s="28" t="s">
        <v>19</v>
      </c>
      <c r="C13" s="32"/>
      <c r="D13" s="20"/>
      <c r="E13" s="33">
        <v>30000</v>
      </c>
      <c r="F13" s="20">
        <f t="shared" si="1"/>
        <v>1.4936966003465377E-2</v>
      </c>
    </row>
    <row r="14" spans="2:6" x14ac:dyDescent="0.2">
      <c r="B14" s="29" t="s">
        <v>5</v>
      </c>
      <c r="C14" s="34">
        <v>18500</v>
      </c>
      <c r="D14" s="21">
        <f t="shared" si="0"/>
        <v>9.6716854872438314E-3</v>
      </c>
      <c r="E14" s="35">
        <f>C14+25000</f>
        <v>43500</v>
      </c>
      <c r="F14" s="21">
        <f t="shared" si="1"/>
        <v>2.1658600705024796E-2</v>
      </c>
    </row>
    <row r="15" spans="2:6" x14ac:dyDescent="0.2">
      <c r="B15" s="28" t="s">
        <v>6</v>
      </c>
      <c r="C15" s="36">
        <f>SUM(C7:C14)</f>
        <v>1872000</v>
      </c>
      <c r="D15" s="20">
        <f t="shared" si="0"/>
        <v>0.97867001254705144</v>
      </c>
      <c r="E15" s="37">
        <f>SUM(E7:E14)</f>
        <v>1985396</v>
      </c>
      <c r="F15" s="20">
        <f t="shared" si="1"/>
        <v>0.98852641851387146</v>
      </c>
    </row>
    <row r="16" spans="2:6" x14ac:dyDescent="0.2">
      <c r="B16" s="29"/>
      <c r="C16" s="34"/>
      <c r="D16" s="21"/>
      <c r="E16" s="35"/>
      <c r="F16" s="21"/>
    </row>
    <row r="17" spans="1:9" x14ac:dyDescent="0.2">
      <c r="B17" s="24" t="s">
        <v>7</v>
      </c>
      <c r="C17" s="32">
        <f>C5-C15</f>
        <v>40800</v>
      </c>
      <c r="D17" s="20">
        <f>C17/$C$5</f>
        <v>2.1329987452948559E-2</v>
      </c>
      <c r="E17" s="33">
        <f>E5-E15</f>
        <v>23044</v>
      </c>
      <c r="F17" s="20">
        <f>E17/$E$5</f>
        <v>1.1473581486128537E-2</v>
      </c>
    </row>
    <row r="18" spans="1:9" x14ac:dyDescent="0.2">
      <c r="B18" s="24"/>
      <c r="C18" s="32"/>
      <c r="D18" s="20"/>
      <c r="E18" s="33"/>
      <c r="F18" s="20"/>
    </row>
    <row r="19" spans="1:9" x14ac:dyDescent="0.2">
      <c r="B19" s="24" t="s">
        <v>8</v>
      </c>
      <c r="C19" s="32">
        <v>28500</v>
      </c>
      <c r="D19" s="20">
        <f>C19/$C$5</f>
        <v>1.4899623588456713E-2</v>
      </c>
      <c r="E19" s="33">
        <f>C19+16000</f>
        <v>44500</v>
      </c>
      <c r="F19" s="20">
        <f>E19/$E$5</f>
        <v>2.2156499571806973E-2</v>
      </c>
    </row>
    <row r="20" spans="1:9" x14ac:dyDescent="0.2">
      <c r="B20" s="29"/>
      <c r="C20" s="34"/>
      <c r="D20" s="21"/>
      <c r="E20" s="35"/>
      <c r="F20" s="21"/>
    </row>
    <row r="21" spans="1:9" x14ac:dyDescent="0.2">
      <c r="B21" s="29" t="s">
        <v>9</v>
      </c>
      <c r="C21" s="34">
        <f>C17-C19</f>
        <v>12300</v>
      </c>
      <c r="D21" s="21">
        <f>C21/$C$5</f>
        <v>6.4303638644918441E-3</v>
      </c>
      <c r="E21" s="35">
        <f>E17-E19</f>
        <v>-21456</v>
      </c>
      <c r="F21" s="21">
        <f>E21/$E$5</f>
        <v>-1.0682918085678436E-2</v>
      </c>
    </row>
    <row r="22" spans="1:9" x14ac:dyDescent="0.2">
      <c r="C22" s="31"/>
      <c r="D22" s="31"/>
      <c r="E22" s="31"/>
      <c r="F22" s="31"/>
    </row>
    <row r="23" spans="1:9" x14ac:dyDescent="0.2">
      <c r="A23" s="23" t="s">
        <v>26</v>
      </c>
      <c r="C23" s="31"/>
      <c r="D23" s="31"/>
      <c r="E23" s="31"/>
      <c r="F23" s="31"/>
    </row>
    <row r="24" spans="1:9" x14ac:dyDescent="0.2">
      <c r="B24" s="22"/>
      <c r="C24" s="41" t="s">
        <v>20</v>
      </c>
      <c r="D24" s="41" t="s">
        <v>21</v>
      </c>
      <c r="E24" s="187" t="s">
        <v>22</v>
      </c>
      <c r="F24" s="24"/>
      <c r="I24" s="25"/>
    </row>
    <row r="25" spans="1:9" x14ac:dyDescent="0.2">
      <c r="B25" s="24" t="s">
        <v>24</v>
      </c>
      <c r="C25" s="40">
        <v>0.08</v>
      </c>
      <c r="D25" s="42">
        <v>7.4999999999999997E-2</v>
      </c>
      <c r="E25" s="188">
        <v>0.09</v>
      </c>
      <c r="F25" s="24"/>
    </row>
    <row r="26" spans="1:9" x14ac:dyDescent="0.2">
      <c r="B26" s="24" t="s">
        <v>25</v>
      </c>
      <c r="C26" s="40">
        <f>1/12</f>
        <v>8.3333333333333329E-2</v>
      </c>
      <c r="D26" s="42">
        <f>1/12</f>
        <v>8.3333333333333329E-2</v>
      </c>
      <c r="E26" s="188">
        <f>1/12</f>
        <v>8.3333333333333329E-2</v>
      </c>
      <c r="F26" s="24"/>
    </row>
    <row r="27" spans="1:9" x14ac:dyDescent="0.2">
      <c r="B27" s="24"/>
      <c r="C27" s="30"/>
      <c r="D27" s="39"/>
      <c r="E27" s="24"/>
      <c r="F27" s="29"/>
    </row>
    <row r="28" spans="1:9" x14ac:dyDescent="0.2">
      <c r="B28" s="64"/>
      <c r="C28" s="27" t="str">
        <f>C24</f>
        <v>Januar</v>
      </c>
      <c r="D28" s="43" t="str">
        <f>D24</f>
        <v>Februar</v>
      </c>
      <c r="E28" s="27" t="str">
        <f>E24</f>
        <v>Mars</v>
      </c>
      <c r="F28" s="189" t="s">
        <v>23</v>
      </c>
    </row>
    <row r="29" spans="1:9" x14ac:dyDescent="0.2">
      <c r="B29" s="24" t="s">
        <v>0</v>
      </c>
      <c r="C29" s="33">
        <f>INT($E$5*C25)</f>
        <v>160675</v>
      </c>
      <c r="D29" s="33">
        <f>INT($E$5*D25)</f>
        <v>150633</v>
      </c>
      <c r="E29" s="33">
        <f>INT($E$5*E25)</f>
        <v>180759</v>
      </c>
      <c r="F29" s="33">
        <f>SUM(C29:E29)</f>
        <v>492067</v>
      </c>
    </row>
    <row r="30" spans="1:9" x14ac:dyDescent="0.2">
      <c r="B30" s="24"/>
      <c r="C30" s="33"/>
      <c r="D30" s="33"/>
      <c r="E30" s="33"/>
      <c r="F30" s="33"/>
    </row>
    <row r="31" spans="1:9" x14ac:dyDescent="0.2">
      <c r="B31" s="260" t="s">
        <v>16</v>
      </c>
      <c r="C31" s="33">
        <f>INT($E$7*C25)</f>
        <v>117292</v>
      </c>
      <c r="D31" s="33">
        <f>INT($E$7*D25)</f>
        <v>109962</v>
      </c>
      <c r="E31" s="33">
        <f>INT($E$7*E25)</f>
        <v>131954</v>
      </c>
      <c r="F31" s="33">
        <f t="shared" ref="F31:F45" si="2">SUM(C31:E31)</f>
        <v>359208</v>
      </c>
    </row>
    <row r="32" spans="1:9" x14ac:dyDescent="0.2">
      <c r="B32" s="24" t="s">
        <v>2</v>
      </c>
      <c r="C32" s="33">
        <f>$E$8*C26</f>
        <v>21000</v>
      </c>
      <c r="D32" s="33">
        <f>$E$8*D26</f>
        <v>21000</v>
      </c>
      <c r="E32" s="33">
        <f>$E$8*E26</f>
        <v>21000</v>
      </c>
      <c r="F32" s="33">
        <f t="shared" si="2"/>
        <v>63000</v>
      </c>
    </row>
    <row r="33" spans="1:7" x14ac:dyDescent="0.2">
      <c r="B33" s="24" t="s">
        <v>17</v>
      </c>
      <c r="C33" s="33">
        <f>$E$9*C26</f>
        <v>2520</v>
      </c>
      <c r="D33" s="33">
        <f>$E$9*D26</f>
        <v>2520</v>
      </c>
      <c r="E33" s="33">
        <f>$E$9*E26</f>
        <v>2520</v>
      </c>
      <c r="F33" s="33">
        <f t="shared" si="2"/>
        <v>7560</v>
      </c>
    </row>
    <row r="34" spans="1:7" x14ac:dyDescent="0.2">
      <c r="B34" s="24" t="s">
        <v>18</v>
      </c>
      <c r="C34" s="33">
        <f>INT($E$10*C26)</f>
        <v>3316</v>
      </c>
      <c r="D34" s="33">
        <f>INT($E$10*D26)</f>
        <v>3316</v>
      </c>
      <c r="E34" s="33">
        <f>INT($E$10*E26)</f>
        <v>3316</v>
      </c>
      <c r="F34" s="33">
        <f t="shared" si="2"/>
        <v>9948</v>
      </c>
    </row>
    <row r="35" spans="1:7" x14ac:dyDescent="0.2">
      <c r="B35" s="24" t="s">
        <v>3</v>
      </c>
      <c r="C35" s="33">
        <f>INT($E$11*C26)</f>
        <v>4616</v>
      </c>
      <c r="D35" s="33">
        <f>INT($E$11*D26)</f>
        <v>4616</v>
      </c>
      <c r="E35" s="33">
        <f>INT($E$11*E26)</f>
        <v>4616</v>
      </c>
      <c r="F35" s="33">
        <f t="shared" si="2"/>
        <v>13848</v>
      </c>
    </row>
    <row r="36" spans="1:7" x14ac:dyDescent="0.2">
      <c r="B36" s="24" t="s">
        <v>4</v>
      </c>
      <c r="C36" s="33">
        <f>INT($E$12*C26)</f>
        <v>5691</v>
      </c>
      <c r="D36" s="33">
        <f>INT($E$12*D26)</f>
        <v>5691</v>
      </c>
      <c r="E36" s="33">
        <f>INT($E$12*E26)</f>
        <v>5691</v>
      </c>
      <c r="F36" s="33">
        <f t="shared" si="2"/>
        <v>17073</v>
      </c>
    </row>
    <row r="37" spans="1:7" x14ac:dyDescent="0.2">
      <c r="B37" s="28" t="s">
        <v>19</v>
      </c>
      <c r="C37" s="37">
        <f>$E$13*C26</f>
        <v>2500</v>
      </c>
      <c r="D37" s="37">
        <f>$E$13*D26</f>
        <v>2500</v>
      </c>
      <c r="E37" s="37">
        <f>$E$13*E26</f>
        <v>2500</v>
      </c>
      <c r="F37" s="33">
        <f t="shared" si="2"/>
        <v>7500</v>
      </c>
    </row>
    <row r="38" spans="1:7" x14ac:dyDescent="0.2">
      <c r="B38" s="29" t="s">
        <v>5</v>
      </c>
      <c r="C38" s="44">
        <f>INT($E$14*C26)</f>
        <v>3625</v>
      </c>
      <c r="D38" s="44">
        <f>INT($E$14*D26)</f>
        <v>3625</v>
      </c>
      <c r="E38" s="44">
        <f>INT($E$14*E26)</f>
        <v>3625</v>
      </c>
      <c r="F38" s="35">
        <f t="shared" si="2"/>
        <v>10875</v>
      </c>
    </row>
    <row r="39" spans="1:7" x14ac:dyDescent="0.2">
      <c r="B39" s="28" t="s">
        <v>6</v>
      </c>
      <c r="C39" s="37">
        <f>SUM(C31:C38)</f>
        <v>160560</v>
      </c>
      <c r="D39" s="37">
        <f>SUM(D31:D38)</f>
        <v>153230</v>
      </c>
      <c r="E39" s="37">
        <f>SUM(E31:E38)</f>
        <v>175222</v>
      </c>
      <c r="F39" s="33">
        <f t="shared" si="2"/>
        <v>489012</v>
      </c>
    </row>
    <row r="40" spans="1:7" x14ac:dyDescent="0.2">
      <c r="B40" s="29"/>
      <c r="C40" s="44"/>
      <c r="D40" s="44"/>
      <c r="E40" s="44"/>
      <c r="F40" s="35"/>
    </row>
    <row r="41" spans="1:7" x14ac:dyDescent="0.2">
      <c r="B41" s="24" t="s">
        <v>7</v>
      </c>
      <c r="C41" s="37">
        <f>C29-C39</f>
        <v>115</v>
      </c>
      <c r="D41" s="37">
        <f>D29-D39</f>
        <v>-2597</v>
      </c>
      <c r="E41" s="37">
        <f>E29-E39</f>
        <v>5537</v>
      </c>
      <c r="F41" s="33">
        <f t="shared" si="2"/>
        <v>3055</v>
      </c>
    </row>
    <row r="42" spans="1:7" x14ac:dyDescent="0.2">
      <c r="B42" s="24"/>
      <c r="C42" s="37"/>
      <c r="D42" s="37"/>
      <c r="E42" s="37"/>
      <c r="F42" s="33"/>
    </row>
    <row r="43" spans="1:7" x14ac:dyDescent="0.2">
      <c r="B43" s="24" t="s">
        <v>8</v>
      </c>
      <c r="C43" s="37">
        <f>INT($E$19*C26)</f>
        <v>3708</v>
      </c>
      <c r="D43" s="37">
        <f>INT($E$19*D26)</f>
        <v>3708</v>
      </c>
      <c r="E43" s="37">
        <f>INT($E$19*E26)</f>
        <v>3708</v>
      </c>
      <c r="F43" s="33">
        <f t="shared" si="2"/>
        <v>11124</v>
      </c>
    </row>
    <row r="44" spans="1:7" x14ac:dyDescent="0.2">
      <c r="B44" s="29"/>
      <c r="C44" s="37"/>
      <c r="D44" s="37"/>
      <c r="E44" s="37"/>
      <c r="F44" s="33"/>
    </row>
    <row r="45" spans="1:7" x14ac:dyDescent="0.2">
      <c r="B45" s="29" t="s">
        <v>9</v>
      </c>
      <c r="C45" s="45">
        <f>C41-C43</f>
        <v>-3593</v>
      </c>
      <c r="D45" s="45">
        <f>D41-D43</f>
        <v>-6305</v>
      </c>
      <c r="E45" s="45">
        <f>E41-E43</f>
        <v>1829</v>
      </c>
      <c r="F45" s="46">
        <f t="shared" si="2"/>
        <v>-8069</v>
      </c>
    </row>
    <row r="46" spans="1:7" x14ac:dyDescent="0.2">
      <c r="B46" s="25"/>
      <c r="C46" s="58"/>
      <c r="D46" s="58"/>
      <c r="E46" s="58"/>
      <c r="F46" s="59"/>
    </row>
    <row r="47" spans="1:7" x14ac:dyDescent="0.2">
      <c r="B47" s="25"/>
      <c r="C47" s="58"/>
      <c r="D47" s="58"/>
      <c r="E47" s="58"/>
      <c r="F47" s="59"/>
    </row>
    <row r="48" spans="1:7" x14ac:dyDescent="0.2">
      <c r="A48" s="52" t="s">
        <v>211</v>
      </c>
      <c r="B48" s="237"/>
      <c r="C48" s="237"/>
      <c r="D48" s="237"/>
      <c r="E48" s="237"/>
      <c r="F48" s="237"/>
      <c r="G48" s="237"/>
    </row>
    <row r="49" spans="1:7" x14ac:dyDescent="0.2">
      <c r="A49" s="237"/>
      <c r="B49" s="200"/>
      <c r="C49" s="351" t="s">
        <v>158</v>
      </c>
      <c r="D49" s="357" t="s">
        <v>159</v>
      </c>
      <c r="E49" s="353"/>
      <c r="F49" s="353"/>
      <c r="G49" s="354"/>
    </row>
    <row r="50" spans="1:7" x14ac:dyDescent="0.2">
      <c r="A50" s="237"/>
      <c r="B50" s="200"/>
      <c r="C50" s="352"/>
      <c r="D50" s="216" t="str">
        <f>C28</f>
        <v>Januar</v>
      </c>
      <c r="E50" s="216" t="str">
        <f>D28</f>
        <v>Februar</v>
      </c>
      <c r="F50" s="216" t="str">
        <f>E28</f>
        <v>Mars</v>
      </c>
      <c r="G50" s="216" t="s">
        <v>122</v>
      </c>
    </row>
    <row r="51" spans="1:7" x14ac:dyDescent="0.2">
      <c r="A51" s="237"/>
      <c r="B51" s="259" t="s">
        <v>254</v>
      </c>
      <c r="C51" s="246">
        <v>35000</v>
      </c>
      <c r="D51" s="236">
        <f>C51</f>
        <v>35000</v>
      </c>
      <c r="E51" s="236"/>
      <c r="F51" s="236"/>
      <c r="G51" s="236"/>
    </row>
    <row r="52" spans="1:7" x14ac:dyDescent="0.2">
      <c r="A52" s="237"/>
      <c r="B52" s="107" t="s">
        <v>20</v>
      </c>
      <c r="C52" s="157">
        <f>C29*1.25*0.2</f>
        <v>40168.75</v>
      </c>
      <c r="D52" s="119"/>
      <c r="E52" s="119">
        <f>C52</f>
        <v>40168.75</v>
      </c>
      <c r="F52" s="119"/>
      <c r="G52" s="119"/>
    </row>
    <row r="53" spans="1:7" x14ac:dyDescent="0.2">
      <c r="A53" s="237"/>
      <c r="B53" s="107" t="s">
        <v>256</v>
      </c>
      <c r="C53" s="157">
        <f>D29*1.25*0.2</f>
        <v>37658.25</v>
      </c>
      <c r="D53" s="119"/>
      <c r="E53" s="119"/>
      <c r="F53" s="119">
        <f>C53</f>
        <v>37658.25</v>
      </c>
      <c r="G53" s="119"/>
    </row>
    <row r="54" spans="1:7" x14ac:dyDescent="0.2">
      <c r="A54" s="237"/>
      <c r="B54" s="107" t="s">
        <v>22</v>
      </c>
      <c r="C54" s="157">
        <f>E29*1.25*0.2</f>
        <v>45189.75</v>
      </c>
      <c r="D54" s="119"/>
      <c r="E54" s="119"/>
      <c r="F54" s="119"/>
      <c r="G54" s="119">
        <f>C54</f>
        <v>45189.75</v>
      </c>
    </row>
    <row r="55" spans="1:7" x14ac:dyDescent="0.2">
      <c r="A55" s="237"/>
      <c r="B55" s="259" t="s">
        <v>255</v>
      </c>
      <c r="C55" s="246"/>
      <c r="D55" s="236">
        <f>SUM(D51:D54)</f>
        <v>35000</v>
      </c>
      <c r="E55" s="236">
        <f>SUM(E51:E54)</f>
        <v>40168.75</v>
      </c>
      <c r="F55" s="236">
        <f>SUM(F51:F54)</f>
        <v>37658.25</v>
      </c>
      <c r="G55" s="222">
        <f>SUM(G51:G54)</f>
        <v>45189.75</v>
      </c>
    </row>
    <row r="56" spans="1:7" x14ac:dyDescent="0.2">
      <c r="A56" s="237"/>
      <c r="B56" s="262" t="s">
        <v>156</v>
      </c>
      <c r="C56" s="222"/>
      <c r="D56" s="123">
        <f>C29*1.25*0.8</f>
        <v>160675</v>
      </c>
      <c r="E56" s="123">
        <f>D29*1.25*0.8</f>
        <v>150633</v>
      </c>
      <c r="F56" s="123">
        <f>E29*1.25*0.8</f>
        <v>180759</v>
      </c>
      <c r="G56" s="157"/>
    </row>
    <row r="57" spans="1:7" x14ac:dyDescent="0.2">
      <c r="A57" s="237"/>
      <c r="B57" s="262" t="s">
        <v>257</v>
      </c>
      <c r="C57" s="222"/>
      <c r="D57" s="123">
        <f>SUM(D55:D56)</f>
        <v>195675</v>
      </c>
      <c r="E57" s="123">
        <f>SUM(E55:E56)</f>
        <v>190801.75</v>
      </c>
      <c r="F57" s="123">
        <f>SUM(F55:F56)</f>
        <v>218417.25</v>
      </c>
      <c r="G57" s="157"/>
    </row>
    <row r="58" spans="1:7" x14ac:dyDescent="0.2">
      <c r="A58" s="237"/>
      <c r="B58" s="261"/>
      <c r="C58" s="157"/>
      <c r="D58" s="157"/>
      <c r="E58" s="157"/>
      <c r="F58" s="157"/>
      <c r="G58" s="157"/>
    </row>
    <row r="59" spans="1:7" x14ac:dyDescent="0.2">
      <c r="A59" s="237"/>
      <c r="B59" s="237"/>
      <c r="C59" s="237"/>
      <c r="D59" s="237"/>
      <c r="E59" s="237"/>
      <c r="F59" s="237"/>
      <c r="G59" s="237"/>
    </row>
    <row r="60" spans="1:7" x14ac:dyDescent="0.2">
      <c r="A60" s="52" t="s">
        <v>183</v>
      </c>
      <c r="B60" s="237"/>
      <c r="C60" s="237"/>
      <c r="D60" s="237"/>
      <c r="E60" s="237"/>
      <c r="F60" s="237"/>
      <c r="G60" s="237"/>
    </row>
    <row r="61" spans="1:7" x14ac:dyDescent="0.2">
      <c r="A61" s="52"/>
      <c r="B61" s="237"/>
      <c r="C61" s="237"/>
      <c r="D61" s="237"/>
      <c r="E61" s="237"/>
      <c r="F61" s="237"/>
      <c r="G61" s="237"/>
    </row>
    <row r="62" spans="1:7" x14ac:dyDescent="0.2">
      <c r="A62" s="52"/>
      <c r="B62" s="263" t="s">
        <v>258</v>
      </c>
      <c r="C62" s="237"/>
      <c r="D62" s="237"/>
      <c r="E62" s="237"/>
      <c r="F62" s="237"/>
      <c r="G62" s="237"/>
    </row>
    <row r="63" spans="1:7" x14ac:dyDescent="0.2">
      <c r="A63" s="52"/>
      <c r="B63" s="263" t="s">
        <v>259</v>
      </c>
      <c r="C63" s="237"/>
      <c r="D63" s="237"/>
      <c r="E63" s="237"/>
      <c r="F63" s="237"/>
      <c r="G63" s="237"/>
    </row>
    <row r="64" spans="1:7" x14ac:dyDescent="0.2">
      <c r="A64" s="237"/>
      <c r="B64" s="237"/>
      <c r="C64" s="237"/>
      <c r="D64" s="237"/>
      <c r="E64" s="237"/>
      <c r="F64" s="237"/>
      <c r="G64" s="237"/>
    </row>
    <row r="65" spans="1:7" x14ac:dyDescent="0.2">
      <c r="A65" s="52" t="s">
        <v>186</v>
      </c>
      <c r="B65" s="237"/>
      <c r="C65" s="237"/>
      <c r="D65" s="237"/>
      <c r="E65" s="237"/>
      <c r="F65" s="237"/>
      <c r="G65" s="237"/>
    </row>
    <row r="66" spans="1:7" x14ac:dyDescent="0.2">
      <c r="A66" s="52"/>
      <c r="B66" s="237"/>
      <c r="C66" s="237"/>
      <c r="D66" s="237"/>
      <c r="E66" s="237"/>
      <c r="F66" s="237"/>
      <c r="G66" s="237"/>
    </row>
    <row r="67" spans="1:7" ht="12.75" customHeight="1" x14ac:dyDescent="0.2">
      <c r="A67" s="237"/>
      <c r="B67" s="200"/>
      <c r="C67" s="351" t="s">
        <v>175</v>
      </c>
      <c r="D67" s="357" t="s">
        <v>176</v>
      </c>
      <c r="E67" s="353"/>
      <c r="F67" s="353"/>
      <c r="G67" s="354"/>
    </row>
    <row r="68" spans="1:7" x14ac:dyDescent="0.2">
      <c r="A68" s="237"/>
      <c r="B68" s="200"/>
      <c r="C68" s="352"/>
      <c r="D68" s="217" t="str">
        <f>D50</f>
        <v>Januar</v>
      </c>
      <c r="E68" s="217" t="str">
        <f>E50</f>
        <v>Februar</v>
      </c>
      <c r="F68" s="217" t="str">
        <f>F50</f>
        <v>Mars</v>
      </c>
      <c r="G68" s="254" t="s">
        <v>122</v>
      </c>
    </row>
    <row r="69" spans="1:7" x14ac:dyDescent="0.2">
      <c r="A69" s="237"/>
      <c r="B69" s="259" t="s">
        <v>260</v>
      </c>
      <c r="C69" s="236">
        <v>120000</v>
      </c>
      <c r="D69" s="236">
        <f>C69</f>
        <v>120000</v>
      </c>
      <c r="E69" s="236"/>
      <c r="F69" s="236"/>
      <c r="G69" s="236"/>
    </row>
    <row r="70" spans="1:7" x14ac:dyDescent="0.2">
      <c r="A70" s="237"/>
      <c r="B70" s="118" t="str">
        <f>B52</f>
        <v>Januar</v>
      </c>
      <c r="C70" s="119">
        <f>C31*1.25</f>
        <v>146615</v>
      </c>
      <c r="D70" s="119"/>
      <c r="E70" s="119">
        <f>C70</f>
        <v>146615</v>
      </c>
      <c r="F70" s="119"/>
      <c r="G70" s="119"/>
    </row>
    <row r="71" spans="1:7" x14ac:dyDescent="0.2">
      <c r="A71" s="237"/>
      <c r="B71" s="118" t="str">
        <f>B53</f>
        <v>Ferbruar</v>
      </c>
      <c r="C71" s="119">
        <f>D31*1.25</f>
        <v>137452.5</v>
      </c>
      <c r="D71" s="119"/>
      <c r="E71" s="119"/>
      <c r="F71" s="235">
        <f>C71</f>
        <v>137452.5</v>
      </c>
      <c r="G71" s="119"/>
    </row>
    <row r="72" spans="1:7" x14ac:dyDescent="0.2">
      <c r="A72" s="237"/>
      <c r="B72" s="118" t="str">
        <f>B54</f>
        <v>Mars</v>
      </c>
      <c r="C72" s="123">
        <f>E31*1.25</f>
        <v>164942.5</v>
      </c>
      <c r="D72" s="123"/>
      <c r="E72" s="123"/>
      <c r="F72" s="123"/>
      <c r="G72" s="123">
        <f>C72</f>
        <v>164942.5</v>
      </c>
    </row>
    <row r="73" spans="1:7" x14ac:dyDescent="0.2">
      <c r="A73" s="237"/>
      <c r="B73" s="251" t="s">
        <v>216</v>
      </c>
      <c r="C73" s="203"/>
      <c r="D73" s="123">
        <f>SUM(D69:D72)</f>
        <v>120000</v>
      </c>
      <c r="E73" s="123">
        <f>SUM(E69:E72)</f>
        <v>146615</v>
      </c>
      <c r="F73" s="123">
        <f>SUM(F69:F72)</f>
        <v>137452.5</v>
      </c>
      <c r="G73" s="123">
        <f>SUM(G69:G72)</f>
        <v>164942.5</v>
      </c>
    </row>
    <row r="74" spans="1:7" x14ac:dyDescent="0.2">
      <c r="A74" s="237"/>
      <c r="B74" s="237"/>
      <c r="C74" s="237"/>
      <c r="D74" s="237"/>
      <c r="E74" s="237"/>
      <c r="F74" s="237"/>
      <c r="G74" s="237"/>
    </row>
    <row r="75" spans="1:7" x14ac:dyDescent="0.2">
      <c r="A75" s="237"/>
      <c r="B75" s="237"/>
      <c r="C75" s="237"/>
      <c r="D75" s="237"/>
      <c r="E75" s="237"/>
      <c r="F75" s="237"/>
      <c r="G75" s="237"/>
    </row>
    <row r="76" spans="1:7" x14ac:dyDescent="0.2">
      <c r="A76" s="237"/>
      <c r="B76" s="237"/>
      <c r="C76" s="237"/>
      <c r="D76" s="237"/>
      <c r="E76" s="237"/>
      <c r="F76" s="237"/>
      <c r="G76" s="237"/>
    </row>
    <row r="77" spans="1:7" x14ac:dyDescent="0.2">
      <c r="A77" s="237"/>
      <c r="B77" s="237"/>
      <c r="C77" s="237"/>
      <c r="D77" s="237"/>
      <c r="E77" s="237"/>
      <c r="F77" s="237"/>
      <c r="G77" s="237"/>
    </row>
    <row r="78" spans="1:7" x14ac:dyDescent="0.2">
      <c r="A78" s="237"/>
      <c r="B78" s="237"/>
      <c r="C78" s="237"/>
      <c r="D78" s="237"/>
      <c r="E78" s="237"/>
      <c r="F78" s="237"/>
      <c r="G78" s="237"/>
    </row>
    <row r="79" spans="1:7" x14ac:dyDescent="0.2">
      <c r="A79" s="356" t="s">
        <v>206</v>
      </c>
      <c r="B79" s="356"/>
      <c r="C79" s="356"/>
      <c r="D79" s="356"/>
      <c r="E79" s="356"/>
      <c r="F79" s="356"/>
      <c r="G79" s="237"/>
    </row>
    <row r="80" spans="1:7" x14ac:dyDescent="0.2">
      <c r="A80" s="237"/>
      <c r="B80" s="133"/>
      <c r="C80" s="216" t="str">
        <f>D68</f>
        <v>Januar</v>
      </c>
      <c r="D80" s="216" t="str">
        <f>E68</f>
        <v>Februar</v>
      </c>
      <c r="E80" s="216" t="str">
        <f>F68</f>
        <v>Mars</v>
      </c>
      <c r="F80" s="216" t="s">
        <v>153</v>
      </c>
      <c r="G80" s="237"/>
    </row>
    <row r="81" spans="1:7" x14ac:dyDescent="0.2">
      <c r="A81" s="237"/>
      <c r="B81" s="135" t="s">
        <v>194</v>
      </c>
      <c r="C81" s="136"/>
      <c r="D81" s="136"/>
      <c r="E81" s="136"/>
      <c r="F81" s="137"/>
      <c r="G81" s="237"/>
    </row>
    <row r="82" spans="1:7" x14ac:dyDescent="0.2">
      <c r="A82" s="237"/>
      <c r="B82" s="138" t="s">
        <v>195</v>
      </c>
      <c r="C82" s="139">
        <f>D57</f>
        <v>195675</v>
      </c>
      <c r="D82" s="139">
        <f>E57</f>
        <v>190801.75</v>
      </c>
      <c r="E82" s="139">
        <f>F57</f>
        <v>218417.25</v>
      </c>
      <c r="F82" s="140">
        <f>SUM(C82:E82)</f>
        <v>604894</v>
      </c>
      <c r="G82" s="237"/>
    </row>
    <row r="83" spans="1:7" x14ac:dyDescent="0.2">
      <c r="A83" s="237"/>
      <c r="B83" s="118"/>
      <c r="C83" s="141"/>
      <c r="D83" s="141"/>
      <c r="E83" s="141"/>
      <c r="F83" s="140">
        <f>SUM(C83:E83)</f>
        <v>0</v>
      </c>
      <c r="G83" s="237"/>
    </row>
    <row r="84" spans="1:7" x14ac:dyDescent="0.2">
      <c r="A84" s="237"/>
      <c r="B84" s="255" t="s">
        <v>162</v>
      </c>
      <c r="C84" s="256">
        <f>SUM(C82:C83)</f>
        <v>195675</v>
      </c>
      <c r="D84" s="256">
        <f>SUM(D82:D83)</f>
        <v>190801.75</v>
      </c>
      <c r="E84" s="256">
        <f>SUM(E82:E83)</f>
        <v>218417.25</v>
      </c>
      <c r="F84" s="256">
        <f>SUM(F82:F83)</f>
        <v>604894</v>
      </c>
      <c r="G84" s="237"/>
    </row>
    <row r="85" spans="1:7" x14ac:dyDescent="0.2">
      <c r="A85" s="237"/>
      <c r="B85" s="135" t="s">
        <v>196</v>
      </c>
      <c r="C85" s="140"/>
      <c r="D85" s="140"/>
      <c r="E85" s="140"/>
      <c r="F85" s="140"/>
      <c r="G85" s="237"/>
    </row>
    <row r="86" spans="1:7" x14ac:dyDescent="0.2">
      <c r="A86" s="237"/>
      <c r="B86" s="138" t="s">
        <v>197</v>
      </c>
      <c r="C86" s="140">
        <f>D73</f>
        <v>120000</v>
      </c>
      <c r="D86" s="140">
        <f>E73</f>
        <v>146615</v>
      </c>
      <c r="E86" s="140">
        <f>F73</f>
        <v>137452.5</v>
      </c>
      <c r="F86" s="140">
        <f>SUM(C86:E86)</f>
        <v>404067.5</v>
      </c>
      <c r="G86" s="237"/>
    </row>
    <row r="87" spans="1:7" x14ac:dyDescent="0.2">
      <c r="A87" s="237"/>
      <c r="B87" s="138" t="s">
        <v>2</v>
      </c>
      <c r="C87" s="140">
        <f>C32</f>
        <v>21000</v>
      </c>
      <c r="D87" s="140">
        <f>D32</f>
        <v>21000</v>
      </c>
      <c r="E87" s="140">
        <f>E32</f>
        <v>21000</v>
      </c>
      <c r="F87" s="140">
        <f t="shared" ref="F87:F94" si="3">SUM(C87:E87)</f>
        <v>63000</v>
      </c>
      <c r="G87" s="237"/>
    </row>
    <row r="88" spans="1:7" x14ac:dyDescent="0.2">
      <c r="A88" s="237"/>
      <c r="B88" s="138" t="s">
        <v>18</v>
      </c>
      <c r="C88" s="140">
        <v>5600</v>
      </c>
      <c r="D88" s="140"/>
      <c r="E88" s="140">
        <f>(C87+D87)*0.141</f>
        <v>5921.9999999999991</v>
      </c>
      <c r="F88" s="140">
        <f t="shared" si="3"/>
        <v>11522</v>
      </c>
      <c r="G88" s="237"/>
    </row>
    <row r="89" spans="1:7" x14ac:dyDescent="0.2">
      <c r="A89" s="237"/>
      <c r="B89" s="138" t="s">
        <v>3</v>
      </c>
      <c r="C89" s="140">
        <f t="shared" ref="C89:E91" si="4">C35*1.25</f>
        <v>5770</v>
      </c>
      <c r="D89" s="140">
        <f t="shared" si="4"/>
        <v>5770</v>
      </c>
      <c r="E89" s="140">
        <f t="shared" si="4"/>
        <v>5770</v>
      </c>
      <c r="F89" s="140">
        <f t="shared" si="3"/>
        <v>17310</v>
      </c>
      <c r="G89" s="237"/>
    </row>
    <row r="90" spans="1:7" x14ac:dyDescent="0.2">
      <c r="A90" s="237"/>
      <c r="B90" s="264" t="str">
        <f>B36</f>
        <v>ADK</v>
      </c>
      <c r="C90" s="140">
        <f t="shared" si="4"/>
        <v>7113.75</v>
      </c>
      <c r="D90" s="140">
        <f t="shared" si="4"/>
        <v>7113.75</v>
      </c>
      <c r="E90" s="140">
        <f t="shared" si="4"/>
        <v>7113.75</v>
      </c>
      <c r="F90" s="140">
        <f t="shared" si="3"/>
        <v>21341.25</v>
      </c>
      <c r="G90" s="237"/>
    </row>
    <row r="91" spans="1:7" x14ac:dyDescent="0.2">
      <c r="A91" s="237"/>
      <c r="B91" s="138" t="s">
        <v>19</v>
      </c>
      <c r="C91" s="140">
        <f t="shared" si="4"/>
        <v>3125</v>
      </c>
      <c r="D91" s="140">
        <f t="shared" si="4"/>
        <v>3125</v>
      </c>
      <c r="E91" s="140">
        <f t="shared" si="4"/>
        <v>3125</v>
      </c>
      <c r="F91" s="140">
        <f t="shared" si="3"/>
        <v>9375</v>
      </c>
      <c r="G91" s="237"/>
    </row>
    <row r="92" spans="1:7" x14ac:dyDescent="0.2">
      <c r="A92" s="237"/>
      <c r="B92" s="138" t="s">
        <v>199</v>
      </c>
      <c r="C92" s="140">
        <v>10000</v>
      </c>
      <c r="D92" s="140">
        <v>10000</v>
      </c>
      <c r="E92" s="140">
        <v>10000</v>
      </c>
      <c r="F92" s="140">
        <f t="shared" si="3"/>
        <v>30000</v>
      </c>
      <c r="G92" s="237"/>
    </row>
    <row r="93" spans="1:7" x14ac:dyDescent="0.2">
      <c r="A93" s="237"/>
      <c r="B93" s="118" t="s">
        <v>200</v>
      </c>
      <c r="C93" s="140"/>
      <c r="D93" s="140">
        <v>55000</v>
      </c>
      <c r="E93" s="140"/>
      <c r="F93" s="140">
        <f t="shared" si="3"/>
        <v>55000</v>
      </c>
      <c r="G93" s="237"/>
    </row>
    <row r="94" spans="1:7" x14ac:dyDescent="0.2">
      <c r="A94" s="237"/>
      <c r="B94" s="255" t="s">
        <v>182</v>
      </c>
      <c r="C94" s="256">
        <f>SUM(C86:C93)</f>
        <v>172608.75</v>
      </c>
      <c r="D94" s="256">
        <f>SUM(D86:D93)</f>
        <v>248623.75</v>
      </c>
      <c r="E94" s="256">
        <f>SUM(E86:E93)</f>
        <v>190383.25</v>
      </c>
      <c r="F94" s="256">
        <f t="shared" si="3"/>
        <v>611615.75</v>
      </c>
      <c r="G94" s="237"/>
    </row>
    <row r="95" spans="1:7" x14ac:dyDescent="0.2">
      <c r="A95" s="237"/>
      <c r="B95" s="138"/>
      <c r="C95" s="140"/>
      <c r="D95" s="140"/>
      <c r="E95" s="140"/>
      <c r="F95" s="140"/>
      <c r="G95" s="237"/>
    </row>
    <row r="96" spans="1:7" x14ac:dyDescent="0.2">
      <c r="A96" s="237"/>
      <c r="B96" s="138" t="s">
        <v>201</v>
      </c>
      <c r="C96" s="140">
        <f>C84-C94</f>
        <v>23066.25</v>
      </c>
      <c r="D96" s="140">
        <f>D84-D94</f>
        <v>-57822</v>
      </c>
      <c r="E96" s="140">
        <f>E84-E94</f>
        <v>28034</v>
      </c>
      <c r="F96" s="140">
        <f>F84-F94</f>
        <v>-6721.75</v>
      </c>
      <c r="G96" s="237"/>
    </row>
    <row r="97" spans="1:7" x14ac:dyDescent="0.2">
      <c r="A97" s="237"/>
      <c r="B97" s="138"/>
      <c r="C97" s="140"/>
      <c r="D97" s="140"/>
      <c r="E97" s="140"/>
      <c r="F97" s="140"/>
      <c r="G97" s="237"/>
    </row>
    <row r="98" spans="1:7" x14ac:dyDescent="0.2">
      <c r="A98" s="237"/>
      <c r="B98" s="138" t="s">
        <v>202</v>
      </c>
      <c r="C98" s="140">
        <v>100000</v>
      </c>
      <c r="D98" s="140">
        <f>C99</f>
        <v>123066.25</v>
      </c>
      <c r="E98" s="140">
        <f>D99</f>
        <v>65244.25</v>
      </c>
      <c r="F98" s="140">
        <f>C98</f>
        <v>100000</v>
      </c>
      <c r="G98" s="237"/>
    </row>
    <row r="99" spans="1:7" x14ac:dyDescent="0.2">
      <c r="A99" s="237"/>
      <c r="B99" s="144" t="s">
        <v>203</v>
      </c>
      <c r="C99" s="145">
        <f>C98+C96</f>
        <v>123066.25</v>
      </c>
      <c r="D99" s="145">
        <f>D98+D96</f>
        <v>65244.25</v>
      </c>
      <c r="E99" s="146">
        <f>E98+E96</f>
        <v>93278.25</v>
      </c>
      <c r="F99" s="146">
        <f>SUM(F96:F98)</f>
        <v>93278.25</v>
      </c>
      <c r="G99" s="237"/>
    </row>
    <row r="100" spans="1:7" x14ac:dyDescent="0.2">
      <c r="A100" s="237"/>
      <c r="B100" s="196"/>
      <c r="C100" s="147"/>
      <c r="D100" s="147"/>
      <c r="E100" s="147"/>
      <c r="F100" s="147"/>
      <c r="G100" s="237"/>
    </row>
    <row r="101" spans="1:7" x14ac:dyDescent="0.2">
      <c r="A101" s="237"/>
      <c r="B101" s="252" t="s">
        <v>219</v>
      </c>
      <c r="C101" s="253">
        <f>C29*1.25</f>
        <v>200843.75</v>
      </c>
      <c r="D101" s="253">
        <f>D29*1.25</f>
        <v>188291.25</v>
      </c>
      <c r="E101" s="253">
        <f>E29*1.25</f>
        <v>225948.75</v>
      </c>
      <c r="F101" s="147"/>
      <c r="G101" s="237"/>
    </row>
    <row r="102" spans="1:7" x14ac:dyDescent="0.2">
      <c r="A102" s="237"/>
      <c r="B102" s="196" t="s">
        <v>204</v>
      </c>
      <c r="C102" s="233">
        <v>0.4</v>
      </c>
      <c r="D102" s="233">
        <v>0.4</v>
      </c>
      <c r="E102" s="233">
        <v>0.4</v>
      </c>
      <c r="F102" s="148"/>
      <c r="G102" s="237"/>
    </row>
    <row r="103" spans="1:7" x14ac:dyDescent="0.2">
      <c r="A103" s="237"/>
      <c r="B103" s="196" t="s">
        <v>205</v>
      </c>
      <c r="C103" s="234">
        <f>C99/C101</f>
        <v>0.61274622685545355</v>
      </c>
      <c r="D103" s="234">
        <f>D99/D101</f>
        <v>0.34650707348323406</v>
      </c>
      <c r="E103" s="234">
        <f>E99/E101</f>
        <v>0.41282923671850363</v>
      </c>
      <c r="F103" s="148"/>
      <c r="G103" s="237"/>
    </row>
  </sheetData>
  <mergeCells count="9">
    <mergeCell ref="C67:C68"/>
    <mergeCell ref="D67:G67"/>
    <mergeCell ref="A79:F79"/>
    <mergeCell ref="C2:D2"/>
    <mergeCell ref="E2:F2"/>
    <mergeCell ref="C3:D3"/>
    <mergeCell ref="E3:F3"/>
    <mergeCell ref="C49:C50"/>
    <mergeCell ref="D49:G49"/>
  </mergeCells>
  <pageMargins left="0.75" right="0.75" top="1" bottom="1" header="0.5" footer="0.5"/>
  <pageSetup paperSize="9" scale="95" fitToHeight="2" orientation="portrait" r:id="rId1"/>
  <headerFooter alignWithMargins="0">
    <oddHeader>&amp;COppgave 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zoomScaleNormal="100" workbookViewId="0"/>
  </sheetViews>
  <sheetFormatPr baseColWidth="10" defaultRowHeight="12.75" x14ac:dyDescent="0.2"/>
  <cols>
    <col min="1" max="1" width="3.140625" customWidth="1"/>
    <col min="2" max="2" width="23" bestFit="1" customWidth="1"/>
    <col min="3" max="3" width="12.85546875" bestFit="1" customWidth="1"/>
    <col min="4" max="4" width="12.85546875" customWidth="1"/>
  </cols>
  <sheetData>
    <row r="1" spans="1:10" x14ac:dyDescent="0.2">
      <c r="A1" s="91"/>
      <c r="C1" t="s">
        <v>154</v>
      </c>
      <c r="D1" s="101">
        <v>0.25</v>
      </c>
    </row>
    <row r="2" spans="1:10" x14ac:dyDescent="0.2">
      <c r="A2" s="91"/>
    </row>
    <row r="3" spans="1:10" x14ac:dyDescent="0.2">
      <c r="A3" s="116" t="s">
        <v>26</v>
      </c>
      <c r="B3" s="2"/>
      <c r="C3" s="332" t="s">
        <v>10</v>
      </c>
      <c r="D3" s="333"/>
      <c r="E3" s="332" t="s">
        <v>12</v>
      </c>
      <c r="F3" s="333"/>
    </row>
    <row r="4" spans="1:10" x14ac:dyDescent="0.2">
      <c r="B4" s="4"/>
      <c r="C4" s="334" t="s">
        <v>11</v>
      </c>
      <c r="D4" s="335"/>
      <c r="E4" s="365" t="s">
        <v>13</v>
      </c>
      <c r="F4" s="366"/>
      <c r="I4" s="5"/>
      <c r="J4" s="5"/>
    </row>
    <row r="5" spans="1:10" x14ac:dyDescent="0.2">
      <c r="B5" s="4"/>
      <c r="C5" s="14" t="s">
        <v>14</v>
      </c>
      <c r="D5" s="10" t="s">
        <v>15</v>
      </c>
      <c r="E5" s="10" t="str">
        <f>C5</f>
        <v>Kr</v>
      </c>
      <c r="F5" s="10" t="str">
        <f>D5</f>
        <v>%</v>
      </c>
      <c r="I5" s="5"/>
      <c r="J5" s="5"/>
    </row>
    <row r="6" spans="1:10" x14ac:dyDescent="0.2">
      <c r="B6" s="4" t="s">
        <v>0</v>
      </c>
      <c r="C6" s="82">
        <v>9400000</v>
      </c>
      <c r="D6" s="20">
        <f>C6/C6</f>
        <v>1</v>
      </c>
      <c r="E6" s="84">
        <f>C6*1.05</f>
        <v>9870000</v>
      </c>
      <c r="F6" s="20">
        <f>E6/E6</f>
        <v>1</v>
      </c>
      <c r="I6" s="5"/>
      <c r="J6" s="5"/>
    </row>
    <row r="7" spans="1:10" x14ac:dyDescent="0.2">
      <c r="B7" s="4"/>
      <c r="C7" s="82"/>
      <c r="D7" s="20"/>
      <c r="E7" s="84"/>
      <c r="F7" s="20"/>
      <c r="I7" s="5"/>
      <c r="J7" s="5"/>
    </row>
    <row r="8" spans="1:10" x14ac:dyDescent="0.2">
      <c r="B8" s="7" t="s">
        <v>16</v>
      </c>
      <c r="C8" s="82">
        <v>6000000</v>
      </c>
      <c r="D8" s="20">
        <f>C8/$C$6</f>
        <v>0.63829787234042556</v>
      </c>
      <c r="E8" s="84">
        <f>E6*0.65</f>
        <v>6415500</v>
      </c>
      <c r="F8" s="20">
        <f>E8/$E$6</f>
        <v>0.65</v>
      </c>
      <c r="I8" s="5"/>
      <c r="J8" s="5"/>
    </row>
    <row r="9" spans="1:10" x14ac:dyDescent="0.2">
      <c r="B9" s="4" t="s">
        <v>2</v>
      </c>
      <c r="C9" s="82">
        <v>1440000</v>
      </c>
      <c r="D9" s="20">
        <f>C9/$C$6</f>
        <v>0.15319148936170213</v>
      </c>
      <c r="E9" s="84">
        <f>(C9*1.04)</f>
        <v>1497600</v>
      </c>
      <c r="F9" s="20">
        <f>E9/$E$6</f>
        <v>0.15173252279635258</v>
      </c>
    </row>
    <row r="10" spans="1:10" x14ac:dyDescent="0.2">
      <c r="B10" s="4" t="s">
        <v>5</v>
      </c>
      <c r="C10" s="82">
        <v>360000</v>
      </c>
      <c r="D10" s="20">
        <f>C10/$C$6</f>
        <v>3.8297872340425532E-2</v>
      </c>
      <c r="E10" s="84">
        <v>390000</v>
      </c>
      <c r="F10" s="20">
        <f>E10/$E$6</f>
        <v>3.9513677811550151E-2</v>
      </c>
    </row>
    <row r="11" spans="1:10" x14ac:dyDescent="0.2">
      <c r="B11" s="95" t="s">
        <v>4</v>
      </c>
      <c r="C11" s="85">
        <v>1037000</v>
      </c>
      <c r="D11" s="21">
        <f>C11/$C$6</f>
        <v>0.11031914893617022</v>
      </c>
      <c r="E11" s="86">
        <v>1050000</v>
      </c>
      <c r="F11" s="21">
        <f>E11/$E$6</f>
        <v>0.10638297872340426</v>
      </c>
    </row>
    <row r="12" spans="1:10" x14ac:dyDescent="0.2">
      <c r="B12" s="7" t="s">
        <v>6</v>
      </c>
      <c r="C12" s="16">
        <f>SUM(C8:C11)</f>
        <v>8837000</v>
      </c>
      <c r="D12" s="20">
        <f>C12/$C$6</f>
        <v>0.9401063829787234</v>
      </c>
      <c r="E12" s="12">
        <f>SUM(E8:E11)</f>
        <v>9353100</v>
      </c>
      <c r="F12" s="20">
        <f>E12/$E$6</f>
        <v>0.94762917933130697</v>
      </c>
    </row>
    <row r="13" spans="1:10" x14ac:dyDescent="0.2">
      <c r="B13" s="8"/>
      <c r="C13" s="85"/>
      <c r="D13" s="21"/>
      <c r="E13" s="86"/>
      <c r="F13" s="21"/>
    </row>
    <row r="14" spans="1:10" x14ac:dyDescent="0.2">
      <c r="B14" s="4" t="s">
        <v>7</v>
      </c>
      <c r="C14" s="82">
        <f>C6-C12</f>
        <v>563000</v>
      </c>
      <c r="D14" s="20">
        <f>C14/$C$6</f>
        <v>5.9893617021276595E-2</v>
      </c>
      <c r="E14" s="84">
        <f>E6-E12</f>
        <v>516900</v>
      </c>
      <c r="F14" s="20">
        <f>E14/$E$6</f>
        <v>5.2370820668693009E-2</v>
      </c>
    </row>
    <row r="15" spans="1:10" x14ac:dyDescent="0.2">
      <c r="B15" s="4"/>
      <c r="C15" s="82"/>
      <c r="D15" s="20"/>
      <c r="E15" s="84"/>
      <c r="F15" s="20"/>
    </row>
    <row r="16" spans="1:10" x14ac:dyDescent="0.2">
      <c r="B16" s="4" t="s">
        <v>8</v>
      </c>
      <c r="C16" s="82">
        <v>240000</v>
      </c>
      <c r="D16" s="20">
        <f>C16/$C$6</f>
        <v>2.553191489361702E-2</v>
      </c>
      <c r="E16" s="84">
        <f>C16*0.8</f>
        <v>192000</v>
      </c>
      <c r="F16" s="20">
        <f>E16/$E$6</f>
        <v>1.9452887537993922E-2</v>
      </c>
    </row>
    <row r="17" spans="1:6" x14ac:dyDescent="0.2">
      <c r="B17" s="8"/>
      <c r="C17" s="85"/>
      <c r="D17" s="21"/>
      <c r="E17" s="86"/>
      <c r="F17" s="21"/>
    </row>
    <row r="18" spans="1:6" x14ac:dyDescent="0.2">
      <c r="B18" s="88" t="s">
        <v>9</v>
      </c>
      <c r="C18" s="84">
        <f>C14-C16</f>
        <v>323000</v>
      </c>
      <c r="D18" s="20">
        <f>C18/$C$6</f>
        <v>3.4361702127659571E-2</v>
      </c>
      <c r="E18" s="84">
        <f>E14-E16</f>
        <v>324900</v>
      </c>
      <c r="F18" s="20">
        <f>E18/$E$6</f>
        <v>3.2917933130699087E-2</v>
      </c>
    </row>
    <row r="19" spans="1:6" x14ac:dyDescent="0.2">
      <c r="B19" s="88"/>
      <c r="C19" s="84"/>
      <c r="D19" s="20"/>
      <c r="E19" s="84"/>
      <c r="F19" s="20"/>
    </row>
    <row r="20" spans="1:6" x14ac:dyDescent="0.2">
      <c r="B20" s="88" t="s">
        <v>51</v>
      </c>
      <c r="C20" s="84">
        <v>91000</v>
      </c>
      <c r="D20" s="20">
        <f>C20/$C$6</f>
        <v>9.6808510638297877E-3</v>
      </c>
      <c r="E20" s="84">
        <f>ROUND(E18*0.28,-1)</f>
        <v>90970</v>
      </c>
      <c r="F20" s="20">
        <f>E20/$E$6</f>
        <v>9.216818642350558E-3</v>
      </c>
    </row>
    <row r="21" spans="1:6" x14ac:dyDescent="0.2">
      <c r="B21" s="88"/>
      <c r="C21" s="84"/>
      <c r="D21" s="20"/>
      <c r="E21" s="84"/>
      <c r="F21" s="20"/>
    </row>
    <row r="22" spans="1:6" x14ac:dyDescent="0.2">
      <c r="B22" s="89" t="s">
        <v>221</v>
      </c>
      <c r="C22" s="90">
        <f>C18-C20</f>
        <v>232000</v>
      </c>
      <c r="D22" s="50">
        <f>C22/$C$6</f>
        <v>2.4680851063829789E-2</v>
      </c>
      <c r="E22" s="90">
        <f>E18-E20</f>
        <v>233930</v>
      </c>
      <c r="F22" s="50">
        <f>E22/$E$6</f>
        <v>2.3701114488348531E-2</v>
      </c>
    </row>
    <row r="23" spans="1:6" x14ac:dyDescent="0.2">
      <c r="C23" s="87"/>
      <c r="D23" s="87"/>
      <c r="E23" s="87"/>
      <c r="F23" s="87"/>
    </row>
    <row r="24" spans="1:6" x14ac:dyDescent="0.2">
      <c r="A24" s="91" t="s">
        <v>27</v>
      </c>
      <c r="C24" s="87"/>
      <c r="D24" s="87"/>
      <c r="E24" s="87"/>
      <c r="F24" s="87"/>
    </row>
    <row r="25" spans="1:6" x14ac:dyDescent="0.2">
      <c r="C25" s="87"/>
      <c r="D25" s="87"/>
      <c r="E25" s="87"/>
      <c r="F25" s="87"/>
    </row>
    <row r="26" spans="1:6" x14ac:dyDescent="0.2">
      <c r="C26" s="87"/>
      <c r="D26" s="87"/>
      <c r="E26" s="87"/>
      <c r="F26" s="87"/>
    </row>
    <row r="27" spans="1:6" x14ac:dyDescent="0.2">
      <c r="C27" s="87"/>
      <c r="D27" s="87"/>
      <c r="E27" s="87"/>
      <c r="F27" s="87"/>
    </row>
    <row r="28" spans="1:6" x14ac:dyDescent="0.2">
      <c r="C28" s="87"/>
      <c r="D28" s="87"/>
      <c r="E28" s="87"/>
      <c r="F28" s="87"/>
    </row>
    <row r="29" spans="1:6" x14ac:dyDescent="0.2">
      <c r="C29" s="87"/>
      <c r="D29" s="87"/>
      <c r="E29" s="87"/>
      <c r="F29" s="87"/>
    </row>
    <row r="30" spans="1:6" x14ac:dyDescent="0.2">
      <c r="A30" s="91"/>
      <c r="B30" s="2"/>
      <c r="C30" s="367" t="s">
        <v>222</v>
      </c>
      <c r="D30" s="333"/>
      <c r="E30" s="87"/>
      <c r="F30" s="87"/>
    </row>
    <row r="31" spans="1:6" x14ac:dyDescent="0.2">
      <c r="B31" s="4"/>
      <c r="C31" s="368" t="s">
        <v>13</v>
      </c>
      <c r="D31" s="369"/>
      <c r="E31" s="87"/>
      <c r="F31" s="87"/>
    </row>
    <row r="32" spans="1:6" x14ac:dyDescent="0.2">
      <c r="B32" s="8"/>
      <c r="C32" s="10" t="str">
        <f>C5</f>
        <v>Kr</v>
      </c>
      <c r="D32" s="10" t="str">
        <f>D5</f>
        <v>%</v>
      </c>
    </row>
    <row r="33" spans="2:4" x14ac:dyDescent="0.2">
      <c r="B33" s="4" t="s">
        <v>0</v>
      </c>
      <c r="C33" s="84">
        <f>E6</f>
        <v>9870000</v>
      </c>
      <c r="D33" s="20">
        <f>C33/C33</f>
        <v>1</v>
      </c>
    </row>
    <row r="34" spans="2:4" x14ac:dyDescent="0.2">
      <c r="B34" s="4"/>
      <c r="C34" s="84"/>
      <c r="D34" s="20"/>
    </row>
    <row r="35" spans="2:4" x14ac:dyDescent="0.2">
      <c r="B35" s="7" t="s">
        <v>16</v>
      </c>
      <c r="C35" s="84">
        <v>6055000</v>
      </c>
      <c r="D35" s="177">
        <f>C35/$E$6</f>
        <v>0.61347517730496459</v>
      </c>
    </row>
    <row r="36" spans="2:4" x14ac:dyDescent="0.2">
      <c r="B36" s="4" t="s">
        <v>2</v>
      </c>
      <c r="C36" s="84">
        <f>E9</f>
        <v>1497600</v>
      </c>
      <c r="D36" s="20">
        <f>C36/$E$6</f>
        <v>0.15173252279635258</v>
      </c>
    </row>
    <row r="37" spans="2:4" x14ac:dyDescent="0.2">
      <c r="B37" s="4" t="s">
        <v>5</v>
      </c>
      <c r="C37" s="84">
        <f>E10</f>
        <v>390000</v>
      </c>
      <c r="D37" s="20">
        <f>C37/$E$6</f>
        <v>3.9513677811550151E-2</v>
      </c>
    </row>
    <row r="38" spans="2:4" x14ac:dyDescent="0.2">
      <c r="B38" s="88" t="s">
        <v>4</v>
      </c>
      <c r="C38" s="82">
        <f>E11</f>
        <v>1050000</v>
      </c>
      <c r="D38" s="20">
        <f>C38/$E$6</f>
        <v>0.10638297872340426</v>
      </c>
    </row>
    <row r="39" spans="2:4" x14ac:dyDescent="0.2">
      <c r="B39" s="7" t="s">
        <v>6</v>
      </c>
      <c r="C39" s="12">
        <f>SUM(C35:C38)</f>
        <v>8992600</v>
      </c>
      <c r="D39" s="20">
        <f>C39/$E$6</f>
        <v>0.91110435663627154</v>
      </c>
    </row>
    <row r="40" spans="2:4" x14ac:dyDescent="0.2">
      <c r="B40" s="8"/>
      <c r="C40" s="86"/>
      <c r="D40" s="21"/>
    </row>
    <row r="41" spans="2:4" x14ac:dyDescent="0.2">
      <c r="B41" s="4" t="s">
        <v>7</v>
      </c>
      <c r="C41" s="84">
        <f>C33-C39</f>
        <v>877400</v>
      </c>
      <c r="D41" s="20">
        <f>C41/$E$6</f>
        <v>8.8895643363728474E-2</v>
      </c>
    </row>
    <row r="42" spans="2:4" x14ac:dyDescent="0.2">
      <c r="B42" s="4"/>
      <c r="C42" s="84"/>
      <c r="D42" s="20"/>
    </row>
    <row r="43" spans="2:4" x14ac:dyDescent="0.2">
      <c r="B43" s="4" t="s">
        <v>8</v>
      </c>
      <c r="C43" s="84">
        <f>E16</f>
        <v>192000</v>
      </c>
      <c r="D43" s="20">
        <f>C43/$E$6</f>
        <v>1.9452887537993922E-2</v>
      </c>
    </row>
    <row r="44" spans="2:4" x14ac:dyDescent="0.2">
      <c r="B44" s="8"/>
      <c r="C44" s="86"/>
      <c r="D44" s="21"/>
    </row>
    <row r="45" spans="2:4" x14ac:dyDescent="0.2">
      <c r="B45" s="88" t="s">
        <v>9</v>
      </c>
      <c r="C45" s="84">
        <f>C41-C43</f>
        <v>685400</v>
      </c>
      <c r="D45" s="20">
        <f>C45/$E$6</f>
        <v>6.9442755825734545E-2</v>
      </c>
    </row>
    <row r="46" spans="2:4" x14ac:dyDescent="0.2">
      <c r="B46" s="88"/>
      <c r="C46" s="84"/>
      <c r="D46" s="20"/>
    </row>
    <row r="47" spans="2:4" x14ac:dyDescent="0.2">
      <c r="B47" s="88" t="s">
        <v>51</v>
      </c>
      <c r="C47" s="84">
        <f>ROUND(C45*0.28,-1)</f>
        <v>191910</v>
      </c>
      <c r="D47" s="20">
        <f>C47/$E$6</f>
        <v>1.9443768996960487E-2</v>
      </c>
    </row>
    <row r="48" spans="2:4" x14ac:dyDescent="0.2">
      <c r="B48" s="88"/>
      <c r="C48" s="84"/>
      <c r="D48" s="20"/>
    </row>
    <row r="49" spans="1:6" x14ac:dyDescent="0.2">
      <c r="B49" s="89" t="s">
        <v>221</v>
      </c>
      <c r="C49" s="90">
        <f>C45-C47</f>
        <v>493490</v>
      </c>
      <c r="D49" s="50">
        <f>C49/$E$6</f>
        <v>4.9998986828774065E-2</v>
      </c>
    </row>
    <row r="50" spans="1:6" x14ac:dyDescent="0.2">
      <c r="B50" s="5"/>
      <c r="C50" s="83"/>
      <c r="D50" s="155"/>
    </row>
    <row r="51" spans="1:6" x14ac:dyDescent="0.2">
      <c r="A51" s="91" t="s">
        <v>44</v>
      </c>
      <c r="B51" s="116" t="s">
        <v>223</v>
      </c>
    </row>
    <row r="52" spans="1:6" x14ac:dyDescent="0.2">
      <c r="B52" s="2"/>
      <c r="C52" s="10" t="s">
        <v>20</v>
      </c>
      <c r="D52" s="10" t="s">
        <v>21</v>
      </c>
      <c r="E52" s="10" t="s">
        <v>22</v>
      </c>
      <c r="F52" s="96" t="s">
        <v>153</v>
      </c>
    </row>
    <row r="53" spans="1:6" x14ac:dyDescent="0.2">
      <c r="B53" s="4" t="s">
        <v>224</v>
      </c>
      <c r="C53" s="92">
        <v>8.5000000000000006E-2</v>
      </c>
      <c r="D53" s="92">
        <v>7.0000000000000007E-2</v>
      </c>
      <c r="E53" s="92">
        <v>0.09</v>
      </c>
      <c r="F53" s="88"/>
    </row>
    <row r="54" spans="1:6" x14ac:dyDescent="0.2">
      <c r="B54" s="4" t="s">
        <v>225</v>
      </c>
      <c r="C54" s="94">
        <v>0.61350000000000005</v>
      </c>
      <c r="D54" s="94">
        <v>0.61350000000000005</v>
      </c>
      <c r="E54" s="94">
        <v>0.61350000000000005</v>
      </c>
      <c r="F54" s="88"/>
    </row>
    <row r="55" spans="1:6" x14ac:dyDescent="0.2">
      <c r="B55" s="8" t="s">
        <v>25</v>
      </c>
      <c r="C55" s="93">
        <f>1/12</f>
        <v>8.3333333333333329E-2</v>
      </c>
      <c r="D55" s="93">
        <f>1/12</f>
        <v>8.3333333333333329E-2</v>
      </c>
      <c r="E55" s="93">
        <f>1/12</f>
        <v>8.3333333333333329E-2</v>
      </c>
      <c r="F55" s="95"/>
    </row>
    <row r="56" spans="1:6" x14ac:dyDescent="0.2">
      <c r="B56" s="4"/>
      <c r="C56" s="88"/>
      <c r="D56" s="88"/>
      <c r="E56" s="88"/>
      <c r="F56" s="88"/>
    </row>
    <row r="57" spans="1:6" x14ac:dyDescent="0.2">
      <c r="B57" s="4"/>
      <c r="C57" s="88"/>
      <c r="D57" s="88"/>
      <c r="E57" s="88"/>
      <c r="F57" s="88"/>
    </row>
    <row r="58" spans="1:6" x14ac:dyDescent="0.2">
      <c r="B58" s="4" t="s">
        <v>0</v>
      </c>
      <c r="C58" s="33">
        <f>$C$33*C53</f>
        <v>838950.00000000012</v>
      </c>
      <c r="D58" s="33">
        <f>$C$33*D53</f>
        <v>690900.00000000012</v>
      </c>
      <c r="E58" s="33">
        <f>$C$33*E53</f>
        <v>888300</v>
      </c>
      <c r="F58" s="37">
        <f>SUM(C58:E58)</f>
        <v>2418150</v>
      </c>
    </row>
    <row r="59" spans="1:6" x14ac:dyDescent="0.2">
      <c r="B59" s="4"/>
      <c r="C59" s="33"/>
      <c r="D59" s="37"/>
      <c r="E59" s="37"/>
      <c r="F59" s="37"/>
    </row>
    <row r="60" spans="1:6" x14ac:dyDescent="0.2">
      <c r="B60" s="7" t="s">
        <v>16</v>
      </c>
      <c r="C60" s="33">
        <f>ROUND(C58*C54,-1)</f>
        <v>514700</v>
      </c>
      <c r="D60" s="33">
        <f>ROUND(D58*D54,-1)</f>
        <v>423870</v>
      </c>
      <c r="E60" s="33">
        <f>ROUND(E58*E54,-1)</f>
        <v>544970</v>
      </c>
      <c r="F60" s="37">
        <f t="shared" ref="F60:F74" si="0">SUM(C60:E60)</f>
        <v>1483540</v>
      </c>
    </row>
    <row r="61" spans="1:6" x14ac:dyDescent="0.2">
      <c r="B61" s="4" t="s">
        <v>2</v>
      </c>
      <c r="C61" s="33">
        <f>$C$36*C55</f>
        <v>124800</v>
      </c>
      <c r="D61" s="33">
        <f>$C$36*D55</f>
        <v>124800</v>
      </c>
      <c r="E61" s="33">
        <f>$C$36*E55</f>
        <v>124800</v>
      </c>
      <c r="F61" s="37">
        <f t="shared" si="0"/>
        <v>374400</v>
      </c>
    </row>
    <row r="62" spans="1:6" x14ac:dyDescent="0.2">
      <c r="B62" s="4" t="s">
        <v>5</v>
      </c>
      <c r="C62" s="33">
        <f>$C$37*C55</f>
        <v>32500</v>
      </c>
      <c r="D62" s="33">
        <f>$C$37*D55</f>
        <v>32500</v>
      </c>
      <c r="E62" s="33">
        <f>$C$37*E55</f>
        <v>32500</v>
      </c>
      <c r="F62" s="37">
        <f t="shared" si="0"/>
        <v>97500</v>
      </c>
    </row>
    <row r="63" spans="1:6" x14ac:dyDescent="0.2">
      <c r="B63" s="8" t="s">
        <v>4</v>
      </c>
      <c r="C63" s="35">
        <f>$C$38*C55</f>
        <v>87500</v>
      </c>
      <c r="D63" s="35">
        <f>$C$38*D55</f>
        <v>87500</v>
      </c>
      <c r="E63" s="35">
        <f>$C$38*E55</f>
        <v>87500</v>
      </c>
      <c r="F63" s="44">
        <f t="shared" si="0"/>
        <v>262500</v>
      </c>
    </row>
    <row r="64" spans="1:6" x14ac:dyDescent="0.2">
      <c r="B64" s="7" t="s">
        <v>6</v>
      </c>
      <c r="C64" s="33">
        <f>SUM(C60:C63)</f>
        <v>759500</v>
      </c>
      <c r="D64" s="33">
        <f>SUM(D60:D63)</f>
        <v>668670</v>
      </c>
      <c r="E64" s="33">
        <f>SUM(E60:E63)</f>
        <v>789770</v>
      </c>
      <c r="F64" s="37">
        <f t="shared" si="0"/>
        <v>2217940</v>
      </c>
    </row>
    <row r="65" spans="1:6" x14ac:dyDescent="0.2">
      <c r="B65" s="8"/>
      <c r="C65" s="35"/>
      <c r="D65" s="44"/>
      <c r="E65" s="44"/>
      <c r="F65" s="44"/>
    </row>
    <row r="66" spans="1:6" x14ac:dyDescent="0.2">
      <c r="B66" s="4" t="s">
        <v>7</v>
      </c>
      <c r="C66" s="33">
        <f>C58-C64</f>
        <v>79450.000000000116</v>
      </c>
      <c r="D66" s="33">
        <f>D58-D64</f>
        <v>22230.000000000116</v>
      </c>
      <c r="E66" s="33">
        <f>E58-E64</f>
        <v>98530</v>
      </c>
      <c r="F66" s="37">
        <f t="shared" si="0"/>
        <v>200210.00000000023</v>
      </c>
    </row>
    <row r="67" spans="1:6" x14ac:dyDescent="0.2">
      <c r="B67" s="4"/>
      <c r="C67" s="33"/>
      <c r="D67" s="37"/>
      <c r="E67" s="37"/>
      <c r="F67" s="37"/>
    </row>
    <row r="68" spans="1:6" x14ac:dyDescent="0.2">
      <c r="B68" s="4" t="s">
        <v>8</v>
      </c>
      <c r="C68" s="33">
        <f>$C$43*C55</f>
        <v>16000</v>
      </c>
      <c r="D68" s="33">
        <f>$C$43*D55</f>
        <v>16000</v>
      </c>
      <c r="E68" s="33">
        <f>$C$43*E55</f>
        <v>16000</v>
      </c>
      <c r="F68" s="37">
        <f t="shared" si="0"/>
        <v>48000</v>
      </c>
    </row>
    <row r="69" spans="1:6" x14ac:dyDescent="0.2">
      <c r="B69" s="8"/>
      <c r="C69" s="35"/>
      <c r="D69" s="44"/>
      <c r="E69" s="44"/>
      <c r="F69" s="44"/>
    </row>
    <row r="70" spans="1:6" x14ac:dyDescent="0.2">
      <c r="B70" s="4" t="s">
        <v>9</v>
      </c>
      <c r="C70" s="33">
        <f>C66-C68</f>
        <v>63450.000000000116</v>
      </c>
      <c r="D70" s="33">
        <f>D66-D68</f>
        <v>6230.0000000001164</v>
      </c>
      <c r="E70" s="33">
        <f>E66-E68</f>
        <v>82530</v>
      </c>
      <c r="F70" s="37">
        <f t="shared" si="0"/>
        <v>152210.00000000023</v>
      </c>
    </row>
    <row r="71" spans="1:6" x14ac:dyDescent="0.2">
      <c r="B71" s="4"/>
      <c r="C71" s="33"/>
      <c r="D71" s="37"/>
      <c r="E71" s="37"/>
      <c r="F71" s="37"/>
    </row>
    <row r="72" spans="1:6" x14ac:dyDescent="0.2">
      <c r="B72" s="4" t="s">
        <v>51</v>
      </c>
      <c r="C72" s="33">
        <f>ROUND(C70*0.28,-1)</f>
        <v>17770</v>
      </c>
      <c r="D72" s="33">
        <f>ROUND(D70*0.28,-1)</f>
        <v>1740</v>
      </c>
      <c r="E72" s="33">
        <f>ROUND(E70*0.28,-1)</f>
        <v>23110</v>
      </c>
      <c r="F72" s="37">
        <f t="shared" si="0"/>
        <v>42620</v>
      </c>
    </row>
    <row r="73" spans="1:6" x14ac:dyDescent="0.2">
      <c r="B73" s="4"/>
      <c r="C73" s="35"/>
      <c r="D73" s="44"/>
      <c r="E73" s="44"/>
      <c r="F73" s="44"/>
    </row>
    <row r="74" spans="1:6" x14ac:dyDescent="0.2">
      <c r="B74" s="89" t="s">
        <v>221</v>
      </c>
      <c r="C74" s="46">
        <f>C70-C72</f>
        <v>45680.000000000116</v>
      </c>
      <c r="D74" s="46">
        <f>D70-D72</f>
        <v>4490.0000000001164</v>
      </c>
      <c r="E74" s="46">
        <f>E70-E72</f>
        <v>59420</v>
      </c>
      <c r="F74" s="44">
        <f t="shared" si="0"/>
        <v>109590.00000000023</v>
      </c>
    </row>
    <row r="75" spans="1:6" x14ac:dyDescent="0.2">
      <c r="B75" s="5"/>
      <c r="C75" s="59"/>
      <c r="D75" s="59"/>
      <c r="E75" s="59"/>
      <c r="F75" s="58"/>
    </row>
    <row r="76" spans="1:6" x14ac:dyDescent="0.2">
      <c r="B76" s="5"/>
      <c r="C76" s="59"/>
      <c r="D76" s="59"/>
      <c r="E76" s="59"/>
      <c r="F76" s="58"/>
    </row>
    <row r="77" spans="1:6" x14ac:dyDescent="0.2">
      <c r="B77" s="5"/>
      <c r="C77" s="59"/>
      <c r="D77" s="59"/>
      <c r="E77" s="59"/>
      <c r="F77" s="58"/>
    </row>
    <row r="79" spans="1:6" x14ac:dyDescent="0.2">
      <c r="A79" s="91" t="s">
        <v>89</v>
      </c>
      <c r="B79" t="s">
        <v>226</v>
      </c>
    </row>
    <row r="80" spans="1:6" s="98" customFormat="1" x14ac:dyDescent="0.2"/>
    <row r="81" spans="2:7" s="99" customFormat="1" x14ac:dyDescent="0.2">
      <c r="B81" s="358" t="s">
        <v>185</v>
      </c>
      <c r="C81" s="359"/>
      <c r="D81" s="359"/>
      <c r="E81" s="359"/>
      <c r="F81" s="359"/>
      <c r="G81" s="359"/>
    </row>
    <row r="82" spans="2:7" s="99" customFormat="1" x14ac:dyDescent="0.2">
      <c r="B82" s="100"/>
      <c r="C82" s="100"/>
      <c r="D82" s="100"/>
      <c r="E82" s="100"/>
      <c r="F82" s="100"/>
      <c r="G82" s="100"/>
    </row>
    <row r="83" spans="2:7" s="99" customFormat="1" x14ac:dyDescent="0.2">
      <c r="B83" s="106"/>
      <c r="C83" s="360" t="s">
        <v>158</v>
      </c>
      <c r="D83" s="362" t="s">
        <v>159</v>
      </c>
      <c r="E83" s="363"/>
      <c r="F83" s="363"/>
      <c r="G83" s="364"/>
    </row>
    <row r="84" spans="2:7" s="99" customFormat="1" x14ac:dyDescent="0.2">
      <c r="B84" s="257"/>
      <c r="C84" s="361"/>
      <c r="D84" s="216" t="s">
        <v>20</v>
      </c>
      <c r="E84" s="216" t="s">
        <v>21</v>
      </c>
      <c r="F84" s="216" t="s">
        <v>22</v>
      </c>
      <c r="G84" s="217" t="s">
        <v>122</v>
      </c>
    </row>
    <row r="85" spans="2:7" s="99" customFormat="1" x14ac:dyDescent="0.2">
      <c r="B85" s="107" t="s">
        <v>229</v>
      </c>
      <c r="C85" s="110">
        <v>160000</v>
      </c>
      <c r="D85" s="109">
        <f>C85</f>
        <v>160000</v>
      </c>
      <c r="E85" s="109"/>
      <c r="F85" s="109"/>
      <c r="G85" s="104"/>
    </row>
    <row r="86" spans="2:7" s="99" customFormat="1" x14ac:dyDescent="0.2">
      <c r="B86" s="107" t="s">
        <v>20</v>
      </c>
      <c r="C86" s="110">
        <f>C58*(1+$D$1)*0.2</f>
        <v>209737.50000000006</v>
      </c>
      <c r="D86" s="110">
        <f>C86/2</f>
        <v>104868.75000000003</v>
      </c>
      <c r="E86" s="110">
        <f>C86-D86</f>
        <v>104868.75000000003</v>
      </c>
      <c r="F86" s="113"/>
      <c r="G86" s="104"/>
    </row>
    <row r="87" spans="2:7" s="99" customFormat="1" x14ac:dyDescent="0.2">
      <c r="B87" s="107" t="s">
        <v>21</v>
      </c>
      <c r="C87" s="110">
        <f>D58*(1+$D$1)*0.2</f>
        <v>172725.00000000003</v>
      </c>
      <c r="D87" s="110"/>
      <c r="E87" s="110">
        <f>C87/2</f>
        <v>86362.500000000015</v>
      </c>
      <c r="F87" s="110">
        <f>SUM(D87:E87)</f>
        <v>86362.500000000015</v>
      </c>
      <c r="G87" s="105"/>
    </row>
    <row r="88" spans="2:7" s="99" customFormat="1" x14ac:dyDescent="0.2">
      <c r="B88" s="108" t="s">
        <v>22</v>
      </c>
      <c r="C88" s="111">
        <f>E58*(1+$D$1)*0.2</f>
        <v>222075</v>
      </c>
      <c r="D88" s="111"/>
      <c r="E88" s="111"/>
      <c r="F88" s="111">
        <f>C88/2</f>
        <v>111037.5</v>
      </c>
      <c r="G88" s="111">
        <f>C88-F88</f>
        <v>111037.5</v>
      </c>
    </row>
    <row r="89" spans="2:7" s="99" customFormat="1" x14ac:dyDescent="0.2">
      <c r="B89" s="107" t="s">
        <v>160</v>
      </c>
      <c r="C89" s="102"/>
      <c r="D89" s="110">
        <f>SUM(D85:D88)</f>
        <v>264868.75</v>
      </c>
      <c r="E89" s="110">
        <f>SUM(E85:E88)</f>
        <v>191231.25000000006</v>
      </c>
      <c r="F89" s="103">
        <f>SUM(F85:F88)</f>
        <v>197400</v>
      </c>
      <c r="G89" s="103"/>
    </row>
    <row r="90" spans="2:7" s="99" customFormat="1" x14ac:dyDescent="0.2">
      <c r="B90" s="107" t="s">
        <v>161</v>
      </c>
      <c r="C90" s="102"/>
      <c r="D90" s="110">
        <f>C58*(1+$D$1)*0.8</f>
        <v>838950.00000000023</v>
      </c>
      <c r="E90" s="110">
        <f>D58*(1+$D$1)*0.8</f>
        <v>690900.00000000012</v>
      </c>
      <c r="F90" s="103">
        <f>E58*(1+$D$1)*0.8</f>
        <v>888300</v>
      </c>
      <c r="G90" s="103"/>
    </row>
    <row r="91" spans="2:7" s="99" customFormat="1" x14ac:dyDescent="0.2">
      <c r="B91" s="114" t="s">
        <v>162</v>
      </c>
      <c r="C91" s="115"/>
      <c r="D91" s="112">
        <f>SUM(D89:D90)</f>
        <v>1103818.7500000002</v>
      </c>
      <c r="E91" s="112">
        <f>SUM(E89:E90)</f>
        <v>882131.25000000023</v>
      </c>
      <c r="F91" s="132">
        <f>SUM(F89:F90)</f>
        <v>1085700</v>
      </c>
      <c r="G91" s="103"/>
    </row>
    <row r="92" spans="2:7" s="99" customFormat="1" x14ac:dyDescent="0.2"/>
    <row r="93" spans="2:7" s="99" customFormat="1" x14ac:dyDescent="0.2">
      <c r="B93" s="131" t="s">
        <v>186</v>
      </c>
    </row>
    <row r="94" spans="2:7" s="99" customFormat="1" x14ac:dyDescent="0.2">
      <c r="B94" s="130" t="s">
        <v>227</v>
      </c>
    </row>
    <row r="95" spans="2:7" s="99" customFormat="1" x14ac:dyDescent="0.2">
      <c r="B95" s="130"/>
    </row>
    <row r="96" spans="2:7" s="99" customFormat="1" x14ac:dyDescent="0.2">
      <c r="B96" s="117"/>
      <c r="C96" s="351" t="s">
        <v>175</v>
      </c>
      <c r="D96" s="353" t="s">
        <v>176</v>
      </c>
      <c r="E96" s="353"/>
      <c r="F96" s="353"/>
      <c r="G96" s="354"/>
    </row>
    <row r="97" spans="1:7" s="99" customFormat="1" x14ac:dyDescent="0.2">
      <c r="B97" s="212"/>
      <c r="C97" s="352"/>
      <c r="D97" s="217" t="str">
        <f>D84</f>
        <v>Januar</v>
      </c>
      <c r="E97" s="217" t="str">
        <f>E84</f>
        <v>Februar</v>
      </c>
      <c r="F97" s="217" t="str">
        <f>F84</f>
        <v>Mars</v>
      </c>
      <c r="G97" s="216" t="s">
        <v>122</v>
      </c>
    </row>
    <row r="98" spans="1:7" x14ac:dyDescent="0.2">
      <c r="B98" s="118" t="s">
        <v>228</v>
      </c>
      <c r="C98" s="119">
        <v>340000</v>
      </c>
      <c r="D98" s="120">
        <f>C98</f>
        <v>340000</v>
      </c>
      <c r="E98" s="119"/>
      <c r="F98" s="119"/>
      <c r="G98" s="121"/>
    </row>
    <row r="99" spans="1:7" x14ac:dyDescent="0.2">
      <c r="B99" s="118" t="s">
        <v>178</v>
      </c>
      <c r="C99" s="119">
        <f>C60*(1+D1)</f>
        <v>643375</v>
      </c>
      <c r="D99" s="120">
        <f>C99/3</f>
        <v>214458.33333333334</v>
      </c>
      <c r="E99" s="119">
        <f>C99-D99</f>
        <v>428916.66666666663</v>
      </c>
      <c r="F99" s="119"/>
      <c r="G99" s="121"/>
    </row>
    <row r="100" spans="1:7" x14ac:dyDescent="0.2">
      <c r="B100" s="118" t="s">
        <v>179</v>
      </c>
      <c r="C100" s="119">
        <f>D60*(1+D1)</f>
        <v>529837.5</v>
      </c>
      <c r="D100" s="120"/>
      <c r="E100" s="119">
        <f>C100/3</f>
        <v>176612.5</v>
      </c>
      <c r="F100" s="119">
        <f>C100-E100</f>
        <v>353225</v>
      </c>
      <c r="G100" s="121"/>
    </row>
    <row r="101" spans="1:7" x14ac:dyDescent="0.2">
      <c r="B101" s="122" t="s">
        <v>180</v>
      </c>
      <c r="C101" s="119">
        <f>E60*(1+D1)</f>
        <v>681212.5</v>
      </c>
      <c r="D101" s="124"/>
      <c r="E101" s="123"/>
      <c r="F101" s="123">
        <f>C101/3</f>
        <v>227070.83333333334</v>
      </c>
      <c r="G101" s="125">
        <f>C101-F101</f>
        <v>454141.66666666663</v>
      </c>
    </row>
    <row r="102" spans="1:7" x14ac:dyDescent="0.2">
      <c r="B102" s="126" t="s">
        <v>181</v>
      </c>
      <c r="C102" s="127"/>
      <c r="D102" s="128">
        <f>SUM(D98:D101)</f>
        <v>554458.33333333337</v>
      </c>
      <c r="E102" s="128">
        <f>SUM(E98:E101)</f>
        <v>605529.16666666663</v>
      </c>
      <c r="F102" s="128">
        <f>SUM(F98:F101)</f>
        <v>580295.83333333337</v>
      </c>
      <c r="G102" s="129">
        <f>SUM(G101)</f>
        <v>454141.66666666663</v>
      </c>
    </row>
    <row r="103" spans="1:7" x14ac:dyDescent="0.2">
      <c r="B103" s="156"/>
      <c r="C103" s="157"/>
      <c r="D103" s="157"/>
      <c r="E103" s="157"/>
      <c r="F103" s="157"/>
      <c r="G103" s="158"/>
    </row>
    <row r="105" spans="1:7" x14ac:dyDescent="0.2">
      <c r="A105" s="91" t="s">
        <v>107</v>
      </c>
      <c r="B105" s="133"/>
      <c r="C105" s="216" t="str">
        <f>D97</f>
        <v>Januar</v>
      </c>
      <c r="D105" s="216" t="str">
        <f>E97</f>
        <v>Februar</v>
      </c>
      <c r="E105" s="216" t="str">
        <f>F97</f>
        <v>Mars</v>
      </c>
      <c r="F105" s="216" t="s">
        <v>153</v>
      </c>
    </row>
    <row r="106" spans="1:7" x14ac:dyDescent="0.2">
      <c r="B106" s="135" t="s">
        <v>194</v>
      </c>
      <c r="C106" s="136"/>
      <c r="D106" s="136"/>
      <c r="E106" s="136"/>
      <c r="F106" s="137"/>
    </row>
    <row r="107" spans="1:7" x14ac:dyDescent="0.2">
      <c r="B107" s="138" t="s">
        <v>195</v>
      </c>
      <c r="C107" s="139">
        <f>D91</f>
        <v>1103818.7500000002</v>
      </c>
      <c r="D107" s="139">
        <f>E91</f>
        <v>882131.25000000023</v>
      </c>
      <c r="E107" s="139">
        <f>F91</f>
        <v>1085700</v>
      </c>
      <c r="F107" s="140">
        <f>SUM(C107:E107)</f>
        <v>3071650.0000000005</v>
      </c>
    </row>
    <row r="108" spans="1:7" x14ac:dyDescent="0.2">
      <c r="B108" s="118"/>
      <c r="C108" s="141"/>
      <c r="D108" s="141"/>
      <c r="E108" s="141"/>
      <c r="F108" s="140"/>
    </row>
    <row r="109" spans="1:7" x14ac:dyDescent="0.2">
      <c r="B109" s="255" t="s">
        <v>162</v>
      </c>
      <c r="C109" s="256">
        <f>SUM(C107:C108)</f>
        <v>1103818.7500000002</v>
      </c>
      <c r="D109" s="256">
        <f>SUM(D107:D108)</f>
        <v>882131.25000000023</v>
      </c>
      <c r="E109" s="256">
        <f>SUM(E107:E108)</f>
        <v>1085700</v>
      </c>
      <c r="F109" s="256">
        <f>SUM(F107:F108)</f>
        <v>3071650.0000000005</v>
      </c>
    </row>
    <row r="110" spans="1:7" x14ac:dyDescent="0.2">
      <c r="B110" s="135" t="s">
        <v>196</v>
      </c>
      <c r="C110" s="140"/>
      <c r="D110" s="140"/>
      <c r="E110" s="140"/>
      <c r="F110" s="140"/>
    </row>
    <row r="111" spans="1:7" x14ac:dyDescent="0.2">
      <c r="B111" s="138" t="s">
        <v>197</v>
      </c>
      <c r="C111" s="140">
        <f>D102</f>
        <v>554458.33333333337</v>
      </c>
      <c r="D111" s="140">
        <f>E102</f>
        <v>605529.16666666663</v>
      </c>
      <c r="E111" s="140">
        <f>F102</f>
        <v>580295.83333333337</v>
      </c>
      <c r="F111" s="140">
        <f>SUM(C111:E111)</f>
        <v>1740283.3333333335</v>
      </c>
    </row>
    <row r="112" spans="1:7" ht="14.25" x14ac:dyDescent="0.2">
      <c r="B112" s="264" t="s">
        <v>293</v>
      </c>
      <c r="C112" s="140">
        <f>C61/(1.12*1.141)</f>
        <v>97658.695379992481</v>
      </c>
      <c r="D112" s="140">
        <f>D61/(1.12*1.141)</f>
        <v>97658.695379992481</v>
      </c>
      <c r="E112" s="140">
        <f>E61/(1.12*1.141)</f>
        <v>97658.695379992481</v>
      </c>
      <c r="F112" s="140">
        <f t="shared" ref="F112:F118" si="1">SUM(C112:E112)</f>
        <v>292976.08613997744</v>
      </c>
    </row>
    <row r="113" spans="2:6" x14ac:dyDescent="0.2">
      <c r="B113" s="264" t="s">
        <v>18</v>
      </c>
      <c r="C113" s="140">
        <v>22000</v>
      </c>
      <c r="D113" s="140"/>
      <c r="E113" s="140">
        <v>28000</v>
      </c>
      <c r="F113" s="140">
        <f t="shared" si="1"/>
        <v>50000</v>
      </c>
    </row>
    <row r="114" spans="2:6" ht="14.25" x14ac:dyDescent="0.2">
      <c r="B114" s="331" t="s">
        <v>290</v>
      </c>
      <c r="C114" s="140">
        <f>C63*(1+$D$1*0.8)</f>
        <v>105000</v>
      </c>
      <c r="D114" s="140">
        <f>D63*(1+$D$1*0.8)</f>
        <v>105000</v>
      </c>
      <c r="E114" s="140">
        <f>E63*(1+$D$1*0.8)</f>
        <v>105000</v>
      </c>
      <c r="F114" s="140">
        <f t="shared" si="1"/>
        <v>315000</v>
      </c>
    </row>
    <row r="115" spans="2:6" x14ac:dyDescent="0.2">
      <c r="B115" s="138" t="s">
        <v>230</v>
      </c>
      <c r="C115" s="140"/>
      <c r="D115" s="140"/>
      <c r="E115" s="140">
        <v>185000</v>
      </c>
      <c r="F115" s="140">
        <f t="shared" si="1"/>
        <v>185000</v>
      </c>
    </row>
    <row r="116" spans="2:6" x14ac:dyDescent="0.2">
      <c r="B116" s="138" t="s">
        <v>199</v>
      </c>
      <c r="C116" s="140"/>
      <c r="D116" s="140">
        <v>34500</v>
      </c>
      <c r="E116" s="140"/>
      <c r="F116" s="140">
        <f t="shared" si="1"/>
        <v>34500</v>
      </c>
    </row>
    <row r="117" spans="2:6" x14ac:dyDescent="0.2">
      <c r="B117" s="143" t="s">
        <v>218</v>
      </c>
      <c r="C117" s="140"/>
      <c r="D117" s="140">
        <v>17600</v>
      </c>
      <c r="E117" s="140"/>
      <c r="F117" s="140">
        <f t="shared" si="1"/>
        <v>17600</v>
      </c>
    </row>
    <row r="118" spans="2:6" x14ac:dyDescent="0.2">
      <c r="B118" s="255" t="s">
        <v>182</v>
      </c>
      <c r="C118" s="256">
        <f>SUM(C111:C117)</f>
        <v>779117.02871332585</v>
      </c>
      <c r="D118" s="256">
        <f>SUM(D111:D117)</f>
        <v>860287.86204665911</v>
      </c>
      <c r="E118" s="256">
        <f>SUM(E111:E117)</f>
        <v>995954.52871332585</v>
      </c>
      <c r="F118" s="256">
        <f t="shared" si="1"/>
        <v>2635359.4194733109</v>
      </c>
    </row>
    <row r="119" spans="2:6" x14ac:dyDescent="0.2">
      <c r="B119" s="138"/>
      <c r="C119" s="140"/>
      <c r="D119" s="140"/>
      <c r="E119" s="140"/>
      <c r="F119" s="140"/>
    </row>
    <row r="120" spans="2:6" x14ac:dyDescent="0.2">
      <c r="B120" s="138" t="s">
        <v>201</v>
      </c>
      <c r="C120" s="140">
        <f>C109-C118</f>
        <v>324701.72128667438</v>
      </c>
      <c r="D120" s="140">
        <f>D109-D118</f>
        <v>21843.387953341124</v>
      </c>
      <c r="E120" s="140">
        <f>E109-E118</f>
        <v>89745.471286674147</v>
      </c>
      <c r="F120" s="140">
        <f>F109-F118</f>
        <v>436290.58052668953</v>
      </c>
    </row>
    <row r="121" spans="2:6" x14ac:dyDescent="0.2">
      <c r="B121" s="138"/>
      <c r="C121" s="140"/>
      <c r="D121" s="140"/>
      <c r="E121" s="140"/>
      <c r="F121" s="140"/>
    </row>
    <row r="122" spans="2:6" x14ac:dyDescent="0.2">
      <c r="B122" s="138" t="s">
        <v>202</v>
      </c>
      <c r="C122" s="140">
        <v>120000</v>
      </c>
      <c r="D122" s="140">
        <f>C123</f>
        <v>444701.72128667438</v>
      </c>
      <c r="E122" s="140">
        <f>D123</f>
        <v>466545.1092400155</v>
      </c>
      <c r="F122" s="140">
        <f>C122</f>
        <v>120000</v>
      </c>
    </row>
    <row r="123" spans="2:6" x14ac:dyDescent="0.2">
      <c r="B123" s="144" t="s">
        <v>203</v>
      </c>
      <c r="C123" s="145">
        <f>C122+C120</f>
        <v>444701.72128667438</v>
      </c>
      <c r="D123" s="145">
        <f>D122+D120</f>
        <v>466545.1092400155</v>
      </c>
      <c r="E123" s="146">
        <f>E122+E120</f>
        <v>556290.58052668965</v>
      </c>
      <c r="F123" s="146">
        <f>SUM(F120:F122)</f>
        <v>556290.58052668953</v>
      </c>
    </row>
    <row r="124" spans="2:6" x14ac:dyDescent="0.2">
      <c r="B124" s="149"/>
      <c r="C124" s="152"/>
      <c r="D124" s="152"/>
      <c r="E124" s="152"/>
      <c r="F124" s="147"/>
    </row>
    <row r="125" spans="2:6" x14ac:dyDescent="0.2">
      <c r="B125" s="150" t="s">
        <v>219</v>
      </c>
      <c r="C125" s="140">
        <f>C58*(1+$D$1)</f>
        <v>1048687.5000000002</v>
      </c>
      <c r="D125" s="140">
        <f>D58*(1+$D$1)</f>
        <v>863625.00000000012</v>
      </c>
      <c r="E125" s="140">
        <f>E58*(1+$D$1)</f>
        <v>1110375</v>
      </c>
      <c r="F125" s="147"/>
    </row>
    <row r="126" spans="2:6" x14ac:dyDescent="0.2">
      <c r="B126" s="118" t="s">
        <v>204</v>
      </c>
      <c r="C126" s="153">
        <v>0.3</v>
      </c>
      <c r="D126" s="153">
        <v>0.3</v>
      </c>
      <c r="E126" s="153">
        <v>0.3</v>
      </c>
      <c r="F126" s="148"/>
    </row>
    <row r="127" spans="2:6" x14ac:dyDescent="0.2">
      <c r="B127" s="151" t="s">
        <v>205</v>
      </c>
      <c r="C127" s="154">
        <f>C123/C125</f>
        <v>0.42405551824225451</v>
      </c>
      <c r="D127" s="154">
        <f>D123/D125</f>
        <v>0.54021723460994697</v>
      </c>
      <c r="E127" s="154">
        <f>E123/E125</f>
        <v>0.50099343062180768</v>
      </c>
      <c r="F127" s="148"/>
    </row>
    <row r="129" spans="2:2" x14ac:dyDescent="0.2">
      <c r="B129" s="99" t="s">
        <v>291</v>
      </c>
    </row>
    <row r="130" spans="2:2" x14ac:dyDescent="0.2">
      <c r="B130" s="130" t="s">
        <v>292</v>
      </c>
    </row>
    <row r="131" spans="2:2" x14ac:dyDescent="0.2">
      <c r="B131" s="97" t="s">
        <v>289</v>
      </c>
    </row>
  </sheetData>
  <mergeCells count="11">
    <mergeCell ref="E3:F3"/>
    <mergeCell ref="E4:F4"/>
    <mergeCell ref="C30:D30"/>
    <mergeCell ref="C31:D31"/>
    <mergeCell ref="C3:D3"/>
    <mergeCell ref="C4:D4"/>
    <mergeCell ref="B81:G81"/>
    <mergeCell ref="C83:C84"/>
    <mergeCell ref="D83:G83"/>
    <mergeCell ref="C96:C97"/>
    <mergeCell ref="D96:G96"/>
  </mergeCells>
  <phoneticPr fontId="0" type="noConversion"/>
  <pageMargins left="0.75" right="0.75" top="1" bottom="1" header="0.5" footer="0.5"/>
  <pageSetup paperSize="9" scale="95" fitToHeight="0" orientation="portrait" r:id="rId1"/>
  <headerFooter alignWithMargins="0">
    <oddHeader>&amp;COppgave &amp;A</oddHeader>
    <oddFooter>&amp;CSide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15</vt:i4>
      </vt:variant>
    </vt:vector>
  </HeadingPairs>
  <TitlesOfParts>
    <vt:vector size="15" baseType="lpstr">
      <vt:lpstr>14.1</vt:lpstr>
      <vt:lpstr>14.2</vt:lpstr>
      <vt:lpstr>14.3</vt:lpstr>
      <vt:lpstr>14.4 og 14.5</vt:lpstr>
      <vt:lpstr>14.6</vt:lpstr>
      <vt:lpstr>14.7</vt:lpstr>
      <vt:lpstr>14.8</vt:lpstr>
      <vt:lpstr>14.9</vt:lpstr>
      <vt:lpstr>14.10</vt:lpstr>
      <vt:lpstr>14.11</vt:lpstr>
      <vt:lpstr>14.12</vt:lpstr>
      <vt:lpstr>14.13</vt:lpstr>
      <vt:lpstr>14.14 og 14.15</vt:lpstr>
      <vt:lpstr>14.16</vt:lpstr>
      <vt:lpstr>14.17 og 14.18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Ana S. M. Engh</cp:lastModifiedBy>
  <cp:lastPrinted>2015-08-25T08:18:13Z</cp:lastPrinted>
  <dcterms:created xsi:type="dcterms:W3CDTF">2006-10-09T12:38:02Z</dcterms:created>
  <dcterms:modified xsi:type="dcterms:W3CDTF">2016-02-12T11:35:48Z</dcterms:modified>
</cp:coreProperties>
</file>