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ond jobb\Google Drive\Revisjon 2017\Kap 2\"/>
    </mc:Choice>
  </mc:AlternateContent>
  <xr:revisionPtr revIDLastSave="0" documentId="8_{B04882E1-8F5B-4AEA-9E2B-79F602D79922}" xr6:coauthVersionLast="40" xr6:coauthVersionMax="40" xr10:uidLastSave="{00000000-0000-0000-0000-000000000000}"/>
  <bookViews>
    <workbookView xWindow="-120" yWindow="-120" windowWidth="29040" windowHeight="15840" activeTab="5" xr2:uid="{00000000-000D-0000-FFFF-FFFF00000000}"/>
  </bookViews>
  <sheets>
    <sheet name="2.1 " sheetId="7" r:id="rId1"/>
    <sheet name="2.2" sheetId="1" r:id="rId2"/>
    <sheet name="2.3" sheetId="4" r:id="rId3"/>
    <sheet name="2.4" sheetId="6" r:id="rId4"/>
    <sheet name="2.5" sheetId="5" r:id="rId5"/>
    <sheet name="2.6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2" i="5" l="1"/>
  <c r="D4" i="7"/>
  <c r="D5" i="7"/>
  <c r="D6" i="7"/>
  <c r="D17" i="7" s="1"/>
  <c r="D18" i="7" s="1"/>
  <c r="D20" i="7" s="1"/>
  <c r="C13" i="1"/>
  <c r="C14" i="1"/>
  <c r="C15" i="1" s="1"/>
  <c r="B18" i="1"/>
  <c r="B27" i="1" s="1"/>
  <c r="B16" i="1"/>
  <c r="B26" i="1" s="1"/>
  <c r="D14" i="1"/>
  <c r="B14" i="1"/>
  <c r="D13" i="1"/>
  <c r="B13" i="1"/>
  <c r="D4" i="4"/>
  <c r="C10" i="4"/>
  <c r="C19" i="4" s="1"/>
  <c r="D7" i="4"/>
  <c r="C11" i="4" s="1"/>
  <c r="C20" i="4" s="1"/>
  <c r="D20" i="4" s="1"/>
  <c r="B24" i="4"/>
  <c r="B31" i="4" s="1"/>
  <c r="B36" i="4" s="1"/>
  <c r="B22" i="4"/>
  <c r="B35" i="4" s="1"/>
  <c r="B20" i="4"/>
  <c r="B19" i="4"/>
  <c r="D51" i="6"/>
  <c r="D64" i="6" s="1"/>
  <c r="C53" i="6"/>
  <c r="C56" i="6" s="1"/>
  <c r="D63" i="6" s="1"/>
  <c r="D52" i="6"/>
  <c r="D67" i="6" s="1"/>
  <c r="D76" i="6" s="1"/>
  <c r="B78" i="6"/>
  <c r="B68" i="6"/>
  <c r="B77" i="6" s="1"/>
  <c r="B76" i="6"/>
  <c r="B71" i="6"/>
  <c r="B52" i="6"/>
  <c r="B51" i="6"/>
  <c r="F29" i="6"/>
  <c r="C21" i="6"/>
  <c r="F31" i="6" s="1"/>
  <c r="E29" i="6"/>
  <c r="E31" i="6"/>
  <c r="E32" i="6" s="1"/>
  <c r="D29" i="6"/>
  <c r="C24" i="6"/>
  <c r="F25" i="6"/>
  <c r="F38" i="6"/>
  <c r="E25" i="6"/>
  <c r="E38" i="6" s="1"/>
  <c r="D25" i="6"/>
  <c r="C25" i="6" s="1"/>
  <c r="D38" i="6"/>
  <c r="F37" i="6"/>
  <c r="E37" i="6"/>
  <c r="D37" i="6"/>
  <c r="F10" i="5"/>
  <c r="F27" i="5"/>
  <c r="F34" i="5" s="1"/>
  <c r="F35" i="5" s="1"/>
  <c r="E10" i="5"/>
  <c r="E27" i="5" s="1"/>
  <c r="E34" i="5" s="1"/>
  <c r="E35" i="5" s="1"/>
  <c r="D10" i="5"/>
  <c r="D28" i="5" s="1"/>
  <c r="D27" i="5"/>
  <c r="D34" i="5" s="1"/>
  <c r="D35" i="5" s="1"/>
  <c r="F23" i="5"/>
  <c r="F24" i="5" s="1"/>
  <c r="F25" i="5" s="1"/>
  <c r="F30" i="5" s="1"/>
  <c r="E23" i="5"/>
  <c r="E24" i="5"/>
  <c r="E25" i="5" s="1"/>
  <c r="E30" i="5" s="1"/>
  <c r="D23" i="5"/>
  <c r="D24" i="5"/>
  <c r="D25" i="5" s="1"/>
  <c r="D30" i="5" s="1"/>
  <c r="C6" i="5"/>
  <c r="C13" i="5"/>
  <c r="C14" i="5"/>
  <c r="C15" i="5"/>
  <c r="C16" i="5"/>
  <c r="C23" i="5" s="1"/>
  <c r="C17" i="5"/>
  <c r="C18" i="5"/>
  <c r="C20" i="5"/>
  <c r="C21" i="5"/>
  <c r="C9" i="5"/>
  <c r="F29" i="5"/>
  <c r="E29" i="5"/>
  <c r="D29" i="5"/>
  <c r="F28" i="5"/>
  <c r="E28" i="5"/>
  <c r="C10" i="5"/>
  <c r="C43" i="8"/>
  <c r="C45" i="8" s="1"/>
  <c r="D34" i="8"/>
  <c r="C34" i="8"/>
  <c r="C37" i="8" s="1"/>
  <c r="F13" i="8"/>
  <c r="F16" i="8"/>
  <c r="F17" i="8"/>
  <c r="D12" i="8"/>
  <c r="D13" i="8"/>
  <c r="D20" i="8" s="1"/>
  <c r="D14" i="8"/>
  <c r="D19" i="8"/>
  <c r="E13" i="8"/>
  <c r="E15" i="8"/>
  <c r="E17" i="8"/>
  <c r="E18" i="8"/>
  <c r="E19" i="8"/>
  <c r="C20" i="8"/>
  <c r="F19" i="8"/>
  <c r="F18" i="8"/>
  <c r="F9" i="8"/>
  <c r="E9" i="8"/>
  <c r="C5" i="8"/>
  <c r="C7" i="8"/>
  <c r="C9" i="8" s="1"/>
  <c r="C38" i="6" l="1"/>
  <c r="C37" i="6"/>
  <c r="F21" i="8"/>
  <c r="E21" i="8"/>
  <c r="D47" i="8"/>
  <c r="E48" i="8"/>
  <c r="C49" i="8" s="1"/>
  <c r="C24" i="5"/>
  <c r="C25" i="5" s="1"/>
  <c r="C30" i="5" s="1"/>
  <c r="C29" i="5"/>
  <c r="C28" i="5"/>
  <c r="C36" i="8"/>
  <c r="D53" i="6"/>
  <c r="E52" i="6"/>
  <c r="D7" i="7"/>
  <c r="D8" i="7" s="1"/>
  <c r="D36" i="5"/>
  <c r="D37" i="5" s="1"/>
  <c r="E36" i="5"/>
  <c r="E37" i="5" s="1"/>
  <c r="F36" i="5"/>
  <c r="F37" i="5" s="1"/>
  <c r="E20" i="8"/>
  <c r="F20" i="8"/>
  <c r="F22" i="8" s="1"/>
  <c r="F24" i="8" s="1"/>
  <c r="F26" i="8" s="1"/>
  <c r="D37" i="8"/>
  <c r="F39" i="8" s="1"/>
  <c r="F40" i="8" s="1"/>
  <c r="C41" i="8" s="1"/>
  <c r="D36" i="8"/>
  <c r="C27" i="5"/>
  <c r="E34" i="6"/>
  <c r="E35" i="6" s="1"/>
  <c r="E40" i="6" s="1"/>
  <c r="E39" i="6"/>
  <c r="D65" i="6"/>
  <c r="D68" i="6" s="1"/>
  <c r="D69" i="6" s="1"/>
  <c r="D71" i="6"/>
  <c r="D73" i="6" s="1"/>
  <c r="D74" i="6" s="1"/>
  <c r="D77" i="6" s="1"/>
  <c r="D78" i="6" s="1"/>
  <c r="D19" i="4"/>
  <c r="C21" i="4"/>
  <c r="C16" i="1"/>
  <c r="D16" i="1" s="1"/>
  <c r="C26" i="1" s="1"/>
  <c r="D15" i="1"/>
  <c r="D31" i="6"/>
  <c r="E51" i="6"/>
  <c r="C55" i="6"/>
  <c r="B74" i="6"/>
  <c r="D9" i="7"/>
  <c r="D10" i="7" s="1"/>
  <c r="D12" i="7" s="1"/>
  <c r="D14" i="7" s="1"/>
  <c r="D56" i="6" l="1"/>
  <c r="E53" i="6"/>
  <c r="D55" i="6"/>
  <c r="C17" i="1"/>
  <c r="E22" i="8"/>
  <c r="E24" i="8" s="1"/>
  <c r="E26" i="8" s="1"/>
  <c r="C22" i="4"/>
  <c r="D22" i="4" s="1"/>
  <c r="D35" i="4" s="1"/>
  <c r="D21" i="4"/>
  <c r="C18" i="1"/>
  <c r="D18" i="1" s="1"/>
  <c r="C27" i="1" s="1"/>
  <c r="C28" i="1" s="1"/>
  <c r="C30" i="1" s="1"/>
  <c r="C19" i="1"/>
  <c r="D17" i="1"/>
  <c r="C23" i="4" l="1"/>
  <c r="C20" i="1"/>
  <c r="D20" i="1" s="1"/>
  <c r="D19" i="1"/>
  <c r="D29" i="4" s="1"/>
  <c r="C21" i="1" l="1"/>
  <c r="D21" i="1" s="1"/>
  <c r="D23" i="4"/>
  <c r="D30" i="4" s="1"/>
  <c r="D31" i="4" s="1"/>
  <c r="C24" i="4"/>
  <c r="D24" i="4" s="1"/>
  <c r="C25" i="4" l="1"/>
  <c r="D33" i="4"/>
  <c r="D36" i="4"/>
  <c r="D37" i="4" s="1"/>
  <c r="D39" i="4" s="1"/>
  <c r="C26" i="4" l="1"/>
  <c r="D26" i="4" s="1"/>
  <c r="D25" i="4"/>
  <c r="F30" i="6"/>
  <c r="F32" i="6" s="1"/>
  <c r="C32" i="6"/>
  <c r="C39" i="6" s="1"/>
  <c r="D30" i="6"/>
  <c r="D32" i="6" s="1"/>
  <c r="C27" i="4" l="1"/>
  <c r="D27" i="4" s="1"/>
  <c r="C34" i="6"/>
  <c r="C35" i="6" s="1"/>
  <c r="C40" i="6" s="1"/>
  <c r="D39" i="6"/>
  <c r="D34" i="6"/>
  <c r="D35" i="6" s="1"/>
  <c r="D40" i="6" s="1"/>
  <c r="F34" i="6"/>
  <c r="F35" i="6" s="1"/>
  <c r="F40" i="6" s="1"/>
  <c r="F39" i="6"/>
</calcChain>
</file>

<file path=xl/sharedStrings.xml><?xml version="1.0" encoding="utf-8"?>
<sst xmlns="http://schemas.openxmlformats.org/spreadsheetml/2006/main" count="234" uniqueCount="152">
  <si>
    <t>3 : 5</t>
    <phoneticPr fontId="10" type="noConversion"/>
  </si>
  <si>
    <t xml:space="preserve"> Bruttofortjenesten regnes i prosent av omsetningen.</t>
    <phoneticPr fontId="10" type="noConversion"/>
  </si>
  <si>
    <r>
      <t xml:space="preserve">Det </t>
    </r>
    <r>
      <rPr>
        <i/>
        <sz val="12"/>
        <rFont val="Times New Roman"/>
        <family val="1"/>
      </rPr>
      <t>kan</t>
    </r>
    <r>
      <rPr>
        <sz val="12"/>
        <rFont val="Times New Roman"/>
        <family val="1"/>
      </rPr>
      <t xml:space="preserve"> være unaturlig at husleie og salg/administrasjon er fordelt likt på de tre avdelingene. Dersom</t>
    </r>
    <phoneticPr fontId="10" type="noConversion"/>
  </si>
  <si>
    <t>Salgs- og admininstrasjonskostnadene kunne vært fordelt etter salgsinntekt og ikke fordelt likt på de</t>
    <phoneticPr fontId="10" type="noConversion"/>
  </si>
  <si>
    <t>De indirekte kostnadene vil hovedsakelig bestå av faste kostnader, og i praksis vil fordelingen</t>
    <phoneticPr fontId="10" type="noConversion"/>
  </si>
  <si>
    <t>med å trekke bastante konklusjoner på grunnlag av selvkostkalkyler.</t>
    <phoneticPr fontId="10" type="noConversion"/>
  </si>
  <si>
    <t>Salg/adm.</t>
    <phoneticPr fontId="10" type="noConversion"/>
  </si>
  <si>
    <t>Diverse driftskostnader</t>
    <phoneticPr fontId="10" type="noConversion"/>
  </si>
  <si>
    <t>Vi ser at salget har falt med kr 100 000 eller 9,1 % sammenlignet med budsjett. Samtidig har</t>
    <phoneticPr fontId="10" type="noConversion"/>
  </si>
  <si>
    <t>er jo en variabel kostnad. Her må vi undersøke årsaken nærmere.</t>
    <phoneticPr fontId="10" type="noConversion"/>
  </si>
  <si>
    <r>
      <t xml:space="preserve">varekostnaden økt med kr 50 000 eller 8,3 %. Dette er svært </t>
    </r>
    <r>
      <rPr>
        <i/>
        <sz val="12"/>
        <rFont val="Times New Roman"/>
        <family val="1"/>
      </rPr>
      <t>påfallende</t>
    </r>
    <r>
      <rPr>
        <b/>
        <sz val="12"/>
        <rFont val="Times New Roman"/>
        <family val="1"/>
      </rPr>
      <t>.</t>
    </r>
    <phoneticPr fontId="10" type="noConversion"/>
  </si>
  <si>
    <t>+ Rabatter</t>
    <phoneticPr fontId="10" type="noConversion"/>
  </si>
  <si>
    <t xml:space="preserve">Det faktiske vareforbruket er ca. kr 77 000 «for høyt». En mulig og ganske </t>
    <phoneticPr fontId="10" type="noConversion"/>
  </si>
  <si>
    <t>Salg/adm.</t>
    <phoneticPr fontId="2" type="noConversion"/>
  </si>
  <si>
    <t>Nettofortjeneste</t>
    <phoneticPr fontId="2" type="noConversion"/>
  </si>
  <si>
    <t>Diverse driftskostnader</t>
    <phoneticPr fontId="2" type="noConversion"/>
  </si>
  <si>
    <t>100 : 1000 : 900</t>
    <phoneticPr fontId="10" type="noConversion"/>
  </si>
  <si>
    <t>0 : 5 : 4</t>
    <phoneticPr fontId="10" type="noConversion"/>
  </si>
  <si>
    <t>kr 18000 / (7 : 5)</t>
    <phoneticPr fontId="10" type="noConversion"/>
  </si>
  <si>
    <t>Fordeling bil og fellesdrift</t>
  </si>
  <si>
    <t xml:space="preserve">Salg </t>
  </si>
  <si>
    <t>Varekostnader</t>
  </si>
  <si>
    <t>Avanse = bruttofortjeneste</t>
  </si>
  <si>
    <t xml:space="preserve">Varekostnaden burde i så fall ha vært 1 800 000 – 720 000 = </t>
  </si>
  <si>
    <t>Svinn: 1 200 000 – 1 080 000 =</t>
  </si>
  <si>
    <r>
      <t xml:space="preserve">Med budsjettert avanseprosent burde avansen ha vært 1 800 000 </t>
    </r>
    <r>
      <rPr>
        <sz val="12"/>
        <rFont val="Verdana"/>
        <family val="2"/>
      </rPr>
      <t xml:space="preserve">∙ </t>
    </r>
    <r>
      <rPr>
        <sz val="12"/>
        <rFont val="Times New Roman"/>
        <family val="1"/>
      </rPr>
      <t>0,4 =</t>
    </r>
  </si>
  <si>
    <t>Rabatt</t>
  </si>
  <si>
    <t>Salgsinntekter før rabatter</t>
  </si>
  <si>
    <r>
      <t xml:space="preserve">Avansen burde i så fall ha vært 1 900 000 </t>
    </r>
    <r>
      <rPr>
        <sz val="12"/>
        <rFont val="Verdana"/>
        <family val="2"/>
      </rPr>
      <t>∙</t>
    </r>
    <r>
      <rPr>
        <sz val="12"/>
        <rFont val="Times New Roman"/>
        <family val="1"/>
      </rPr>
      <t xml:space="preserve"> 0,4 =</t>
    </r>
  </si>
  <si>
    <t>Varekostnaden burde ha vært 1 900 000 – 760 000 =</t>
  </si>
  <si>
    <t>Svinn: 1 200 000 – 1 140 000 =</t>
  </si>
  <si>
    <t>Tillegg indirekte kostnader (50 %)</t>
    <phoneticPr fontId="10" type="noConversion"/>
  </si>
  <si>
    <t>Fortjeneste (50 %)</t>
    <phoneticPr fontId="10" type="noConversion"/>
  </si>
  <si>
    <t>Avanse = Pris ekskl. mva. – inntakskost</t>
    <phoneticPr fontId="10" type="noConversion"/>
  </si>
  <si>
    <t>Mva.</t>
    <phoneticPr fontId="0" type="noConversion"/>
  </si>
  <si>
    <t>Salgspris inkl. mva.</t>
    <phoneticPr fontId="0" type="noConversion"/>
  </si>
  <si>
    <r>
      <t xml:space="preserve">Frakt og forsikring: 2 000 </t>
    </r>
    <r>
      <rPr>
        <sz val="12"/>
        <rFont val="Verdana"/>
        <family val="2"/>
      </rPr>
      <t>∙</t>
    </r>
    <r>
      <rPr>
        <sz val="12"/>
        <rFont val="Times New Roman"/>
        <family val="1"/>
      </rPr>
      <t xml:space="preserve"> (9,50 : 8,00) =</t>
    </r>
    <phoneticPr fontId="0" type="noConversion"/>
  </si>
  <si>
    <t>sammenligning av de tre avdelingene. Der er det helt klart «avdeling voksne» som skiller</t>
    <phoneticPr fontId="10" type="noConversion"/>
  </si>
  <si>
    <t>seg ut med lavere avanse og nettofortjeneste enn de to andre avdelingene.</t>
    <phoneticPr fontId="10" type="noConversion"/>
  </si>
  <si>
    <t>arealet benyttet til «voksne» er større enn det som er benyttet til de to andre avdelingene,</t>
    <phoneticPr fontId="10" type="noConversion"/>
  </si>
  <si>
    <t>Frakt og forsikring: 2 500 : 10 000 =</t>
  </si>
  <si>
    <t>Salgspris ekskl. mva.</t>
  </si>
  <si>
    <t>Avanse i prosent</t>
  </si>
  <si>
    <t>Pris ekskl. mva</t>
  </si>
  <si>
    <t>–</t>
  </si>
  <si>
    <t>Avanseprosent</t>
  </si>
  <si>
    <t>Løsning oppgave 2.1</t>
  </si>
  <si>
    <t>Løsning oppgave 2.2</t>
  </si>
  <si>
    <t>Kalkulasjon:</t>
  </si>
  <si>
    <t>Avanse per enhet:</t>
  </si>
  <si>
    <t>Avanse i % av inntakskost:</t>
  </si>
  <si>
    <t>Løsning oppgave 2.3</t>
  </si>
  <si>
    <t>Innkjøpspris</t>
  </si>
  <si>
    <t>Opprinnelig innkjøpspris: 20 000 : 8,00 = 2 500 euro</t>
  </si>
  <si>
    <r>
      <t xml:space="preserve">Innkjøpspris til kurs 9,50: 2 500 </t>
    </r>
    <r>
      <rPr>
        <sz val="12"/>
        <rFont val="Verdana"/>
        <family val="2"/>
      </rPr>
      <t>∙</t>
    </r>
    <r>
      <rPr>
        <sz val="12"/>
        <rFont val="Times New Roman"/>
        <family val="1"/>
      </rPr>
      <t xml:space="preserve"> 9,50 =</t>
    </r>
  </si>
  <si>
    <t>Vi forutsetter at også frakt og forsikring betales i euro.</t>
  </si>
  <si>
    <t>Løsning oppgave 2.4</t>
  </si>
  <si>
    <t>av slike kostnader ofte være basert på skjønn og vilkårlighet. Derfor må vi være varsomme</t>
  </si>
  <si>
    <t>Indirekte kostnader i %</t>
  </si>
  <si>
    <t>Når omsetningen faller, vil som regel også vareforbruket (varekostnaden) falle. Varekostnad</t>
  </si>
  <si>
    <t>I dette tilfellet skulle avansen ha vært:</t>
  </si>
  <si>
    <t>sannsynlig årsak er svinn (tyveri, underslag).</t>
  </si>
  <si>
    <t>Løsning oppgave 2.5</t>
  </si>
  <si>
    <t>Sum</t>
  </si>
  <si>
    <t>Fordelings-</t>
  </si>
  <si>
    <t>nøkkel</t>
  </si>
  <si>
    <t>Salgsinntekter</t>
  </si>
  <si>
    <t>Netto fortjeneste</t>
  </si>
  <si>
    <t>Radio/TV</t>
  </si>
  <si>
    <t>Hvite-</t>
  </si>
  <si>
    <t>varer</t>
  </si>
  <si>
    <t>Driftskostnader hvitevarer</t>
  </si>
  <si>
    <t>Driftskostnader radio/TV</t>
  </si>
  <si>
    <t>Diverse felleskostnader</t>
  </si>
  <si>
    <t>Kalkulatoriske avskrivninger</t>
  </si>
  <si>
    <t>Kalkulatoriske renter</t>
  </si>
  <si>
    <t>Bil og</t>
  </si>
  <si>
    <t>felles drift</t>
  </si>
  <si>
    <t>Inndata:</t>
  </si>
  <si>
    <t>Fakturapris</t>
  </si>
  <si>
    <t>Frakt og forsikring</t>
  </si>
  <si>
    <t>Indirekte kostnader</t>
  </si>
  <si>
    <t>Fortjeneste</t>
  </si>
  <si>
    <t>a)</t>
  </si>
  <si>
    <t>Antall</t>
  </si>
  <si>
    <t>Hele partiet</t>
  </si>
  <si>
    <t>Per sett</t>
  </si>
  <si>
    <t>Inntakskost</t>
  </si>
  <si>
    <t>Selvkost</t>
  </si>
  <si>
    <t>Salgspris</t>
  </si>
  <si>
    <t>Mva.</t>
  </si>
  <si>
    <t>b)</t>
  </si>
  <si>
    <t>c)</t>
  </si>
  <si>
    <t>Med utgangspunkt i hele partiet:</t>
  </si>
  <si>
    <t>Avanse</t>
  </si>
  <si>
    <t>Avanse:</t>
  </si>
  <si>
    <t>Avanse i kroner</t>
  </si>
  <si>
    <t>Selvkost desember</t>
  </si>
  <si>
    <t>Fortjeneste i % av selvkost=</t>
  </si>
  <si>
    <t>Kostnad/</t>
  </si>
  <si>
    <t>inntekt</t>
  </si>
  <si>
    <t>Driftsinntekter:</t>
  </si>
  <si>
    <t>Varesalg</t>
  </si>
  <si>
    <t>Direkte kostnader:</t>
  </si>
  <si>
    <t>Indirekte kostnader:</t>
  </si>
  <si>
    <t>Lønn</t>
  </si>
  <si>
    <t>Husleie</t>
  </si>
  <si>
    <t>Bilkostnader</t>
  </si>
  <si>
    <t>Tap på fordringer</t>
  </si>
  <si>
    <t>Kalkulatoriske:</t>
  </si>
  <si>
    <t>Avskr. inventer</t>
  </si>
  <si>
    <t>Avskr. biler</t>
  </si>
  <si>
    <t>Rentekostnad</t>
  </si>
  <si>
    <t>Sum indirekte kostnader</t>
  </si>
  <si>
    <t>Nettofortjeneste</t>
  </si>
  <si>
    <t>Bruttofortjeneste:</t>
  </si>
  <si>
    <t>Indirekte kostnader i %:</t>
  </si>
  <si>
    <t>Privat</t>
  </si>
  <si>
    <t>Småbedrifter</t>
  </si>
  <si>
    <t>Proff</t>
  </si>
  <si>
    <t>Betalbare:</t>
  </si>
  <si>
    <t>Driftsresultat:</t>
  </si>
  <si>
    <t>Bruttofortjeneste/avanse</t>
  </si>
  <si>
    <t>d)</t>
  </si>
  <si>
    <t>e)</t>
  </si>
  <si>
    <t>Avansetillegg</t>
  </si>
  <si>
    <t>Salgspris uten mva.</t>
  </si>
  <si>
    <t>+</t>
  </si>
  <si>
    <t>=</t>
  </si>
  <si>
    <t>Mva. (25 %)</t>
  </si>
  <si>
    <t>Salgspris med mva.</t>
  </si>
  <si>
    <t>Vi har ingen måltall å forholde oss til slik at analysen må konsentreres til en</t>
  </si>
  <si>
    <t>burde fordelingen av husleie vært annerledes.</t>
  </si>
  <si>
    <t>tre avdelingene.</t>
  </si>
  <si>
    <t>Avd. barn</t>
  </si>
  <si>
    <t>Avd. voksne</t>
  </si>
  <si>
    <t>Avd. sko</t>
  </si>
  <si>
    <t>Varekostnad</t>
  </si>
  <si>
    <t>Bruttofortjeneste</t>
  </si>
  <si>
    <t>Resultat</t>
  </si>
  <si>
    <t>Budsjettert og oppnådd bruttofortjeneste:</t>
  </si>
  <si>
    <t>Budsjett</t>
  </si>
  <si>
    <t>Regnskap</t>
  </si>
  <si>
    <t>Avvik</t>
  </si>
  <si>
    <t>Bruttofortjeneste i %</t>
  </si>
  <si>
    <t>Avanse i %</t>
  </si>
  <si>
    <t>Virkelig salgsinntekt:</t>
  </si>
  <si>
    <t>Varekostnad med gitt avanse:</t>
  </si>
  <si>
    <t>Varekostnad i regnskapet:</t>
  </si>
  <si>
    <t>Differanse:</t>
  </si>
  <si>
    <t>Salg før rabatt</t>
  </si>
  <si>
    <t>Innkjøpspris per enhet: 195 000 : 10 000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</si>
</sst>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\ %"/>
    <numFmt numFmtId="168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Verdana"/>
      <family val="2"/>
    </font>
    <font>
      <i/>
      <sz val="12"/>
      <name val="Times New Roman"/>
      <family val="1"/>
    </font>
    <font>
      <sz val="12"/>
      <color indexed="9"/>
      <name val="Times New Roman"/>
      <family val="1"/>
    </font>
    <font>
      <sz val="8"/>
      <name val="Verdana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167" fontId="4" fillId="0" borderId="1" xfId="1" applyNumberFormat="1" applyFont="1" applyBorder="1"/>
    <xf numFmtId="9" fontId="4" fillId="0" borderId="1" xfId="1" applyNumberFormat="1" applyFont="1" applyBorder="1"/>
    <xf numFmtId="0" fontId="6" fillId="0" borderId="0" xfId="0" applyFont="1"/>
    <xf numFmtId="164" fontId="4" fillId="0" borderId="0" xfId="3" applyFont="1"/>
    <xf numFmtId="9" fontId="4" fillId="0" borderId="0" xfId="0" applyNumberFormat="1" applyFont="1"/>
    <xf numFmtId="164" fontId="4" fillId="0" borderId="1" xfId="3" applyFont="1" applyBorder="1"/>
    <xf numFmtId="164" fontId="4" fillId="0" borderId="2" xfId="3" applyFont="1" applyBorder="1"/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168" fontId="4" fillId="0" borderId="0" xfId="3" applyNumberFormat="1" applyFont="1"/>
    <xf numFmtId="0" fontId="6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quotePrefix="1" applyFont="1" applyAlignment="1">
      <alignment horizontal="left"/>
    </xf>
    <xf numFmtId="3" fontId="5" fillId="0" borderId="0" xfId="0" applyNumberFormat="1" applyFont="1"/>
    <xf numFmtId="3" fontId="4" fillId="0" borderId="2" xfId="0" applyNumberFormat="1" applyFont="1" applyBorder="1"/>
    <xf numFmtId="164" fontId="4" fillId="0" borderId="0" xfId="3" applyFont="1" applyFill="1" applyBorder="1"/>
    <xf numFmtId="164" fontId="4" fillId="0" borderId="0" xfId="0" applyNumberFormat="1" applyFont="1"/>
    <xf numFmtId="165" fontId="4" fillId="0" borderId="0" xfId="0" applyNumberFormat="1" applyFont="1"/>
    <xf numFmtId="165" fontId="4" fillId="0" borderId="0" xfId="1" applyNumberFormat="1" applyFont="1"/>
    <xf numFmtId="168" fontId="4" fillId="0" borderId="0" xfId="3" quotePrefix="1" applyNumberFormat="1" applyFont="1" applyAlignment="1">
      <alignment horizontal="left"/>
    </xf>
    <xf numFmtId="10" fontId="4" fillId="0" borderId="1" xfId="1" applyNumberFormat="1" applyFont="1" applyBorder="1"/>
    <xf numFmtId="164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8" fillId="0" borderId="3" xfId="0" applyFont="1" applyBorder="1"/>
    <xf numFmtId="3" fontId="4" fillId="0" borderId="5" xfId="4" applyNumberFormat="1" applyFont="1" applyBorder="1"/>
    <xf numFmtId="3" fontId="4" fillId="0" borderId="3" xfId="4" applyNumberFormat="1" applyFont="1" applyBorder="1"/>
    <xf numFmtId="0" fontId="4" fillId="0" borderId="6" xfId="0" applyFont="1" applyBorder="1"/>
    <xf numFmtId="3" fontId="4" fillId="0" borderId="7" xfId="4" applyNumberFormat="1" applyFont="1" applyBorder="1"/>
    <xf numFmtId="3" fontId="4" fillId="0" borderId="6" xfId="4" applyNumberFormat="1" applyFont="1" applyBorder="1"/>
    <xf numFmtId="0" fontId="8" fillId="0" borderId="6" xfId="0" applyFont="1" applyBorder="1"/>
    <xf numFmtId="0" fontId="4" fillId="0" borderId="4" xfId="0" applyFont="1" applyBorder="1"/>
    <xf numFmtId="3" fontId="4" fillId="0" borderId="8" xfId="4" applyNumberFormat="1" applyFont="1" applyBorder="1"/>
    <xf numFmtId="3" fontId="4" fillId="0" borderId="4" xfId="4" applyNumberFormat="1" applyFont="1" applyBorder="1"/>
    <xf numFmtId="166" fontId="4" fillId="0" borderId="0" xfId="0" applyNumberFormat="1" applyFont="1"/>
    <xf numFmtId="0" fontId="4" fillId="0" borderId="3" xfId="0" applyFont="1" applyBorder="1"/>
    <xf numFmtId="3" fontId="4" fillId="0" borderId="3" xfId="0" applyNumberFormat="1" applyFont="1" applyBorder="1"/>
    <xf numFmtId="10" fontId="4" fillId="0" borderId="0" xfId="2" applyNumberFormat="1" applyFont="1"/>
    <xf numFmtId="10" fontId="4" fillId="0" borderId="0" xfId="0" applyNumberFormat="1" applyFont="1"/>
    <xf numFmtId="3" fontId="4" fillId="0" borderId="1" xfId="0" applyNumberFormat="1" applyFont="1" applyBorder="1"/>
    <xf numFmtId="3" fontId="4" fillId="0" borderId="9" xfId="4" applyNumberFormat="1" applyFont="1" applyBorder="1"/>
    <xf numFmtId="0" fontId="4" fillId="0" borderId="10" xfId="0" applyFont="1" applyBorder="1"/>
    <xf numFmtId="10" fontId="4" fillId="0" borderId="9" xfId="2" applyNumberFormat="1" applyFont="1" applyBorder="1"/>
    <xf numFmtId="0" fontId="4" fillId="0" borderId="0" xfId="0" quotePrefix="1" applyFont="1" applyBorder="1" applyAlignment="1">
      <alignment horizontal="left"/>
    </xf>
    <xf numFmtId="3" fontId="4" fillId="0" borderId="5" xfId="5" applyNumberFormat="1" applyFont="1" applyBorder="1"/>
    <xf numFmtId="3" fontId="4" fillId="0" borderId="3" xfId="5" applyNumberFormat="1" applyFont="1" applyBorder="1"/>
    <xf numFmtId="3" fontId="4" fillId="0" borderId="7" xfId="5" applyNumberFormat="1" applyFont="1" applyBorder="1"/>
    <xf numFmtId="3" fontId="4" fillId="0" borderId="6" xfId="5" applyNumberFormat="1" applyFont="1" applyBorder="1"/>
    <xf numFmtId="3" fontId="4" fillId="0" borderId="8" xfId="5" applyNumberFormat="1" applyFont="1" applyBorder="1"/>
    <xf numFmtId="3" fontId="4" fillId="0" borderId="4" xfId="5" applyNumberFormat="1" applyFont="1" applyBorder="1"/>
    <xf numFmtId="0" fontId="4" fillId="0" borderId="6" xfId="0" quotePrefix="1" applyFont="1" applyBorder="1" applyAlignment="1">
      <alignment horizontal="left"/>
    </xf>
    <xf numFmtId="0" fontId="8" fillId="0" borderId="6" xfId="0" quotePrefix="1" applyFont="1" applyBorder="1" applyAlignment="1">
      <alignment horizontal="left"/>
    </xf>
    <xf numFmtId="10" fontId="4" fillId="0" borderId="6" xfId="1" applyNumberFormat="1" applyFont="1" applyBorder="1"/>
    <xf numFmtId="0" fontId="4" fillId="0" borderId="4" xfId="0" quotePrefix="1" applyFont="1" applyBorder="1" applyAlignment="1">
      <alignment horizontal="left"/>
    </xf>
    <xf numFmtId="10" fontId="4" fillId="0" borderId="4" xfId="1" applyNumberFormat="1" applyFont="1" applyBorder="1"/>
    <xf numFmtId="3" fontId="4" fillId="0" borderId="9" xfId="5" applyNumberFormat="1" applyFont="1" applyBorder="1"/>
    <xf numFmtId="0" fontId="4" fillId="0" borderId="11" xfId="0" applyFont="1" applyBorder="1"/>
    <xf numFmtId="3" fontId="4" fillId="0" borderId="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0" borderId="6" xfId="0" applyNumberFormat="1" applyFont="1" applyBorder="1"/>
    <xf numFmtId="3" fontId="4" fillId="0" borderId="0" xfId="0" applyNumberFormat="1" applyFont="1" applyBorder="1"/>
    <xf numFmtId="0" fontId="8" fillId="0" borderId="10" xfId="0" applyFont="1" applyBorder="1"/>
    <xf numFmtId="3" fontId="4" fillId="0" borderId="6" xfId="0" quotePrefix="1" applyNumberFormat="1" applyFont="1" applyBorder="1" applyAlignment="1">
      <alignment horizontal="center"/>
    </xf>
    <xf numFmtId="3" fontId="4" fillId="0" borderId="9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167" fontId="4" fillId="0" borderId="0" xfId="1" applyNumberFormat="1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4" fillId="0" borderId="1" xfId="0" applyNumberFormat="1" applyFont="1" applyFill="1" applyBorder="1"/>
    <xf numFmtId="2" fontId="4" fillId="0" borderId="0" xfId="0" applyNumberFormat="1" applyFont="1" applyFill="1"/>
    <xf numFmtId="0" fontId="11" fillId="0" borderId="0" xfId="0" applyFont="1"/>
  </cellXfs>
  <cellStyles count="6">
    <cellStyle name="Komma" xfId="3" builtinId="3"/>
    <cellStyle name="Normal" xfId="0" builtinId="0"/>
    <cellStyle name="Prosent" xfId="1" builtinId="5"/>
    <cellStyle name="Prosent 2" xfId="2" xr:uid="{00000000-0005-0000-0000-000003000000}"/>
    <cellStyle name="Tusenskille 2" xfId="4" xr:uid="{00000000-0005-0000-0000-000004000000}"/>
    <cellStyle name="Tusenskille_Handelsbedrift løsning regnskap" xfId="5" xr:uid="{00000000-0005-0000-0000-000005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H20"/>
  <sheetViews>
    <sheetView zoomScale="110" zoomScaleNormal="110" zoomScalePageLayoutView="110" workbookViewId="0">
      <selection activeCell="D1" sqref="D1"/>
    </sheetView>
  </sheetViews>
  <sheetFormatPr baseColWidth="10" defaultColWidth="10.85546875" defaultRowHeight="15.75" x14ac:dyDescent="0.25"/>
  <cols>
    <col min="1" max="1" width="3.42578125" style="1" customWidth="1"/>
    <col min="2" max="2" width="2.85546875" style="5" customWidth="1"/>
    <col min="3" max="3" width="39.140625" style="1" bestFit="1" customWidth="1"/>
    <col min="4" max="4" width="9.7109375" style="1" customWidth="1"/>
    <col min="5" max="16384" width="10.85546875" style="1"/>
  </cols>
  <sheetData>
    <row r="1" spans="1:8" x14ac:dyDescent="0.25">
      <c r="A1" s="11" t="s">
        <v>46</v>
      </c>
      <c r="D1" s="92">
        <v>27062011</v>
      </c>
    </row>
    <row r="4" spans="1:8" x14ac:dyDescent="0.25">
      <c r="A4" s="1" t="s">
        <v>83</v>
      </c>
      <c r="C4" s="1" t="s">
        <v>151</v>
      </c>
      <c r="D4" s="2">
        <f>195000/10000</f>
        <v>19.5</v>
      </c>
    </row>
    <row r="5" spans="1:8" x14ac:dyDescent="0.25">
      <c r="B5" s="6" t="s">
        <v>127</v>
      </c>
      <c r="C5" s="1" t="s">
        <v>40</v>
      </c>
      <c r="D5" s="4">
        <f>2500/10000</f>
        <v>0.25</v>
      </c>
    </row>
    <row r="6" spans="1:8" s="3" customFormat="1" ht="20.25" x14ac:dyDescent="0.3">
      <c r="A6" s="1"/>
      <c r="B6" s="6" t="s">
        <v>128</v>
      </c>
      <c r="C6" s="1" t="s">
        <v>87</v>
      </c>
      <c r="D6" s="2">
        <f>SUM(D4:D5)</f>
        <v>19.75</v>
      </c>
      <c r="E6" s="1"/>
      <c r="F6" s="1"/>
      <c r="G6" s="1"/>
      <c r="H6" s="1"/>
    </row>
    <row r="7" spans="1:8" x14ac:dyDescent="0.25">
      <c r="B7" s="6" t="s">
        <v>127</v>
      </c>
      <c r="C7" s="1" t="s">
        <v>31</v>
      </c>
      <c r="D7" s="90">
        <f>D6*0.5</f>
        <v>9.875</v>
      </c>
    </row>
    <row r="8" spans="1:8" s="3" customFormat="1" ht="20.25" x14ac:dyDescent="0.3">
      <c r="A8" s="1"/>
      <c r="B8" s="6" t="s">
        <v>128</v>
      </c>
      <c r="C8" s="1" t="s">
        <v>88</v>
      </c>
      <c r="D8" s="91">
        <f>SUM(D6:D7)</f>
        <v>29.625</v>
      </c>
      <c r="E8" s="1"/>
      <c r="F8" s="1"/>
      <c r="G8" s="1"/>
      <c r="H8" s="1"/>
    </row>
    <row r="9" spans="1:8" x14ac:dyDescent="0.25">
      <c r="B9" s="6" t="s">
        <v>127</v>
      </c>
      <c r="C9" s="1" t="s">
        <v>32</v>
      </c>
      <c r="D9" s="91">
        <f>D8*0.5</f>
        <v>14.8125</v>
      </c>
    </row>
    <row r="10" spans="1:8" s="3" customFormat="1" ht="20.25" x14ac:dyDescent="0.3">
      <c r="B10" s="6" t="s">
        <v>128</v>
      </c>
      <c r="C10" s="1" t="s">
        <v>41</v>
      </c>
      <c r="D10" s="8">
        <f>SUM(D8:D9)</f>
        <v>44.4375</v>
      </c>
      <c r="E10" s="1"/>
      <c r="F10" s="1"/>
    </row>
    <row r="11" spans="1:8" x14ac:dyDescent="0.25">
      <c r="B11" s="88"/>
      <c r="C11" s="89"/>
      <c r="D11" s="89"/>
    </row>
    <row r="12" spans="1:8" x14ac:dyDescent="0.25">
      <c r="A12" s="1" t="s">
        <v>91</v>
      </c>
      <c r="B12" s="88"/>
      <c r="C12" s="1" t="s">
        <v>33</v>
      </c>
      <c r="D12" s="2">
        <f>D10-D6</f>
        <v>24.6875</v>
      </c>
    </row>
    <row r="13" spans="1:8" x14ac:dyDescent="0.25">
      <c r="B13" s="88"/>
      <c r="D13" s="89"/>
    </row>
    <row r="14" spans="1:8" x14ac:dyDescent="0.25">
      <c r="B14" s="88"/>
      <c r="C14" s="1" t="s">
        <v>42</v>
      </c>
      <c r="D14" s="10">
        <f>D12/D6</f>
        <v>1.25</v>
      </c>
    </row>
    <row r="15" spans="1:8" x14ac:dyDescent="0.25">
      <c r="B15" s="88"/>
      <c r="C15" s="89"/>
      <c r="D15" s="89"/>
    </row>
    <row r="16" spans="1:8" x14ac:dyDescent="0.25">
      <c r="A16" s="1" t="s">
        <v>92</v>
      </c>
      <c r="B16" s="88"/>
      <c r="C16" s="1" t="s">
        <v>43</v>
      </c>
      <c r="D16" s="2">
        <v>48</v>
      </c>
    </row>
    <row r="17" spans="1:8" x14ac:dyDescent="0.25">
      <c r="B17" s="5" t="s">
        <v>44</v>
      </c>
      <c r="C17" s="1" t="s">
        <v>87</v>
      </c>
      <c r="D17" s="2">
        <f>D6</f>
        <v>19.75</v>
      </c>
    </row>
    <row r="18" spans="1:8" s="3" customFormat="1" ht="20.25" x14ac:dyDescent="0.3">
      <c r="A18" s="1"/>
      <c r="B18" s="6" t="s">
        <v>128</v>
      </c>
      <c r="C18" s="1" t="s">
        <v>94</v>
      </c>
      <c r="D18" s="8">
        <f>D16-D17</f>
        <v>28.25</v>
      </c>
      <c r="E18" s="1"/>
      <c r="F18" s="1"/>
      <c r="G18" s="1"/>
      <c r="H18" s="1"/>
    </row>
    <row r="19" spans="1:8" x14ac:dyDescent="0.25">
      <c r="B19" s="88"/>
      <c r="C19" s="89"/>
      <c r="D19" s="89"/>
    </row>
    <row r="20" spans="1:8" x14ac:dyDescent="0.25">
      <c r="C20" s="1" t="s">
        <v>45</v>
      </c>
      <c r="D20" s="9">
        <f>D18/D17</f>
        <v>1.4303797468354431</v>
      </c>
    </row>
  </sheetData>
  <phoneticPr fontId="1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&amp;A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F30"/>
  <sheetViews>
    <sheetView workbookViewId="0">
      <selection activeCell="B22" sqref="B22"/>
    </sheetView>
  </sheetViews>
  <sheetFormatPr baseColWidth="10" defaultColWidth="10.85546875" defaultRowHeight="15.75" x14ac:dyDescent="0.25"/>
  <cols>
    <col min="1" max="1" width="4.85546875" style="1" customWidth="1"/>
    <col min="2" max="2" width="28.85546875" style="1" bestFit="1" customWidth="1"/>
    <col min="3" max="4" width="12.28515625" style="1" customWidth="1"/>
    <col min="5" max="16384" width="10.85546875" style="1"/>
  </cols>
  <sheetData>
    <row r="1" spans="1:6" x14ac:dyDescent="0.25">
      <c r="A1" s="11" t="s">
        <v>47</v>
      </c>
    </row>
    <row r="3" spans="1:6" x14ac:dyDescent="0.25">
      <c r="B3" s="11" t="s">
        <v>78</v>
      </c>
    </row>
    <row r="4" spans="1:6" x14ac:dyDescent="0.25">
      <c r="B4" s="1" t="s">
        <v>79</v>
      </c>
      <c r="C4" s="18">
        <v>20000</v>
      </c>
    </row>
    <row r="5" spans="1:6" x14ac:dyDescent="0.25">
      <c r="B5" s="1" t="s">
        <v>80</v>
      </c>
      <c r="C5" s="18">
        <v>2000</v>
      </c>
    </row>
    <row r="6" spans="1:6" x14ac:dyDescent="0.25">
      <c r="B6" s="1" t="s">
        <v>81</v>
      </c>
      <c r="C6" s="13">
        <v>0.5</v>
      </c>
    </row>
    <row r="7" spans="1:6" x14ac:dyDescent="0.25">
      <c r="B7" s="1" t="s">
        <v>82</v>
      </c>
      <c r="C7" s="13">
        <v>0.3</v>
      </c>
    </row>
    <row r="8" spans="1:6" x14ac:dyDescent="0.25">
      <c r="B8" s="1" t="s">
        <v>84</v>
      </c>
      <c r="C8" s="12">
        <v>20</v>
      </c>
    </row>
    <row r="9" spans="1:6" x14ac:dyDescent="0.25">
      <c r="B9" s="1" t="s">
        <v>90</v>
      </c>
      <c r="C9" s="13">
        <v>0.25</v>
      </c>
    </row>
    <row r="11" spans="1:6" x14ac:dyDescent="0.25">
      <c r="A11" s="1" t="s">
        <v>83</v>
      </c>
      <c r="B11" s="11" t="s">
        <v>48</v>
      </c>
    </row>
    <row r="12" spans="1:6" x14ac:dyDescent="0.25">
      <c r="C12" s="19" t="s">
        <v>85</v>
      </c>
      <c r="D12" s="19" t="s">
        <v>86</v>
      </c>
    </row>
    <row r="13" spans="1:6" x14ac:dyDescent="0.25">
      <c r="B13" s="1" t="str">
        <f>B4</f>
        <v>Fakturapris</v>
      </c>
      <c r="C13" s="12">
        <f>C4</f>
        <v>20000</v>
      </c>
      <c r="D13" s="12">
        <f>C13/$C$8</f>
        <v>1000</v>
      </c>
    </row>
    <row r="14" spans="1:6" x14ac:dyDescent="0.25">
      <c r="B14" s="1" t="str">
        <f>B5</f>
        <v>Frakt og forsikring</v>
      </c>
      <c r="C14" s="14">
        <f>C5</f>
        <v>2000</v>
      </c>
      <c r="D14" s="14">
        <f t="shared" ref="D14:D21" si="0">C14/$C$8</f>
        <v>100</v>
      </c>
    </row>
    <row r="15" spans="1:6" s="3" customFormat="1" ht="20.25" x14ac:dyDescent="0.3">
      <c r="A15" s="1"/>
      <c r="B15" s="20" t="s">
        <v>87</v>
      </c>
      <c r="C15" s="12">
        <f>SUM(C13:C14)</f>
        <v>22000</v>
      </c>
      <c r="D15" s="12">
        <f t="shared" si="0"/>
        <v>1100</v>
      </c>
      <c r="E15" s="1"/>
      <c r="F15" s="1"/>
    </row>
    <row r="16" spans="1:6" x14ac:dyDescent="0.25">
      <c r="B16" s="20" t="str">
        <f>B6</f>
        <v>Indirekte kostnader</v>
      </c>
      <c r="C16" s="14">
        <f>C15*C6</f>
        <v>11000</v>
      </c>
      <c r="D16" s="14">
        <f t="shared" si="0"/>
        <v>550</v>
      </c>
    </row>
    <row r="17" spans="1:6" s="3" customFormat="1" ht="20.25" x14ac:dyDescent="0.3">
      <c r="A17" s="1" t="s">
        <v>91</v>
      </c>
      <c r="B17" s="20" t="s">
        <v>88</v>
      </c>
      <c r="C17" s="12">
        <f>SUM(C15:C16)</f>
        <v>33000</v>
      </c>
      <c r="D17" s="12">
        <f t="shared" si="0"/>
        <v>1650</v>
      </c>
      <c r="E17" s="1"/>
      <c r="F17" s="1"/>
    </row>
    <row r="18" spans="1:6" x14ac:dyDescent="0.25">
      <c r="B18" s="20" t="str">
        <f>B7</f>
        <v>Fortjeneste</v>
      </c>
      <c r="C18" s="14">
        <f>C17*C7</f>
        <v>9900</v>
      </c>
      <c r="D18" s="14">
        <f t="shared" si="0"/>
        <v>495</v>
      </c>
    </row>
    <row r="19" spans="1:6" s="3" customFormat="1" ht="20.25" x14ac:dyDescent="0.3">
      <c r="A19" s="1"/>
      <c r="B19" s="20" t="s">
        <v>89</v>
      </c>
      <c r="C19" s="12">
        <f>SUM(C17:C18)</f>
        <v>42900</v>
      </c>
      <c r="D19" s="12">
        <f t="shared" si="0"/>
        <v>2145</v>
      </c>
      <c r="E19" s="1"/>
      <c r="F19" s="1"/>
    </row>
    <row r="20" spans="1:6" x14ac:dyDescent="0.25">
      <c r="B20" s="20" t="s">
        <v>34</v>
      </c>
      <c r="C20" s="12">
        <f>C19*C9</f>
        <v>10725</v>
      </c>
      <c r="D20" s="12">
        <f t="shared" si="0"/>
        <v>536.25</v>
      </c>
    </row>
    <row r="21" spans="1:6" s="3" customFormat="1" ht="20.25" x14ac:dyDescent="0.3">
      <c r="A21" s="1" t="s">
        <v>91</v>
      </c>
      <c r="B21" s="20" t="s">
        <v>35</v>
      </c>
      <c r="C21" s="15">
        <f>SUM(C19:C20)</f>
        <v>53625</v>
      </c>
      <c r="D21" s="15">
        <f t="shared" si="0"/>
        <v>2681.25</v>
      </c>
      <c r="E21" s="1"/>
      <c r="F21" s="1"/>
    </row>
    <row r="23" spans="1:6" x14ac:dyDescent="0.25">
      <c r="A23" s="1" t="s">
        <v>92</v>
      </c>
      <c r="B23" s="1" t="s">
        <v>93</v>
      </c>
    </row>
    <row r="25" spans="1:6" x14ac:dyDescent="0.25">
      <c r="B25" s="21" t="s">
        <v>49</v>
      </c>
    </row>
    <row r="26" spans="1:6" x14ac:dyDescent="0.25">
      <c r="B26" s="1" t="str">
        <f>B16</f>
        <v>Indirekte kostnader</v>
      </c>
      <c r="C26" s="17">
        <f>D16</f>
        <v>550</v>
      </c>
    </row>
    <row r="27" spans="1:6" x14ac:dyDescent="0.25">
      <c r="B27" s="1" t="str">
        <f>B18</f>
        <v>Fortjeneste</v>
      </c>
      <c r="C27" s="17">
        <f>D18</f>
        <v>495</v>
      </c>
    </row>
    <row r="28" spans="1:6" s="3" customFormat="1" ht="20.25" x14ac:dyDescent="0.3">
      <c r="A28" s="1"/>
      <c r="B28" s="1" t="s">
        <v>96</v>
      </c>
      <c r="C28" s="23">
        <f>SUM(C26:C27)</f>
        <v>1045</v>
      </c>
      <c r="D28" s="1"/>
      <c r="E28" s="1"/>
      <c r="F28" s="1"/>
    </row>
    <row r="30" spans="1:6" x14ac:dyDescent="0.25">
      <c r="B30" s="1" t="s">
        <v>50</v>
      </c>
      <c r="C30" s="9">
        <f>C28/D15</f>
        <v>0.95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F39"/>
  <sheetViews>
    <sheetView workbookViewId="0">
      <selection activeCell="B28" sqref="B28"/>
    </sheetView>
  </sheetViews>
  <sheetFormatPr baseColWidth="10" defaultColWidth="10.85546875" defaultRowHeight="15.75" x14ac:dyDescent="0.25"/>
  <cols>
    <col min="1" max="1" width="3.42578125" style="1" customWidth="1"/>
    <col min="2" max="2" width="25.85546875" style="1" bestFit="1" customWidth="1"/>
    <col min="3" max="4" width="12.28515625" style="1" customWidth="1"/>
    <col min="5" max="16384" width="10.85546875" style="1"/>
  </cols>
  <sheetData>
    <row r="1" spans="1:4" x14ac:dyDescent="0.25">
      <c r="A1" s="11" t="s">
        <v>51</v>
      </c>
    </row>
    <row r="2" spans="1:4" x14ac:dyDescent="0.25">
      <c r="A2" s="11"/>
    </row>
    <row r="3" spans="1:4" x14ac:dyDescent="0.25">
      <c r="A3" s="11"/>
      <c r="B3" s="1" t="s">
        <v>53</v>
      </c>
    </row>
    <row r="4" spans="1:4" x14ac:dyDescent="0.25">
      <c r="A4" s="11"/>
      <c r="B4" s="1" t="s">
        <v>54</v>
      </c>
      <c r="D4" s="17">
        <f>2500*9.5</f>
        <v>23750</v>
      </c>
    </row>
    <row r="5" spans="1:4" x14ac:dyDescent="0.25">
      <c r="A5" s="11"/>
      <c r="D5" s="17"/>
    </row>
    <row r="6" spans="1:4" x14ac:dyDescent="0.25">
      <c r="A6" s="11"/>
      <c r="B6" s="1" t="s">
        <v>55</v>
      </c>
      <c r="D6" s="17"/>
    </row>
    <row r="7" spans="1:4" x14ac:dyDescent="0.25">
      <c r="A7" s="11"/>
      <c r="B7" s="1" t="s">
        <v>36</v>
      </c>
      <c r="D7" s="17">
        <f>2000*9.5/8</f>
        <v>2375</v>
      </c>
    </row>
    <row r="9" spans="1:4" x14ac:dyDescent="0.25">
      <c r="B9" s="11" t="s">
        <v>78</v>
      </c>
    </row>
    <row r="10" spans="1:4" x14ac:dyDescent="0.25">
      <c r="B10" s="1" t="s">
        <v>52</v>
      </c>
      <c r="C10" s="28">
        <f>D4</f>
        <v>23750</v>
      </c>
      <c r="D10" s="16"/>
    </row>
    <row r="11" spans="1:4" x14ac:dyDescent="0.25">
      <c r="B11" s="1" t="s">
        <v>80</v>
      </c>
      <c r="C11" s="18">
        <f>D7</f>
        <v>2375</v>
      </c>
      <c r="D11" s="16"/>
    </row>
    <row r="12" spans="1:4" x14ac:dyDescent="0.25">
      <c r="B12" s="1" t="s">
        <v>81</v>
      </c>
      <c r="C12" s="13">
        <v>0.5</v>
      </c>
    </row>
    <row r="13" spans="1:4" x14ac:dyDescent="0.25">
      <c r="B13" s="1" t="s">
        <v>82</v>
      </c>
      <c r="C13" s="13">
        <v>0.3</v>
      </c>
    </row>
    <row r="14" spans="1:4" x14ac:dyDescent="0.25">
      <c r="B14" s="1" t="s">
        <v>84</v>
      </c>
      <c r="C14" s="18">
        <v>20</v>
      </c>
    </row>
    <row r="15" spans="1:4" x14ac:dyDescent="0.25">
      <c r="B15" s="1" t="s">
        <v>90</v>
      </c>
      <c r="C15" s="13">
        <v>0.25</v>
      </c>
    </row>
    <row r="17" spans="1:6" x14ac:dyDescent="0.25">
      <c r="B17" s="11" t="s">
        <v>48</v>
      </c>
    </row>
    <row r="18" spans="1:6" x14ac:dyDescent="0.25">
      <c r="C18" s="19" t="s">
        <v>85</v>
      </c>
      <c r="D18" s="19" t="s">
        <v>86</v>
      </c>
    </row>
    <row r="19" spans="1:6" x14ac:dyDescent="0.25">
      <c r="B19" s="1" t="str">
        <f>B10</f>
        <v>Innkjøpspris</v>
      </c>
      <c r="C19" s="12">
        <f>C10</f>
        <v>23750</v>
      </c>
      <c r="D19" s="12">
        <f t="shared" ref="D19:D27" si="0">C19/$C$14</f>
        <v>1187.5</v>
      </c>
    </row>
    <row r="20" spans="1:6" x14ac:dyDescent="0.25">
      <c r="B20" s="1" t="str">
        <f>B11</f>
        <v>Frakt og forsikring</v>
      </c>
      <c r="C20" s="14">
        <f>C11</f>
        <v>2375</v>
      </c>
      <c r="D20" s="14">
        <f t="shared" si="0"/>
        <v>118.75</v>
      </c>
    </row>
    <row r="21" spans="1:6" s="3" customFormat="1" ht="20.25" x14ac:dyDescent="0.3">
      <c r="A21" s="1"/>
      <c r="B21" s="20" t="s">
        <v>87</v>
      </c>
      <c r="C21" s="12">
        <f>SUM(C19:C20)</f>
        <v>26125</v>
      </c>
      <c r="D21" s="12">
        <f t="shared" si="0"/>
        <v>1306.25</v>
      </c>
      <c r="E21" s="1"/>
      <c r="F21" s="1"/>
    </row>
    <row r="22" spans="1:6" x14ac:dyDescent="0.25">
      <c r="B22" s="20" t="str">
        <f>B12</f>
        <v>Indirekte kostnader</v>
      </c>
      <c r="C22" s="14">
        <f>C21*C12</f>
        <v>13062.5</v>
      </c>
      <c r="D22" s="14">
        <f t="shared" si="0"/>
        <v>653.125</v>
      </c>
    </row>
    <row r="23" spans="1:6" s="3" customFormat="1" ht="20.25" x14ac:dyDescent="0.3">
      <c r="A23" s="1"/>
      <c r="B23" s="20" t="s">
        <v>88</v>
      </c>
      <c r="C23" s="12">
        <f>SUM(C21:C22)</f>
        <v>39187.5</v>
      </c>
      <c r="D23" s="12">
        <f t="shared" si="0"/>
        <v>1959.375</v>
      </c>
      <c r="E23" s="1"/>
      <c r="F23" s="1"/>
    </row>
    <row r="24" spans="1:6" x14ac:dyDescent="0.25">
      <c r="B24" s="20" t="str">
        <f>B13</f>
        <v>Fortjeneste</v>
      </c>
      <c r="C24" s="14">
        <f>C23*C13</f>
        <v>11756.25</v>
      </c>
      <c r="D24" s="14">
        <f t="shared" si="0"/>
        <v>587.8125</v>
      </c>
    </row>
    <row r="25" spans="1:6" s="3" customFormat="1" ht="20.25" x14ac:dyDescent="0.3">
      <c r="A25" s="1"/>
      <c r="B25" s="20" t="s">
        <v>89</v>
      </c>
      <c r="C25" s="12">
        <f>SUM(C23:C24)</f>
        <v>50943.75</v>
      </c>
      <c r="D25" s="12">
        <f t="shared" si="0"/>
        <v>2547.1875</v>
      </c>
      <c r="E25" s="1"/>
      <c r="F25" s="1"/>
    </row>
    <row r="26" spans="1:6" x14ac:dyDescent="0.25">
      <c r="B26" s="20" t="s">
        <v>34</v>
      </c>
      <c r="C26" s="12">
        <f>C25*C15</f>
        <v>12735.9375</v>
      </c>
      <c r="D26" s="12">
        <f t="shared" si="0"/>
        <v>636.796875</v>
      </c>
    </row>
    <row r="27" spans="1:6" s="3" customFormat="1" ht="20.25" x14ac:dyDescent="0.3">
      <c r="A27" s="1" t="s">
        <v>83</v>
      </c>
      <c r="B27" s="20" t="s">
        <v>35</v>
      </c>
      <c r="C27" s="15">
        <f>SUM(C25:C26)</f>
        <v>63679.6875</v>
      </c>
      <c r="D27" s="15">
        <f t="shared" si="0"/>
        <v>3183.984375</v>
      </c>
      <c r="E27" s="1"/>
      <c r="F27" s="1"/>
    </row>
    <row r="29" spans="1:6" x14ac:dyDescent="0.25">
      <c r="A29" s="1" t="s">
        <v>91</v>
      </c>
      <c r="B29" s="1" t="s">
        <v>89</v>
      </c>
      <c r="D29" s="24">
        <f>'2.2'!D19</f>
        <v>2145</v>
      </c>
    </row>
    <row r="30" spans="1:6" x14ac:dyDescent="0.25">
      <c r="B30" s="1" t="s">
        <v>97</v>
      </c>
      <c r="D30" s="25">
        <f>D23</f>
        <v>1959.375</v>
      </c>
    </row>
    <row r="31" spans="1:6" x14ac:dyDescent="0.25">
      <c r="B31" s="16" t="str">
        <f>B24</f>
        <v>Fortjeneste</v>
      </c>
      <c r="D31" s="26">
        <f>D29-D30</f>
        <v>185.625</v>
      </c>
    </row>
    <row r="33" spans="1:5" x14ac:dyDescent="0.25">
      <c r="B33" s="1" t="s">
        <v>98</v>
      </c>
      <c r="D33" s="29">
        <f>D31/D23</f>
        <v>9.4736842105263161E-2</v>
      </c>
    </row>
    <row r="35" spans="1:5" x14ac:dyDescent="0.25">
      <c r="A35" s="1" t="s">
        <v>92</v>
      </c>
      <c r="B35" s="1" t="str">
        <f>B22</f>
        <v>Indirekte kostnader</v>
      </c>
      <c r="D35" s="25">
        <f>D22</f>
        <v>653.125</v>
      </c>
    </row>
    <row r="36" spans="1:5" x14ac:dyDescent="0.25">
      <c r="B36" s="1" t="str">
        <f>B31</f>
        <v>Fortjeneste</v>
      </c>
      <c r="D36" s="27">
        <f>D31</f>
        <v>185.625</v>
      </c>
    </row>
    <row r="37" spans="1:5" s="3" customFormat="1" ht="20.25" x14ac:dyDescent="0.3">
      <c r="A37" s="1"/>
      <c r="B37" s="1" t="s">
        <v>94</v>
      </c>
      <c r="C37" s="1"/>
      <c r="D37" s="30">
        <f>SUM(D35:D36)</f>
        <v>838.75</v>
      </c>
      <c r="E37" s="1"/>
    </row>
    <row r="39" spans="1:5" x14ac:dyDescent="0.25">
      <c r="B39" s="1" t="s">
        <v>50</v>
      </c>
      <c r="D39" s="29">
        <f>D37/D21</f>
        <v>0.64210526315789473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G81"/>
  <sheetViews>
    <sheetView workbookViewId="0">
      <selection activeCell="C31" sqref="C31"/>
    </sheetView>
  </sheetViews>
  <sheetFormatPr baseColWidth="10" defaultColWidth="10.85546875" defaultRowHeight="15.75" x14ac:dyDescent="0.25"/>
  <cols>
    <col min="1" max="1" width="4.85546875" style="1" customWidth="1"/>
    <col min="2" max="2" width="28.140625" style="1" customWidth="1"/>
    <col min="3" max="3" width="12.7109375" style="1" customWidth="1"/>
    <col min="4" max="4" width="12.42578125" style="1" customWidth="1"/>
    <col min="5" max="5" width="12.7109375" style="1" customWidth="1"/>
    <col min="6" max="6" width="14.42578125" style="1" customWidth="1"/>
    <col min="7" max="16384" width="10.85546875" style="1"/>
  </cols>
  <sheetData>
    <row r="1" spans="1:2" x14ac:dyDescent="0.25">
      <c r="A1" s="21" t="s">
        <v>56</v>
      </c>
    </row>
    <row r="2" spans="1:2" x14ac:dyDescent="0.25">
      <c r="A2" s="11"/>
    </row>
    <row r="3" spans="1:2" x14ac:dyDescent="0.25">
      <c r="A3" s="1" t="s">
        <v>83</v>
      </c>
      <c r="B3" s="1" t="s">
        <v>131</v>
      </c>
    </row>
    <row r="4" spans="1:2" x14ac:dyDescent="0.25">
      <c r="A4" s="11"/>
      <c r="B4" s="1" t="s">
        <v>37</v>
      </c>
    </row>
    <row r="5" spans="1:2" x14ac:dyDescent="0.25">
      <c r="A5" s="11"/>
      <c r="B5" s="1" t="s">
        <v>38</v>
      </c>
    </row>
    <row r="6" spans="1:2" x14ac:dyDescent="0.25">
      <c r="A6" s="11"/>
    </row>
    <row r="7" spans="1:2" x14ac:dyDescent="0.25">
      <c r="A7" s="1" t="s">
        <v>91</v>
      </c>
      <c r="B7" s="1" t="s">
        <v>2</v>
      </c>
    </row>
    <row r="8" spans="1:2" x14ac:dyDescent="0.25">
      <c r="A8" s="11"/>
      <c r="B8" s="1" t="s">
        <v>39</v>
      </c>
    </row>
    <row r="9" spans="1:2" x14ac:dyDescent="0.25">
      <c r="A9" s="11"/>
      <c r="B9" s="1" t="s">
        <v>132</v>
      </c>
    </row>
    <row r="10" spans="1:2" x14ac:dyDescent="0.25">
      <c r="A10" s="11"/>
    </row>
    <row r="11" spans="1:2" x14ac:dyDescent="0.25">
      <c r="A11" s="11"/>
      <c r="B11" s="1" t="s">
        <v>3</v>
      </c>
    </row>
    <row r="12" spans="1:2" x14ac:dyDescent="0.25">
      <c r="A12" s="11"/>
      <c r="B12" s="1" t="s">
        <v>133</v>
      </c>
    </row>
    <row r="13" spans="1:2" x14ac:dyDescent="0.25">
      <c r="A13" s="11"/>
    </row>
    <row r="14" spans="1:2" x14ac:dyDescent="0.25">
      <c r="A14" s="11"/>
      <c r="B14" s="1" t="s">
        <v>4</v>
      </c>
    </row>
    <row r="15" spans="1:2" x14ac:dyDescent="0.25">
      <c r="A15" s="11"/>
      <c r="B15" s="1" t="s">
        <v>57</v>
      </c>
    </row>
    <row r="16" spans="1:2" x14ac:dyDescent="0.25">
      <c r="A16" s="11"/>
      <c r="B16" s="1" t="s">
        <v>5</v>
      </c>
    </row>
    <row r="17" spans="1:6" x14ac:dyDescent="0.25">
      <c r="A17" s="11"/>
    </row>
    <row r="18" spans="1:6" x14ac:dyDescent="0.25">
      <c r="B18" s="45"/>
      <c r="C18" s="31" t="s">
        <v>99</v>
      </c>
      <c r="D18" s="31"/>
      <c r="E18" s="31"/>
      <c r="F18" s="31"/>
    </row>
    <row r="19" spans="1:6" x14ac:dyDescent="0.25">
      <c r="B19" s="41"/>
      <c r="C19" s="32" t="s">
        <v>100</v>
      </c>
      <c r="D19" s="33" t="s">
        <v>134</v>
      </c>
      <c r="E19" s="33" t="s">
        <v>135</v>
      </c>
      <c r="F19" s="33" t="s">
        <v>136</v>
      </c>
    </row>
    <row r="20" spans="1:6" x14ac:dyDescent="0.25">
      <c r="B20" s="34" t="s">
        <v>101</v>
      </c>
      <c r="C20" s="35"/>
      <c r="D20" s="36"/>
      <c r="E20" s="36"/>
      <c r="F20" s="36"/>
    </row>
    <row r="21" spans="1:6" x14ac:dyDescent="0.25">
      <c r="B21" s="37" t="s">
        <v>102</v>
      </c>
      <c r="C21" s="38">
        <f>SUM(D21:F21)</f>
        <v>2000000</v>
      </c>
      <c r="D21" s="39">
        <v>500000</v>
      </c>
      <c r="E21" s="39">
        <v>1000000</v>
      </c>
      <c r="F21" s="39">
        <v>500000</v>
      </c>
    </row>
    <row r="22" spans="1:6" x14ac:dyDescent="0.25">
      <c r="B22" s="37"/>
      <c r="C22" s="38"/>
      <c r="D22" s="39"/>
      <c r="E22" s="39"/>
      <c r="F22" s="39"/>
    </row>
    <row r="23" spans="1:6" x14ac:dyDescent="0.25">
      <c r="B23" s="40" t="s">
        <v>103</v>
      </c>
      <c r="C23" s="38"/>
      <c r="D23" s="39"/>
      <c r="E23" s="39"/>
      <c r="F23" s="39"/>
    </row>
    <row r="24" spans="1:6" x14ac:dyDescent="0.25">
      <c r="B24" s="37" t="s">
        <v>137</v>
      </c>
      <c r="C24" s="42">
        <f>SUM(D24:F24)</f>
        <v>1250000</v>
      </c>
      <c r="D24" s="43">
        <v>300000</v>
      </c>
      <c r="E24" s="43">
        <v>650000</v>
      </c>
      <c r="F24" s="43">
        <v>300000</v>
      </c>
    </row>
    <row r="25" spans="1:6" s="3" customFormat="1" ht="20.25" x14ac:dyDescent="0.3">
      <c r="A25" s="1"/>
      <c r="B25" s="37" t="s">
        <v>138</v>
      </c>
      <c r="C25" s="50">
        <f>SUM(D25:F25)</f>
        <v>750000</v>
      </c>
      <c r="D25" s="50">
        <f>D21-D24</f>
        <v>200000</v>
      </c>
      <c r="E25" s="50">
        <f>E21-E24</f>
        <v>350000</v>
      </c>
      <c r="F25" s="50">
        <f>F21-F24</f>
        <v>200000</v>
      </c>
    </row>
    <row r="26" spans="1:6" x14ac:dyDescent="0.25">
      <c r="B26" s="51"/>
      <c r="C26" s="36"/>
      <c r="D26" s="39"/>
      <c r="E26" s="39"/>
      <c r="F26" s="39"/>
    </row>
    <row r="27" spans="1:6" x14ac:dyDescent="0.25">
      <c r="B27" s="40" t="s">
        <v>104</v>
      </c>
      <c r="C27" s="38"/>
      <c r="D27" s="39"/>
      <c r="E27" s="39"/>
      <c r="F27" s="39"/>
    </row>
    <row r="28" spans="1:6" x14ac:dyDescent="0.25">
      <c r="B28" s="37" t="s">
        <v>105</v>
      </c>
      <c r="C28" s="38">
        <v>300000</v>
      </c>
      <c r="D28" s="39">
        <v>60000</v>
      </c>
      <c r="E28" s="39">
        <v>180000</v>
      </c>
      <c r="F28" s="39">
        <v>60000</v>
      </c>
    </row>
    <row r="29" spans="1:6" x14ac:dyDescent="0.25">
      <c r="B29" s="37" t="s">
        <v>106</v>
      </c>
      <c r="C29" s="38">
        <v>30000</v>
      </c>
      <c r="D29" s="39">
        <f>C29*1/3</f>
        <v>10000</v>
      </c>
      <c r="E29" s="39">
        <f>C29*1/3</f>
        <v>10000</v>
      </c>
      <c r="F29" s="39">
        <f>C29*1/3</f>
        <v>10000</v>
      </c>
    </row>
    <row r="30" spans="1:6" x14ac:dyDescent="0.25">
      <c r="B30" s="37" t="s">
        <v>6</v>
      </c>
      <c r="C30" s="38">
        <v>60000</v>
      </c>
      <c r="D30" s="39">
        <f>$C$30*D21/$C$21</f>
        <v>15000</v>
      </c>
      <c r="E30" s="39">
        <v>20000</v>
      </c>
      <c r="F30" s="39">
        <f>$C$30*F21/$C$21</f>
        <v>15000</v>
      </c>
    </row>
    <row r="31" spans="1:6" x14ac:dyDescent="0.25">
      <c r="B31" s="37" t="s">
        <v>7</v>
      </c>
      <c r="C31" s="43">
        <v>130000</v>
      </c>
      <c r="D31" s="43">
        <f>$C$31*D21/$C$21</f>
        <v>32500</v>
      </c>
      <c r="E31" s="43">
        <f>$C$31*E21/$C$21</f>
        <v>65000</v>
      </c>
      <c r="F31" s="43">
        <f>$C$31*F21/$C$21</f>
        <v>32500</v>
      </c>
    </row>
    <row r="32" spans="1:6" s="3" customFormat="1" ht="20.25" x14ac:dyDescent="0.3">
      <c r="A32" s="1"/>
      <c r="B32" s="37" t="s">
        <v>113</v>
      </c>
      <c r="C32" s="50">
        <f>SUM(C28:C31)</f>
        <v>520000</v>
      </c>
      <c r="D32" s="50">
        <f>SUM(D28:D31)</f>
        <v>117500</v>
      </c>
      <c r="E32" s="50">
        <f>SUM(E28:E31)</f>
        <v>275000</v>
      </c>
      <c r="F32" s="50">
        <f>SUM(F28:F31)</f>
        <v>117500</v>
      </c>
    </row>
    <row r="33" spans="1:6" x14ac:dyDescent="0.25">
      <c r="B33" s="37"/>
      <c r="C33" s="38"/>
      <c r="D33" s="39"/>
      <c r="E33" s="39"/>
      <c r="F33" s="39"/>
    </row>
    <row r="34" spans="1:6" x14ac:dyDescent="0.25">
      <c r="B34" s="37" t="s">
        <v>88</v>
      </c>
      <c r="C34" s="42">
        <f>C32+C24</f>
        <v>1770000</v>
      </c>
      <c r="D34" s="43">
        <f>D32+D24</f>
        <v>417500</v>
      </c>
      <c r="E34" s="43">
        <f>E32+E24</f>
        <v>925000</v>
      </c>
      <c r="F34" s="43">
        <f>F32+F24</f>
        <v>417500</v>
      </c>
    </row>
    <row r="35" spans="1:6" s="3" customFormat="1" ht="20.25" x14ac:dyDescent="0.3">
      <c r="A35" s="1"/>
      <c r="B35" s="37" t="s">
        <v>139</v>
      </c>
      <c r="C35" s="42">
        <f>C21-C34</f>
        <v>230000</v>
      </c>
      <c r="D35" s="43">
        <f>D21-D34</f>
        <v>82500</v>
      </c>
      <c r="E35" s="43">
        <f>E21-E34</f>
        <v>75000</v>
      </c>
      <c r="F35" s="43">
        <f>F21-F34</f>
        <v>82500</v>
      </c>
    </row>
    <row r="36" spans="1:6" x14ac:dyDescent="0.25">
      <c r="B36" s="37"/>
      <c r="C36" s="46"/>
      <c r="D36" s="46"/>
      <c r="E36" s="46"/>
      <c r="F36" s="46"/>
    </row>
    <row r="37" spans="1:6" x14ac:dyDescent="0.25">
      <c r="B37" s="37" t="s">
        <v>94</v>
      </c>
      <c r="C37" s="52">
        <f>C25/C24</f>
        <v>0.6</v>
      </c>
      <c r="D37" s="52">
        <f>D25/D24</f>
        <v>0.66666666666666663</v>
      </c>
      <c r="E37" s="52">
        <f>E25/E24</f>
        <v>0.53846153846153844</v>
      </c>
      <c r="F37" s="52">
        <f>F25/F24</f>
        <v>0.66666666666666663</v>
      </c>
    </row>
    <row r="38" spans="1:6" x14ac:dyDescent="0.25">
      <c r="B38" s="37" t="s">
        <v>138</v>
      </c>
      <c r="C38" s="52">
        <f>C25/C21</f>
        <v>0.375</v>
      </c>
      <c r="D38" s="52">
        <f>D25/D21</f>
        <v>0.4</v>
      </c>
      <c r="E38" s="52">
        <f>E25/E21</f>
        <v>0.35</v>
      </c>
      <c r="F38" s="52">
        <f>F25/F21</f>
        <v>0.4</v>
      </c>
    </row>
    <row r="39" spans="1:6" x14ac:dyDescent="0.25">
      <c r="B39" s="37" t="s">
        <v>58</v>
      </c>
      <c r="C39" s="52">
        <f>C32/C24</f>
        <v>0.41599999999999998</v>
      </c>
      <c r="D39" s="52">
        <f>D32/D24</f>
        <v>0.39166666666666666</v>
      </c>
      <c r="E39" s="52">
        <f>E32/E24</f>
        <v>0.42307692307692307</v>
      </c>
      <c r="F39" s="52">
        <f>F32/F24</f>
        <v>0.39166666666666666</v>
      </c>
    </row>
    <row r="40" spans="1:6" x14ac:dyDescent="0.25">
      <c r="B40" s="41" t="s">
        <v>114</v>
      </c>
      <c r="C40" s="52">
        <f>C35/C34</f>
        <v>0.12994350282485875</v>
      </c>
      <c r="D40" s="52">
        <f>D35/D34</f>
        <v>0.19760479041916168</v>
      </c>
      <c r="E40" s="52">
        <f>E35/E34</f>
        <v>8.1081081081081086E-2</v>
      </c>
      <c r="F40" s="52">
        <f>F35/F34</f>
        <v>0.19760479041916168</v>
      </c>
    </row>
    <row r="48" spans="1:6" x14ac:dyDescent="0.25">
      <c r="B48" s="16"/>
    </row>
    <row r="49" spans="1:6" x14ac:dyDescent="0.25">
      <c r="A49" s="1" t="s">
        <v>92</v>
      </c>
      <c r="B49" s="1" t="s">
        <v>140</v>
      </c>
    </row>
    <row r="50" spans="1:6" x14ac:dyDescent="0.25">
      <c r="C50" s="5" t="s">
        <v>141</v>
      </c>
      <c r="D50" s="5" t="s">
        <v>142</v>
      </c>
      <c r="E50" s="5" t="s">
        <v>143</v>
      </c>
    </row>
    <row r="51" spans="1:6" x14ac:dyDescent="0.25">
      <c r="B51" s="1" t="str">
        <f>B21</f>
        <v>Varesalg</v>
      </c>
      <c r="C51" s="17">
        <v>1100000</v>
      </c>
      <c r="D51" s="17">
        <f>E21</f>
        <v>1000000</v>
      </c>
      <c r="E51" s="17">
        <f>D51-C51</f>
        <v>-100000</v>
      </c>
    </row>
    <row r="52" spans="1:6" x14ac:dyDescent="0.25">
      <c r="B52" s="1" t="str">
        <f>B24</f>
        <v>Varekostnad</v>
      </c>
      <c r="C52" s="17">
        <v>600000</v>
      </c>
      <c r="D52" s="17">
        <f>E24</f>
        <v>650000</v>
      </c>
      <c r="E52" s="17">
        <f>C52-D52</f>
        <v>-50000</v>
      </c>
    </row>
    <row r="53" spans="1:6" s="3" customFormat="1" ht="20.25" x14ac:dyDescent="0.3">
      <c r="A53" s="1"/>
      <c r="B53" s="1" t="s">
        <v>138</v>
      </c>
      <c r="C53" s="23">
        <f>C51-C52</f>
        <v>500000</v>
      </c>
      <c r="D53" s="23">
        <f>D51-D52</f>
        <v>350000</v>
      </c>
      <c r="E53" s="23">
        <f>D53-C53</f>
        <v>-150000</v>
      </c>
      <c r="F53" s="1"/>
    </row>
    <row r="55" spans="1:6" x14ac:dyDescent="0.25">
      <c r="B55" s="1" t="s">
        <v>144</v>
      </c>
      <c r="C55" s="47">
        <f>C53/C51</f>
        <v>0.45454545454545453</v>
      </c>
      <c r="D55" s="47">
        <f>D53/D51</f>
        <v>0.35</v>
      </c>
    </row>
    <row r="56" spans="1:6" x14ac:dyDescent="0.25">
      <c r="B56" s="1" t="s">
        <v>145</v>
      </c>
      <c r="C56" s="47">
        <f>C53/C52</f>
        <v>0.83333333333333337</v>
      </c>
      <c r="D56" s="47">
        <f>D53/D52</f>
        <v>0.53846153846153844</v>
      </c>
    </row>
    <row r="57" spans="1:6" x14ac:dyDescent="0.25">
      <c r="C57" s="47"/>
      <c r="D57" s="47"/>
    </row>
    <row r="58" spans="1:6" x14ac:dyDescent="0.25">
      <c r="B58" s="1" t="s">
        <v>8</v>
      </c>
      <c r="C58" s="47"/>
      <c r="D58" s="47"/>
    </row>
    <row r="59" spans="1:6" x14ac:dyDescent="0.25">
      <c r="B59" s="1" t="s">
        <v>10</v>
      </c>
      <c r="C59" s="47"/>
      <c r="D59" s="47"/>
    </row>
    <row r="60" spans="1:6" x14ac:dyDescent="0.25">
      <c r="B60" s="1" t="s">
        <v>59</v>
      </c>
      <c r="C60" s="47"/>
      <c r="D60" s="47"/>
    </row>
    <row r="61" spans="1:6" x14ac:dyDescent="0.25">
      <c r="B61" s="1" t="s">
        <v>9</v>
      </c>
      <c r="C61" s="47"/>
      <c r="D61" s="47"/>
    </row>
    <row r="63" spans="1:6" x14ac:dyDescent="0.25">
      <c r="A63" s="1" t="s">
        <v>123</v>
      </c>
      <c r="B63" s="1" t="s">
        <v>60</v>
      </c>
      <c r="D63" s="48">
        <f>C56</f>
        <v>0.83333333333333337</v>
      </c>
    </row>
    <row r="64" spans="1:6" x14ac:dyDescent="0.25">
      <c r="B64" s="1" t="s">
        <v>146</v>
      </c>
      <c r="D64" s="17">
        <f>D51</f>
        <v>1000000</v>
      </c>
    </row>
    <row r="65" spans="1:7" x14ac:dyDescent="0.25">
      <c r="B65" s="1" t="s">
        <v>147</v>
      </c>
      <c r="D65" s="17">
        <f>D64/(1+D63)</f>
        <v>545454.54545454541</v>
      </c>
    </row>
    <row r="67" spans="1:7" x14ac:dyDescent="0.25">
      <c r="B67" s="20" t="s">
        <v>148</v>
      </c>
      <c r="C67" s="20"/>
      <c r="D67" s="17">
        <f>D52</f>
        <v>650000</v>
      </c>
    </row>
    <row r="68" spans="1:7" x14ac:dyDescent="0.25">
      <c r="B68" s="53" t="str">
        <f>B65</f>
        <v>Varekostnad med gitt avanse:</v>
      </c>
      <c r="C68" s="20"/>
      <c r="D68" s="49">
        <f>D65</f>
        <v>545454.54545454541</v>
      </c>
    </row>
    <row r="69" spans="1:7" s="3" customFormat="1" ht="20.25" x14ac:dyDescent="0.3">
      <c r="A69" s="1"/>
      <c r="B69" s="53" t="s">
        <v>149</v>
      </c>
      <c r="C69" s="20"/>
      <c r="D69" s="49">
        <f>D68-D67</f>
        <v>-104545.45454545459</v>
      </c>
      <c r="E69" s="1"/>
      <c r="F69" s="1"/>
    </row>
    <row r="71" spans="1:7" x14ac:dyDescent="0.25">
      <c r="A71" s="1" t="s">
        <v>124</v>
      </c>
      <c r="B71" s="1" t="str">
        <f>B64</f>
        <v>Virkelig salgsinntekt:</v>
      </c>
      <c r="D71" s="17">
        <f>D64</f>
        <v>1000000</v>
      </c>
    </row>
    <row r="72" spans="1:7" x14ac:dyDescent="0.25">
      <c r="B72" s="53" t="s">
        <v>11</v>
      </c>
      <c r="C72" s="20"/>
      <c r="D72" s="49">
        <v>50000</v>
      </c>
    </row>
    <row r="73" spans="1:7" x14ac:dyDescent="0.25">
      <c r="B73" s="20" t="s">
        <v>150</v>
      </c>
      <c r="C73" s="20"/>
      <c r="D73" s="17">
        <f>SUM(D71:D72)</f>
        <v>1050000</v>
      </c>
    </row>
    <row r="74" spans="1:7" x14ac:dyDescent="0.25">
      <c r="B74" s="20" t="str">
        <f>B68</f>
        <v>Varekostnad med gitt avanse:</v>
      </c>
      <c r="C74" s="20"/>
      <c r="D74" s="17">
        <f>D73/(1+D63)</f>
        <v>572727.27272727271</v>
      </c>
    </row>
    <row r="75" spans="1:7" x14ac:dyDescent="0.25">
      <c r="B75" s="20"/>
      <c r="C75" s="20"/>
    </row>
    <row r="76" spans="1:7" x14ac:dyDescent="0.25">
      <c r="B76" s="20" t="str">
        <f>B67</f>
        <v>Varekostnad i regnskapet:</v>
      </c>
      <c r="C76" s="20"/>
      <c r="D76" s="17">
        <f>D67</f>
        <v>650000</v>
      </c>
    </row>
    <row r="77" spans="1:7" x14ac:dyDescent="0.25">
      <c r="B77" s="53" t="str">
        <f>B68</f>
        <v>Varekostnad med gitt avanse:</v>
      </c>
      <c r="C77" s="20"/>
      <c r="D77" s="49">
        <f>D74</f>
        <v>572727.27272727271</v>
      </c>
    </row>
    <row r="78" spans="1:7" s="3" customFormat="1" ht="20.25" x14ac:dyDescent="0.3">
      <c r="A78" s="1"/>
      <c r="B78" s="53" t="str">
        <f>B69</f>
        <v>Differanse:</v>
      </c>
      <c r="C78" s="20"/>
      <c r="D78" s="49">
        <f>D77-D76</f>
        <v>-77272.727272727294</v>
      </c>
      <c r="E78" s="1"/>
      <c r="F78" s="1"/>
      <c r="G78" s="1"/>
    </row>
    <row r="80" spans="1:7" x14ac:dyDescent="0.25">
      <c r="B80" s="1" t="s">
        <v>12</v>
      </c>
    </row>
    <row r="81" spans="2:2" x14ac:dyDescent="0.25">
      <c r="B81" s="1" t="s">
        <v>61</v>
      </c>
    </row>
  </sheetData>
  <phoneticPr fontId="10" type="noConversion"/>
  <pageMargins left="0.59055118110236227" right="0.59055118110236227" top="0.98425196850393704" bottom="0.98425196850393704" header="0.51181102362204722" footer="0.51181102362204722"/>
  <pageSetup paperSize="9" scale="95" fitToHeight="0" orientation="portrait" r:id="rId1"/>
  <headerFooter alignWithMargins="0">
    <oddHeader>&amp;A&amp;RSide &amp;P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G37"/>
  <sheetViews>
    <sheetView topLeftCell="A16" workbookViewId="0">
      <selection activeCell="C22" sqref="C22"/>
    </sheetView>
  </sheetViews>
  <sheetFormatPr baseColWidth="10" defaultColWidth="10.85546875" defaultRowHeight="15.75" x14ac:dyDescent="0.25"/>
  <cols>
    <col min="1" max="1" width="3.140625" style="1" customWidth="1"/>
    <col min="2" max="2" width="28.140625" style="1" customWidth="1"/>
    <col min="3" max="6" width="12.28515625" style="1" customWidth="1"/>
    <col min="7" max="9" width="10.85546875" style="1"/>
    <col min="10" max="10" width="14.42578125" style="1" bestFit="1" customWidth="1"/>
    <col min="11" max="16384" width="10.85546875" style="1"/>
  </cols>
  <sheetData>
    <row r="1" spans="1:7" x14ac:dyDescent="0.25">
      <c r="A1" s="11" t="s">
        <v>62</v>
      </c>
    </row>
    <row r="2" spans="1:7" x14ac:dyDescent="0.25">
      <c r="A2" s="11"/>
    </row>
    <row r="3" spans="1:7" x14ac:dyDescent="0.25">
      <c r="B3" s="45"/>
      <c r="C3" s="31" t="s">
        <v>99</v>
      </c>
      <c r="D3" s="31"/>
      <c r="E3" s="31"/>
      <c r="F3" s="31"/>
    </row>
    <row r="4" spans="1:7" x14ac:dyDescent="0.25">
      <c r="B4" s="41"/>
      <c r="C4" s="32" t="s">
        <v>100</v>
      </c>
      <c r="D4" s="32" t="s">
        <v>117</v>
      </c>
      <c r="E4" s="32" t="s">
        <v>118</v>
      </c>
      <c r="F4" s="33" t="s">
        <v>119</v>
      </c>
    </row>
    <row r="5" spans="1:7" x14ac:dyDescent="0.25">
      <c r="B5" s="34" t="s">
        <v>101</v>
      </c>
      <c r="C5" s="54"/>
      <c r="D5" s="55"/>
      <c r="E5" s="55"/>
      <c r="F5" s="55"/>
    </row>
    <row r="6" spans="1:7" x14ac:dyDescent="0.25">
      <c r="B6" s="37" t="s">
        <v>102</v>
      </c>
      <c r="C6" s="56">
        <f>SUM(D6:F6)</f>
        <v>2700000</v>
      </c>
      <c r="D6" s="57">
        <v>1000000</v>
      </c>
      <c r="E6" s="57">
        <v>800000</v>
      </c>
      <c r="F6" s="57">
        <v>900000</v>
      </c>
      <c r="G6" s="20"/>
    </row>
    <row r="7" spans="1:7" x14ac:dyDescent="0.25">
      <c r="B7" s="37"/>
      <c r="C7" s="56"/>
      <c r="D7" s="57"/>
      <c r="E7" s="57"/>
      <c r="F7" s="57"/>
    </row>
    <row r="8" spans="1:7" x14ac:dyDescent="0.25">
      <c r="B8" s="40" t="s">
        <v>103</v>
      </c>
      <c r="C8" s="56"/>
      <c r="D8" s="57"/>
      <c r="E8" s="57"/>
      <c r="F8" s="57"/>
    </row>
    <row r="9" spans="1:7" x14ac:dyDescent="0.25">
      <c r="B9" s="37" t="s">
        <v>87</v>
      </c>
      <c r="C9" s="58">
        <f>SUM(D9:F9)</f>
        <v>1900000</v>
      </c>
      <c r="D9" s="59">
        <v>600000</v>
      </c>
      <c r="E9" s="59">
        <v>600000</v>
      </c>
      <c r="F9" s="59">
        <v>700000</v>
      </c>
    </row>
    <row r="10" spans="1:7" s="3" customFormat="1" ht="20.25" x14ac:dyDescent="0.3">
      <c r="A10" s="1" t="s">
        <v>83</v>
      </c>
      <c r="B10" s="60" t="s">
        <v>122</v>
      </c>
      <c r="C10" s="65">
        <f>SUM(D10:F10)</f>
        <v>800000</v>
      </c>
      <c r="D10" s="65">
        <f>D6-D9</f>
        <v>400000</v>
      </c>
      <c r="E10" s="65">
        <f>E6-E9</f>
        <v>200000</v>
      </c>
      <c r="F10" s="65">
        <f>F6-F9</f>
        <v>200000</v>
      </c>
    </row>
    <row r="11" spans="1:7" x14ac:dyDescent="0.25">
      <c r="B11" s="40" t="s">
        <v>104</v>
      </c>
      <c r="C11" s="56"/>
      <c r="D11" s="57"/>
      <c r="E11" s="57"/>
      <c r="F11" s="57"/>
    </row>
    <row r="12" spans="1:7" x14ac:dyDescent="0.25">
      <c r="B12" s="61" t="s">
        <v>120</v>
      </c>
      <c r="C12" s="56"/>
      <c r="D12" s="57"/>
      <c r="E12" s="57"/>
      <c r="F12" s="57"/>
    </row>
    <row r="13" spans="1:7" x14ac:dyDescent="0.25">
      <c r="B13" s="37" t="s">
        <v>105</v>
      </c>
      <c r="C13" s="56">
        <f>SUM(D13:F13)</f>
        <v>180000</v>
      </c>
      <c r="D13" s="57">
        <v>60000</v>
      </c>
      <c r="E13" s="57">
        <v>60000</v>
      </c>
      <c r="F13" s="57">
        <v>60000</v>
      </c>
      <c r="G13" s="44"/>
    </row>
    <row r="14" spans="1:7" x14ac:dyDescent="0.25">
      <c r="B14" s="37" t="s">
        <v>106</v>
      </c>
      <c r="C14" s="56">
        <f t="shared" ref="C14:C21" si="0">SUM(D14:F14)</f>
        <v>30000</v>
      </c>
      <c r="D14" s="57">
        <v>7500</v>
      </c>
      <c r="E14" s="57">
        <v>15000</v>
      </c>
      <c r="F14" s="57">
        <v>7500</v>
      </c>
    </row>
    <row r="15" spans="1:7" x14ac:dyDescent="0.25">
      <c r="B15" s="37" t="s">
        <v>13</v>
      </c>
      <c r="C15" s="56">
        <f t="shared" si="0"/>
        <v>90000</v>
      </c>
      <c r="D15" s="57">
        <v>30000</v>
      </c>
      <c r="E15" s="57">
        <v>30000</v>
      </c>
      <c r="F15" s="57">
        <v>30000</v>
      </c>
      <c r="G15" s="44"/>
    </row>
    <row r="16" spans="1:7" x14ac:dyDescent="0.25">
      <c r="B16" s="37" t="s">
        <v>15</v>
      </c>
      <c r="C16" s="56">
        <f t="shared" si="0"/>
        <v>110000</v>
      </c>
      <c r="D16" s="57">
        <v>45000</v>
      </c>
      <c r="E16" s="57">
        <v>35000</v>
      </c>
      <c r="F16" s="57">
        <v>30000</v>
      </c>
    </row>
    <row r="17" spans="1:7" x14ac:dyDescent="0.25">
      <c r="B17" s="37" t="s">
        <v>107</v>
      </c>
      <c r="C17" s="56">
        <f t="shared" si="0"/>
        <v>25000</v>
      </c>
      <c r="D17" s="57">
        <v>15000</v>
      </c>
      <c r="E17" s="57">
        <v>5000</v>
      </c>
      <c r="F17" s="57">
        <v>5000</v>
      </c>
    </row>
    <row r="18" spans="1:7" x14ac:dyDescent="0.25">
      <c r="B18" s="37" t="s">
        <v>108</v>
      </c>
      <c r="C18" s="56">
        <f t="shared" si="0"/>
        <v>25000</v>
      </c>
      <c r="D18" s="57"/>
      <c r="E18" s="57">
        <v>15000</v>
      </c>
      <c r="F18" s="57">
        <v>10000</v>
      </c>
    </row>
    <row r="19" spans="1:7" x14ac:dyDescent="0.25">
      <c r="B19" s="40" t="s">
        <v>109</v>
      </c>
      <c r="C19" s="56"/>
      <c r="D19" s="57"/>
      <c r="E19" s="57"/>
      <c r="F19" s="57"/>
    </row>
    <row r="20" spans="1:7" x14ac:dyDescent="0.25">
      <c r="B20" s="37" t="s">
        <v>110</v>
      </c>
      <c r="C20" s="56">
        <f t="shared" si="0"/>
        <v>4000</v>
      </c>
      <c r="D20" s="57">
        <v>1000</v>
      </c>
      <c r="E20" s="57">
        <v>2000</v>
      </c>
      <c r="F20" s="57">
        <v>1000</v>
      </c>
      <c r="G20" s="44"/>
    </row>
    <row r="21" spans="1:7" x14ac:dyDescent="0.25">
      <c r="B21" s="37" t="s">
        <v>111</v>
      </c>
      <c r="C21" s="56">
        <f t="shared" si="0"/>
        <v>9000</v>
      </c>
      <c r="D21" s="57">
        <v>3000</v>
      </c>
      <c r="E21" s="57">
        <v>3000</v>
      </c>
      <c r="F21" s="57">
        <v>3000</v>
      </c>
      <c r="G21" s="44"/>
    </row>
    <row r="22" spans="1:7" x14ac:dyDescent="0.25">
      <c r="B22" s="37" t="s">
        <v>112</v>
      </c>
      <c r="C22" s="58">
        <f>SUM(D22:F22)</f>
        <v>15000</v>
      </c>
      <c r="D22" s="59">
        <v>5000</v>
      </c>
      <c r="E22" s="59">
        <v>5000</v>
      </c>
      <c r="F22" s="59">
        <v>5000</v>
      </c>
      <c r="G22" s="44"/>
    </row>
    <row r="23" spans="1:7" s="3" customFormat="1" ht="20.25" x14ac:dyDescent="0.3">
      <c r="A23" s="1"/>
      <c r="B23" s="37" t="s">
        <v>113</v>
      </c>
      <c r="C23" s="56">
        <f>SUM(C13:C22)</f>
        <v>488000</v>
      </c>
      <c r="D23" s="57">
        <f>SUM(D13:D22)</f>
        <v>166500</v>
      </c>
      <c r="E23" s="57">
        <f>SUM(E13:E22)</f>
        <v>170000</v>
      </c>
      <c r="F23" s="57">
        <f>SUM(F13:F22)</f>
        <v>151500</v>
      </c>
    </row>
    <row r="24" spans="1:7" x14ac:dyDescent="0.25">
      <c r="B24" s="37" t="s">
        <v>88</v>
      </c>
      <c r="C24" s="58">
        <f>C23+C9</f>
        <v>2388000</v>
      </c>
      <c r="D24" s="58">
        <f>D23+D9</f>
        <v>766500</v>
      </c>
      <c r="E24" s="58">
        <f>E23+E9</f>
        <v>770000</v>
      </c>
      <c r="F24" s="58">
        <f>F23+F9</f>
        <v>851500</v>
      </c>
    </row>
    <row r="25" spans="1:7" s="3" customFormat="1" ht="20.25" x14ac:dyDescent="0.3">
      <c r="A25" s="1"/>
      <c r="B25" s="37" t="s">
        <v>14</v>
      </c>
      <c r="C25" s="58">
        <f>C6-C24</f>
        <v>312000</v>
      </c>
      <c r="D25" s="59">
        <f>D6-D24</f>
        <v>233500</v>
      </c>
      <c r="E25" s="59">
        <f>E6-E24</f>
        <v>30000</v>
      </c>
      <c r="F25" s="59">
        <f>F6-F24</f>
        <v>48500</v>
      </c>
      <c r="G25" s="22"/>
    </row>
    <row r="26" spans="1:7" x14ac:dyDescent="0.25">
      <c r="B26" s="37"/>
      <c r="C26" s="46"/>
      <c r="D26" s="46"/>
      <c r="E26" s="46"/>
      <c r="F26" s="46"/>
    </row>
    <row r="27" spans="1:7" x14ac:dyDescent="0.25">
      <c r="A27" s="1" t="s">
        <v>83</v>
      </c>
      <c r="B27" s="37" t="s">
        <v>95</v>
      </c>
      <c r="C27" s="62">
        <f>C10/C9</f>
        <v>0.42105263157894735</v>
      </c>
      <c r="D27" s="62">
        <f>D10/D9</f>
        <v>0.66666666666666663</v>
      </c>
      <c r="E27" s="62">
        <f>E10/E9</f>
        <v>0.33333333333333331</v>
      </c>
      <c r="F27" s="62">
        <f>F10/F9</f>
        <v>0.2857142857142857</v>
      </c>
    </row>
    <row r="28" spans="1:7" x14ac:dyDescent="0.25">
      <c r="A28" s="1" t="s">
        <v>91</v>
      </c>
      <c r="B28" s="37" t="s">
        <v>115</v>
      </c>
      <c r="C28" s="62">
        <f>C10/C6</f>
        <v>0.29629629629629628</v>
      </c>
      <c r="D28" s="62">
        <f>D10/D6</f>
        <v>0.4</v>
      </c>
      <c r="E28" s="62">
        <f>E10/E6</f>
        <v>0.25</v>
      </c>
      <c r="F28" s="62">
        <f>F10/F6</f>
        <v>0.22222222222222221</v>
      </c>
    </row>
    <row r="29" spans="1:7" x14ac:dyDescent="0.25">
      <c r="A29" s="1" t="s">
        <v>92</v>
      </c>
      <c r="B29" s="37" t="s">
        <v>116</v>
      </c>
      <c r="C29" s="62">
        <f>C23/C9</f>
        <v>0.25684210526315787</v>
      </c>
      <c r="D29" s="62">
        <f>D23/D9</f>
        <v>0.27750000000000002</v>
      </c>
      <c r="E29" s="62">
        <f>E23/E9</f>
        <v>0.28333333333333333</v>
      </c>
      <c r="F29" s="62">
        <f>F23/F9</f>
        <v>0.21642857142857144</v>
      </c>
    </row>
    <row r="30" spans="1:7" x14ac:dyDescent="0.25">
      <c r="A30" s="1" t="s">
        <v>123</v>
      </c>
      <c r="B30" s="63" t="s">
        <v>121</v>
      </c>
      <c r="C30" s="64">
        <f>C25/C24</f>
        <v>0.1306532663316583</v>
      </c>
      <c r="D30" s="64">
        <f>D25/D24</f>
        <v>0.30463144161774297</v>
      </c>
      <c r="E30" s="64">
        <f>E25/E24</f>
        <v>3.896103896103896E-2</v>
      </c>
      <c r="F30" s="64">
        <f>F25/F24</f>
        <v>5.695830886670581E-2</v>
      </c>
    </row>
    <row r="32" spans="1:7" x14ac:dyDescent="0.25">
      <c r="A32" s="1" t="s">
        <v>124</v>
      </c>
      <c r="B32" s="16"/>
    </row>
    <row r="33" spans="1:7" x14ac:dyDescent="0.25">
      <c r="B33" s="1" t="s">
        <v>87</v>
      </c>
      <c r="D33" s="2">
        <v>1000</v>
      </c>
      <c r="E33" s="2">
        <v>1000</v>
      </c>
      <c r="F33" s="2">
        <v>1000</v>
      </c>
    </row>
    <row r="34" spans="1:7" x14ac:dyDescent="0.25">
      <c r="A34" s="1" t="s">
        <v>127</v>
      </c>
      <c r="B34" s="20" t="s">
        <v>125</v>
      </c>
      <c r="C34" s="20"/>
      <c r="D34" s="7">
        <f>D33*D27</f>
        <v>666.66666666666663</v>
      </c>
      <c r="E34" s="7">
        <f>E33*E27</f>
        <v>333.33333333333331</v>
      </c>
      <c r="F34" s="7">
        <f>F33*F27</f>
        <v>285.71428571428572</v>
      </c>
    </row>
    <row r="35" spans="1:7" s="3" customFormat="1" ht="20.25" x14ac:dyDescent="0.3">
      <c r="A35" s="1" t="s">
        <v>128</v>
      </c>
      <c r="B35" s="20" t="s">
        <v>126</v>
      </c>
      <c r="C35" s="20"/>
      <c r="D35" s="2">
        <f>SUM(D33:D34)</f>
        <v>1666.6666666666665</v>
      </c>
      <c r="E35" s="2">
        <f>SUM(E33:E34)</f>
        <v>1333.3333333333333</v>
      </c>
      <c r="F35" s="2">
        <f>SUM(F33:F34)</f>
        <v>1285.7142857142858</v>
      </c>
      <c r="G35" s="1"/>
    </row>
    <row r="36" spans="1:7" x14ac:dyDescent="0.25">
      <c r="A36" s="1" t="s">
        <v>127</v>
      </c>
      <c r="B36" s="20" t="s">
        <v>129</v>
      </c>
      <c r="C36" s="20"/>
      <c r="D36" s="7">
        <f>D35*0.25</f>
        <v>416.66666666666663</v>
      </c>
      <c r="E36" s="7">
        <f>E35*0.25</f>
        <v>333.33333333333331</v>
      </c>
      <c r="F36" s="7">
        <f>F35*0.25</f>
        <v>321.42857142857144</v>
      </c>
    </row>
    <row r="37" spans="1:7" s="3" customFormat="1" ht="20.25" x14ac:dyDescent="0.3">
      <c r="A37" s="1" t="s">
        <v>128</v>
      </c>
      <c r="B37" s="53" t="s">
        <v>130</v>
      </c>
      <c r="C37" s="20"/>
      <c r="D37" s="7">
        <f>SUM(D35:D36)</f>
        <v>2083.333333333333</v>
      </c>
      <c r="E37" s="7">
        <f>SUM(E35:E36)</f>
        <v>1666.6666666666665</v>
      </c>
      <c r="F37" s="7">
        <f>SUM(F35:F36)</f>
        <v>1607.1428571428573</v>
      </c>
      <c r="G37" s="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3:K53"/>
  <sheetViews>
    <sheetView tabSelected="1" workbookViewId="0">
      <selection activeCell="F20" sqref="F20"/>
    </sheetView>
  </sheetViews>
  <sheetFormatPr baseColWidth="10" defaultColWidth="10.85546875" defaultRowHeight="15.75" x14ac:dyDescent="0.25"/>
  <cols>
    <col min="1" max="1" width="2.85546875" style="1" customWidth="1"/>
    <col min="2" max="2" width="31.42578125" style="1" bestFit="1" customWidth="1"/>
    <col min="3" max="6" width="12.7109375" style="1" customWidth="1"/>
    <col min="7" max="7" width="17.7109375" style="1" customWidth="1"/>
    <col min="8" max="16384" width="10.85546875" style="1"/>
  </cols>
  <sheetData>
    <row r="3" spans="1:7" x14ac:dyDescent="0.25">
      <c r="A3" s="1" t="s">
        <v>83</v>
      </c>
      <c r="B3" s="66"/>
      <c r="C3" s="67" t="s">
        <v>63</v>
      </c>
      <c r="D3" s="67" t="s">
        <v>76</v>
      </c>
      <c r="E3" s="68" t="s">
        <v>68</v>
      </c>
      <c r="F3" s="67" t="s">
        <v>69</v>
      </c>
      <c r="G3" s="67" t="s">
        <v>64</v>
      </c>
    </row>
    <row r="4" spans="1:7" x14ac:dyDescent="0.25">
      <c r="B4" s="69"/>
      <c r="C4" s="70"/>
      <c r="D4" s="70" t="s">
        <v>77</v>
      </c>
      <c r="E4" s="71"/>
      <c r="F4" s="70" t="s">
        <v>70</v>
      </c>
      <c r="G4" s="70" t="s">
        <v>65</v>
      </c>
    </row>
    <row r="5" spans="1:7" x14ac:dyDescent="0.25">
      <c r="B5" s="51" t="s">
        <v>66</v>
      </c>
      <c r="C5" s="72">
        <f>SUM(E5:F5)</f>
        <v>3084000</v>
      </c>
      <c r="D5" s="72"/>
      <c r="E5" s="73">
        <v>1800000</v>
      </c>
      <c r="F5" s="72">
        <v>1284000</v>
      </c>
      <c r="G5" s="74"/>
    </row>
    <row r="6" spans="1:7" x14ac:dyDescent="0.25">
      <c r="B6" s="51"/>
      <c r="C6" s="74"/>
      <c r="D6" s="74"/>
      <c r="E6" s="75"/>
      <c r="F6" s="74"/>
      <c r="G6" s="74"/>
    </row>
    <row r="7" spans="1:7" x14ac:dyDescent="0.25">
      <c r="B7" s="51" t="s">
        <v>87</v>
      </c>
      <c r="C7" s="76">
        <f>SUM(E7:F7)</f>
        <v>1980000</v>
      </c>
      <c r="D7" s="76"/>
      <c r="E7" s="49">
        <v>1200000</v>
      </c>
      <c r="F7" s="76">
        <v>780000</v>
      </c>
      <c r="G7" s="77"/>
    </row>
    <row r="8" spans="1:7" x14ac:dyDescent="0.25">
      <c r="B8" s="51"/>
      <c r="C8" s="77"/>
      <c r="D8" s="77"/>
      <c r="E8" s="78"/>
      <c r="F8" s="77"/>
      <c r="G8" s="77"/>
    </row>
    <row r="9" spans="1:7" x14ac:dyDescent="0.25">
      <c r="B9" s="51" t="s">
        <v>122</v>
      </c>
      <c r="C9" s="76">
        <f>C5-C7</f>
        <v>1104000</v>
      </c>
      <c r="D9" s="76"/>
      <c r="E9" s="82">
        <f>E5-E7</f>
        <v>600000</v>
      </c>
      <c r="F9" s="76">
        <f t="shared" ref="F9" si="0">F5-F7</f>
        <v>504000</v>
      </c>
      <c r="G9" s="77"/>
    </row>
    <row r="10" spans="1:7" x14ac:dyDescent="0.25">
      <c r="B10" s="51"/>
      <c r="C10" s="77"/>
      <c r="D10" s="77"/>
      <c r="E10" s="78"/>
      <c r="F10" s="77"/>
      <c r="G10" s="77"/>
    </row>
    <row r="11" spans="1:7" x14ac:dyDescent="0.25">
      <c r="B11" s="79" t="s">
        <v>104</v>
      </c>
      <c r="C11" s="77"/>
      <c r="D11" s="77"/>
      <c r="E11" s="78"/>
      <c r="F11" s="77"/>
      <c r="G11" s="77"/>
    </row>
    <row r="12" spans="1:7" x14ac:dyDescent="0.25">
      <c r="B12" s="51" t="s">
        <v>105</v>
      </c>
      <c r="C12" s="77">
        <v>270000</v>
      </c>
      <c r="D12" s="77">
        <f>C12-E12-F12</f>
        <v>24000</v>
      </c>
      <c r="E12" s="78">
        <v>144000</v>
      </c>
      <c r="F12" s="77">
        <v>102000</v>
      </c>
      <c r="G12" s="77"/>
    </row>
    <row r="13" spans="1:7" x14ac:dyDescent="0.25">
      <c r="B13" s="51" t="s">
        <v>106</v>
      </c>
      <c r="C13" s="77">
        <v>60000</v>
      </c>
      <c r="D13" s="77">
        <f>100*C13/2000</f>
        <v>3000</v>
      </c>
      <c r="E13" s="78">
        <f>C13*1000/2000</f>
        <v>30000</v>
      </c>
      <c r="F13" s="77">
        <f>C13*900/2000</f>
        <v>27000</v>
      </c>
      <c r="G13" s="80" t="s">
        <v>16</v>
      </c>
    </row>
    <row r="14" spans="1:7" x14ac:dyDescent="0.25">
      <c r="B14" s="51" t="s">
        <v>107</v>
      </c>
      <c r="C14" s="77">
        <v>42000</v>
      </c>
      <c r="D14" s="77">
        <f>C14</f>
        <v>42000</v>
      </c>
      <c r="E14" s="78"/>
      <c r="F14" s="77"/>
      <c r="G14" s="80"/>
    </row>
    <row r="15" spans="1:7" x14ac:dyDescent="0.25">
      <c r="B15" s="51" t="s">
        <v>72</v>
      </c>
      <c r="C15" s="77">
        <v>63000</v>
      </c>
      <c r="D15" s="77"/>
      <c r="E15" s="78">
        <f>C15</f>
        <v>63000</v>
      </c>
      <c r="F15" s="77"/>
      <c r="G15" s="80"/>
    </row>
    <row r="16" spans="1:7" x14ac:dyDescent="0.25">
      <c r="B16" s="51" t="s">
        <v>71</v>
      </c>
      <c r="C16" s="77">
        <v>48000</v>
      </c>
      <c r="D16" s="77"/>
      <c r="E16" s="78"/>
      <c r="F16" s="77">
        <f>C16</f>
        <v>48000</v>
      </c>
      <c r="G16" s="77"/>
    </row>
    <row r="17" spans="1:11" x14ac:dyDescent="0.25">
      <c r="B17" s="51" t="s">
        <v>73</v>
      </c>
      <c r="C17" s="77">
        <v>81000</v>
      </c>
      <c r="D17" s="77"/>
      <c r="E17" s="78">
        <f>C17*5/9</f>
        <v>45000</v>
      </c>
      <c r="F17" s="77">
        <f>C17*4/9</f>
        <v>36000</v>
      </c>
      <c r="G17" s="80" t="s">
        <v>17</v>
      </c>
    </row>
    <row r="18" spans="1:11" x14ac:dyDescent="0.25">
      <c r="B18" s="51" t="s">
        <v>74</v>
      </c>
      <c r="C18" s="77">
        <v>90000</v>
      </c>
      <c r="D18" s="77">
        <v>18000</v>
      </c>
      <c r="E18" s="78">
        <f>72000*7/12</f>
        <v>42000</v>
      </c>
      <c r="F18" s="77">
        <f>72000*5/12</f>
        <v>30000</v>
      </c>
      <c r="G18" s="74" t="s">
        <v>18</v>
      </c>
    </row>
    <row r="19" spans="1:11" x14ac:dyDescent="0.25">
      <c r="B19" s="51" t="s">
        <v>75</v>
      </c>
      <c r="C19" s="76">
        <v>72000</v>
      </c>
      <c r="D19" s="76">
        <f>C19*0.125</f>
        <v>9000</v>
      </c>
      <c r="E19" s="49">
        <f>C19*0.5</f>
        <v>36000</v>
      </c>
      <c r="F19" s="76">
        <f>C19*0.375</f>
        <v>27000</v>
      </c>
      <c r="G19" s="74"/>
    </row>
    <row r="20" spans="1:11" s="3" customFormat="1" ht="20.25" x14ac:dyDescent="0.3">
      <c r="B20" s="51" t="s">
        <v>113</v>
      </c>
      <c r="C20" s="81">
        <f>SUM(C12:C19)</f>
        <v>726000</v>
      </c>
      <c r="D20" s="83">
        <f t="shared" ref="D20:E20" si="1">SUM(D12:D19)</f>
        <v>96000</v>
      </c>
      <c r="E20" s="46">
        <f t="shared" si="1"/>
        <v>360000</v>
      </c>
      <c r="F20" s="46">
        <f>SUM(F12:F19)</f>
        <v>270000</v>
      </c>
      <c r="G20" s="77"/>
      <c r="H20" s="1"/>
      <c r="I20" s="1"/>
      <c r="J20" s="1"/>
      <c r="K20" s="1"/>
    </row>
    <row r="21" spans="1:11" x14ac:dyDescent="0.25">
      <c r="B21" s="51" t="s">
        <v>19</v>
      </c>
      <c r="C21" s="77"/>
      <c r="D21" s="78">
        <v>-96000</v>
      </c>
      <c r="E21" s="76">
        <f>D20*3/8</f>
        <v>36000</v>
      </c>
      <c r="F21" s="76">
        <f>D20*5/8</f>
        <v>60000</v>
      </c>
      <c r="G21" s="80" t="s">
        <v>0</v>
      </c>
    </row>
    <row r="22" spans="1:11" s="3" customFormat="1" ht="20.25" x14ac:dyDescent="0.3">
      <c r="B22" s="51" t="s">
        <v>113</v>
      </c>
      <c r="C22" s="77"/>
      <c r="D22" s="78"/>
      <c r="E22" s="81">
        <f>SUM(E20:E21)</f>
        <v>396000</v>
      </c>
      <c r="F22" s="81">
        <f>SUM(F20:F21)</f>
        <v>330000</v>
      </c>
      <c r="G22" s="77"/>
    </row>
    <row r="23" spans="1:11" x14ac:dyDescent="0.25">
      <c r="B23" s="51"/>
      <c r="C23" s="77"/>
      <c r="D23" s="78"/>
      <c r="E23" s="46"/>
      <c r="F23" s="77"/>
      <c r="G23" s="77"/>
    </row>
    <row r="24" spans="1:11" x14ac:dyDescent="0.25">
      <c r="B24" s="51" t="s">
        <v>88</v>
      </c>
      <c r="C24" s="77"/>
      <c r="D24" s="78"/>
      <c r="E24" s="76">
        <f>E7+E22</f>
        <v>1596000</v>
      </c>
      <c r="F24" s="76">
        <f>F7+F22</f>
        <v>1110000</v>
      </c>
      <c r="G24" s="77"/>
    </row>
    <row r="25" spans="1:11" x14ac:dyDescent="0.25">
      <c r="B25" s="51"/>
      <c r="C25" s="77"/>
      <c r="D25" s="78"/>
      <c r="E25" s="77"/>
      <c r="F25" s="77"/>
      <c r="G25" s="77"/>
    </row>
    <row r="26" spans="1:11" x14ac:dyDescent="0.25">
      <c r="B26" s="69" t="s">
        <v>67</v>
      </c>
      <c r="C26" s="76"/>
      <c r="D26" s="49"/>
      <c r="E26" s="76">
        <f>E5-E24</f>
        <v>204000</v>
      </c>
      <c r="F26" s="76">
        <f>F5-F24</f>
        <v>174000</v>
      </c>
      <c r="G26" s="76"/>
    </row>
    <row r="29" spans="1:11" x14ac:dyDescent="0.25">
      <c r="C29" s="17"/>
      <c r="D29" s="17"/>
      <c r="E29" s="17"/>
      <c r="F29" s="17"/>
      <c r="G29" s="17"/>
      <c r="H29" s="17"/>
      <c r="I29" s="17"/>
    </row>
    <row r="30" spans="1:11" x14ac:dyDescent="0.25">
      <c r="C30" s="17"/>
      <c r="D30" s="17"/>
      <c r="E30" s="17"/>
      <c r="F30" s="17"/>
      <c r="G30" s="17"/>
      <c r="H30" s="17"/>
      <c r="I30" s="17"/>
    </row>
    <row r="31" spans="1:11" x14ac:dyDescent="0.25">
      <c r="A31" s="1" t="s">
        <v>91</v>
      </c>
      <c r="C31" s="87" t="s">
        <v>142</v>
      </c>
      <c r="D31" s="87" t="s">
        <v>141</v>
      </c>
      <c r="E31" s="17"/>
      <c r="F31" s="17"/>
      <c r="G31" s="17"/>
      <c r="H31" s="17"/>
      <c r="I31" s="17"/>
    </row>
    <row r="32" spans="1:11" x14ac:dyDescent="0.25">
      <c r="B32" s="1" t="s">
        <v>20</v>
      </c>
      <c r="C32" s="78">
        <v>1800000</v>
      </c>
      <c r="D32" s="78">
        <v>2000000</v>
      </c>
      <c r="E32" s="17"/>
      <c r="F32" s="17"/>
      <c r="G32" s="17"/>
      <c r="H32" s="17"/>
      <c r="I32" s="17"/>
    </row>
    <row r="33" spans="1:10" x14ac:dyDescent="0.25">
      <c r="A33" s="85" t="s">
        <v>44</v>
      </c>
      <c r="B33" s="1" t="s">
        <v>21</v>
      </c>
      <c r="C33" s="49">
        <v>1200000</v>
      </c>
      <c r="D33" s="49">
        <v>1200000</v>
      </c>
      <c r="E33" s="17"/>
      <c r="F33" s="17"/>
      <c r="G33" s="17"/>
      <c r="H33" s="17"/>
      <c r="I33" s="17"/>
    </row>
    <row r="34" spans="1:10" s="3" customFormat="1" ht="20.25" x14ac:dyDescent="0.3">
      <c r="A34" s="86" t="s">
        <v>128</v>
      </c>
      <c r="B34" s="1" t="s">
        <v>22</v>
      </c>
      <c r="C34" s="23">
        <f>C32-C33</f>
        <v>600000</v>
      </c>
      <c r="D34" s="23">
        <f>D32-D33</f>
        <v>800000</v>
      </c>
      <c r="E34" s="17"/>
      <c r="F34" s="17"/>
      <c r="G34" s="17"/>
      <c r="H34" s="17"/>
      <c r="I34" s="17"/>
      <c r="J34" s="1"/>
    </row>
    <row r="35" spans="1:10" x14ac:dyDescent="0.25">
      <c r="C35" s="17"/>
      <c r="D35" s="17"/>
      <c r="E35" s="17"/>
      <c r="F35" s="17"/>
      <c r="G35" s="17"/>
      <c r="H35" s="17"/>
      <c r="I35" s="17"/>
    </row>
    <row r="36" spans="1:10" x14ac:dyDescent="0.25">
      <c r="B36" s="1" t="s">
        <v>94</v>
      </c>
      <c r="C36" s="84">
        <f>C34/C33</f>
        <v>0.5</v>
      </c>
      <c r="D36" s="84">
        <f>D34/D33</f>
        <v>0.66666666666666663</v>
      </c>
      <c r="E36" s="17"/>
      <c r="F36" s="17"/>
      <c r="G36" s="17"/>
      <c r="H36" s="17"/>
      <c r="I36" s="17"/>
    </row>
    <row r="37" spans="1:10" x14ac:dyDescent="0.25">
      <c r="B37" s="1" t="s">
        <v>138</v>
      </c>
      <c r="C37" s="84">
        <f>C34/C32</f>
        <v>0.33333333333333331</v>
      </c>
      <c r="D37" s="84">
        <f>D34/D32</f>
        <v>0.4</v>
      </c>
      <c r="E37" s="17" t="s">
        <v>1</v>
      </c>
      <c r="F37" s="17"/>
      <c r="G37" s="17"/>
      <c r="H37" s="17"/>
      <c r="I37" s="17"/>
    </row>
    <row r="38" spans="1:10" x14ac:dyDescent="0.25">
      <c r="G38" s="17"/>
      <c r="H38" s="17"/>
      <c r="I38" s="17"/>
    </row>
    <row r="39" spans="1:10" x14ac:dyDescent="0.25">
      <c r="B39" s="1" t="s">
        <v>25</v>
      </c>
      <c r="C39" s="17"/>
      <c r="D39" s="17"/>
      <c r="E39" s="17"/>
      <c r="F39" s="17">
        <f>C32*D37</f>
        <v>720000</v>
      </c>
      <c r="G39" s="17"/>
      <c r="H39" s="17"/>
      <c r="I39" s="17"/>
    </row>
    <row r="40" spans="1:10" x14ac:dyDescent="0.25">
      <c r="B40" s="1" t="s">
        <v>23</v>
      </c>
      <c r="C40" s="17"/>
      <c r="D40" s="17"/>
      <c r="E40" s="17"/>
      <c r="F40" s="49">
        <f>C32-F39</f>
        <v>1080000</v>
      </c>
      <c r="G40" s="17"/>
      <c r="H40" s="17"/>
      <c r="I40" s="17"/>
    </row>
    <row r="41" spans="1:10" x14ac:dyDescent="0.25">
      <c r="B41" s="1" t="s">
        <v>24</v>
      </c>
      <c r="C41" s="49">
        <f>C33-F40</f>
        <v>120000</v>
      </c>
      <c r="D41" s="17"/>
      <c r="E41" s="17"/>
      <c r="F41" s="17"/>
      <c r="G41" s="17"/>
      <c r="H41" s="17"/>
      <c r="I41" s="17"/>
    </row>
    <row r="42" spans="1:10" x14ac:dyDescent="0.25">
      <c r="C42" s="17"/>
      <c r="D42" s="17"/>
      <c r="E42" s="17"/>
      <c r="F42" s="17"/>
      <c r="G42" s="17"/>
      <c r="H42" s="17"/>
      <c r="I42" s="17"/>
    </row>
    <row r="43" spans="1:10" x14ac:dyDescent="0.25">
      <c r="A43" s="1" t="s">
        <v>92</v>
      </c>
      <c r="B43" s="1" t="s">
        <v>66</v>
      </c>
      <c r="C43" s="17">
        <f>C32</f>
        <v>1800000</v>
      </c>
      <c r="D43" s="17"/>
      <c r="E43" s="17"/>
      <c r="F43" s="17"/>
      <c r="G43" s="17"/>
      <c r="H43" s="17"/>
      <c r="I43" s="17"/>
    </row>
    <row r="44" spans="1:10" x14ac:dyDescent="0.25">
      <c r="A44" s="86" t="s">
        <v>127</v>
      </c>
      <c r="B44" s="1" t="s">
        <v>26</v>
      </c>
      <c r="C44" s="17">
        <v>100000</v>
      </c>
      <c r="D44" s="17"/>
      <c r="E44" s="17"/>
      <c r="F44" s="17"/>
      <c r="G44" s="17"/>
      <c r="H44" s="17"/>
      <c r="I44" s="17"/>
    </row>
    <row r="45" spans="1:10" s="3" customFormat="1" ht="20.25" x14ac:dyDescent="0.3">
      <c r="A45" s="86" t="s">
        <v>128</v>
      </c>
      <c r="B45" s="1" t="s">
        <v>27</v>
      </c>
      <c r="C45" s="23">
        <f>SUM(C43:C44)</f>
        <v>1900000</v>
      </c>
      <c r="D45" s="17"/>
      <c r="E45" s="17"/>
      <c r="F45" s="17"/>
      <c r="G45" s="17"/>
      <c r="H45" s="17"/>
      <c r="I45" s="17"/>
      <c r="J45" s="1"/>
    </row>
    <row r="46" spans="1:10" x14ac:dyDescent="0.25">
      <c r="C46" s="17"/>
      <c r="D46" s="17"/>
      <c r="E46" s="17"/>
      <c r="F46" s="17"/>
      <c r="G46" s="17"/>
      <c r="H46" s="17"/>
      <c r="I46" s="17"/>
    </row>
    <row r="47" spans="1:10" x14ac:dyDescent="0.25">
      <c r="B47" s="1" t="s">
        <v>28</v>
      </c>
      <c r="C47" s="17"/>
      <c r="D47" s="17">
        <f>C45*0.4</f>
        <v>760000</v>
      </c>
      <c r="E47" s="17"/>
      <c r="F47" s="17"/>
      <c r="G47" s="17"/>
      <c r="H47" s="17"/>
      <c r="I47" s="17"/>
    </row>
    <row r="48" spans="1:10" x14ac:dyDescent="0.25">
      <c r="B48" s="1" t="s">
        <v>29</v>
      </c>
      <c r="C48" s="17"/>
      <c r="D48" s="17"/>
      <c r="E48" s="17">
        <f>C45-D47</f>
        <v>1140000</v>
      </c>
      <c r="F48" s="17"/>
      <c r="G48" s="17"/>
      <c r="H48" s="17"/>
      <c r="I48" s="17"/>
    </row>
    <row r="49" spans="2:9" x14ac:dyDescent="0.25">
      <c r="B49" s="1" t="s">
        <v>30</v>
      </c>
      <c r="C49" s="49">
        <f>C33-E48</f>
        <v>60000</v>
      </c>
      <c r="D49" s="17"/>
      <c r="E49" s="17"/>
      <c r="F49" s="17"/>
      <c r="G49" s="17"/>
      <c r="H49" s="17"/>
      <c r="I49" s="17"/>
    </row>
    <row r="50" spans="2:9" x14ac:dyDescent="0.25">
      <c r="C50" s="17"/>
      <c r="D50" s="17"/>
      <c r="E50" s="17"/>
      <c r="F50" s="17"/>
      <c r="G50" s="17"/>
      <c r="H50" s="17"/>
      <c r="I50" s="17"/>
    </row>
    <row r="51" spans="2:9" x14ac:dyDescent="0.25">
      <c r="C51" s="17"/>
      <c r="D51" s="17"/>
      <c r="E51" s="17"/>
      <c r="F51" s="17"/>
      <c r="G51" s="17"/>
      <c r="H51" s="17"/>
      <c r="I51" s="17"/>
    </row>
    <row r="52" spans="2:9" x14ac:dyDescent="0.25">
      <c r="C52" s="17"/>
      <c r="D52" s="17"/>
      <c r="E52" s="17"/>
      <c r="F52" s="17"/>
      <c r="G52" s="17"/>
      <c r="H52" s="17"/>
      <c r="I52" s="17"/>
    </row>
    <row r="53" spans="2:9" x14ac:dyDescent="0.25">
      <c r="C53" s="17"/>
      <c r="D53" s="17"/>
      <c r="E53" s="17"/>
      <c r="F53" s="17"/>
      <c r="G53" s="17"/>
      <c r="H53" s="17"/>
      <c r="I53" s="17"/>
    </row>
  </sheetData>
  <phoneticPr fontId="1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&amp;A&amp;RSide &amp;P</oddHeader>
    <oddFooter>&amp;CLøsninger kapittel 2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2.1 </vt:lpstr>
      <vt:lpstr>2.2</vt:lpstr>
      <vt:lpstr>2.3</vt:lpstr>
      <vt:lpstr>2.4</vt:lpstr>
      <vt:lpstr>2.5</vt:lpstr>
      <vt:lpstr>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jobb</dc:creator>
  <cp:lastModifiedBy>Trond jobb</cp:lastModifiedBy>
  <cp:lastPrinted>2011-01-14T13:08:34Z</cp:lastPrinted>
  <dcterms:created xsi:type="dcterms:W3CDTF">1997-01-16T18:32:43Z</dcterms:created>
  <dcterms:modified xsi:type="dcterms:W3CDTF">2019-02-10T11:35:11Z</dcterms:modified>
</cp:coreProperties>
</file>