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rbr\OneDrive - OsloMet\Lærebok 6. utgave\Slides mv 6. utgave til forlag\Excel oppgaver\"/>
    </mc:Choice>
  </mc:AlternateContent>
  <bookViews>
    <workbookView xWindow="240" yWindow="15" windowWidth="11580" windowHeight="6540" activeTab="7"/>
  </bookViews>
  <sheets>
    <sheet name="Opp 1" sheetId="10" r:id="rId1"/>
    <sheet name="Opp 2" sheetId="7" r:id="rId2"/>
    <sheet name="Opp 3" sheetId="6" r:id="rId3"/>
    <sheet name="Opp 4" sheetId="5" r:id="rId4"/>
    <sheet name="Oppg 5" sheetId="8" r:id="rId5"/>
    <sheet name="Oppg 6" sheetId="9" r:id="rId6"/>
    <sheet name="Opp 7" sheetId="11" r:id="rId7"/>
    <sheet name="Opp 8" sheetId="12" r:id="rId8"/>
  </sheets>
  <calcPr calcId="162913" iterate="1"/>
</workbook>
</file>

<file path=xl/calcChain.xml><?xml version="1.0" encoding="utf-8"?>
<calcChain xmlns="http://schemas.openxmlformats.org/spreadsheetml/2006/main">
  <c r="B16" i="8" l="1"/>
  <c r="D13" i="8" l="1"/>
  <c r="E13" i="8"/>
  <c r="C13" i="8"/>
  <c r="B24" i="12" l="1"/>
  <c r="C20" i="12"/>
  <c r="B20" i="12"/>
  <c r="B11" i="12"/>
  <c r="C7" i="12"/>
  <c r="B7" i="12"/>
  <c r="B15" i="11"/>
  <c r="D14" i="11"/>
  <c r="D15" i="11" s="1"/>
  <c r="E14" i="11"/>
  <c r="F14" i="11"/>
  <c r="C14" i="11"/>
  <c r="A14" i="11"/>
  <c r="D13" i="11"/>
  <c r="E13" i="11"/>
  <c r="E15" i="11" s="1"/>
  <c r="F13" i="11"/>
  <c r="C13" i="11"/>
  <c r="C15" i="11" s="1"/>
  <c r="B7" i="11"/>
  <c r="B14" i="10"/>
  <c r="B15" i="10" s="1"/>
  <c r="B12" i="10"/>
  <c r="B10" i="10"/>
  <c r="B8" i="10"/>
  <c r="D39" i="9"/>
  <c r="E39" i="9"/>
  <c r="C39" i="9"/>
  <c r="E40" i="9"/>
  <c r="D40" i="9"/>
  <c r="C40" i="9"/>
  <c r="E38" i="9"/>
  <c r="D38" i="9"/>
  <c r="C38" i="9"/>
  <c r="E37" i="9"/>
  <c r="D37" i="9"/>
  <c r="D41" i="9" s="1"/>
  <c r="C37" i="9"/>
  <c r="B25" i="9"/>
  <c r="B26" i="9"/>
  <c r="D24" i="9"/>
  <c r="E24" i="9"/>
  <c r="C24" i="9"/>
  <c r="D23" i="9"/>
  <c r="E23" i="9"/>
  <c r="C23" i="9"/>
  <c r="D22" i="9"/>
  <c r="E22" i="9"/>
  <c r="C22" i="9"/>
  <c r="D21" i="9"/>
  <c r="E21" i="9"/>
  <c r="E26" i="9"/>
  <c r="C21" i="9"/>
  <c r="B12" i="9"/>
  <c r="B7" i="9"/>
  <c r="E14" i="8"/>
  <c r="E17" i="8" s="1"/>
  <c r="B14" i="8"/>
  <c r="B15" i="8" s="1"/>
  <c r="D17" i="8"/>
  <c r="C17" i="8"/>
  <c r="C7" i="8"/>
  <c r="D7" i="8"/>
  <c r="E7" i="8"/>
  <c r="B7" i="8"/>
  <c r="B5" i="7"/>
  <c r="B6" i="7"/>
  <c r="B7" i="7"/>
  <c r="B3" i="6"/>
  <c r="B5" i="6" s="1"/>
  <c r="B12" i="6"/>
  <c r="B16" i="6"/>
  <c r="B20" i="6" s="1"/>
  <c r="C17" i="6"/>
  <c r="C20" i="6" s="1"/>
  <c r="D17" i="6"/>
  <c r="E17" i="6"/>
  <c r="C18" i="6"/>
  <c r="D18" i="6"/>
  <c r="E18" i="6"/>
  <c r="C19" i="6"/>
  <c r="D19" i="6"/>
  <c r="E19" i="6"/>
  <c r="B26" i="6"/>
  <c r="C27" i="6"/>
  <c r="C30" i="6" s="1"/>
  <c r="D27" i="6"/>
  <c r="E27" i="6"/>
  <c r="C28" i="6"/>
  <c r="D28" i="6"/>
  <c r="D30" i="6" s="1"/>
  <c r="E28" i="6"/>
  <c r="C29" i="6"/>
  <c r="D29" i="6"/>
  <c r="E29" i="6"/>
  <c r="B30" i="6"/>
  <c r="B39" i="6"/>
  <c r="B43" i="6" s="1"/>
  <c r="C40" i="6"/>
  <c r="D40" i="6"/>
  <c r="E40" i="6"/>
  <c r="C41" i="6"/>
  <c r="D41" i="6"/>
  <c r="E41" i="6"/>
  <c r="E43" i="6" s="1"/>
  <c r="C42" i="6"/>
  <c r="D42" i="6"/>
  <c r="D43" i="6" s="1"/>
  <c r="E42" i="6"/>
  <c r="B6" i="5"/>
  <c r="B11" i="5"/>
  <c r="C11" i="5"/>
  <c r="D11" i="5"/>
  <c r="E11" i="5"/>
  <c r="B13" i="5" s="1"/>
  <c r="B15" i="5" s="1"/>
  <c r="F11" i="5"/>
  <c r="B16" i="5"/>
  <c r="B44" i="9"/>
  <c r="B43" i="9" s="1"/>
  <c r="B45" i="9" s="1"/>
  <c r="D42" i="9" l="1"/>
  <c r="D45" i="9"/>
  <c r="E41" i="9"/>
  <c r="E42" i="9" s="1"/>
  <c r="F15" i="11"/>
  <c r="B17" i="8"/>
  <c r="B19" i="8" s="1"/>
  <c r="B32" i="6"/>
  <c r="D26" i="9"/>
  <c r="C41" i="9"/>
  <c r="C42" i="9" s="1"/>
  <c r="C45" i="9" s="1"/>
  <c r="E30" i="6"/>
  <c r="E20" i="6"/>
  <c r="B9" i="8"/>
  <c r="C43" i="6"/>
  <c r="D20" i="6"/>
  <c r="B22" i="6" s="1"/>
  <c r="C26" i="9"/>
  <c r="B13" i="12"/>
  <c r="B26" i="12"/>
  <c r="B17" i="5"/>
  <c r="B28" i="9"/>
  <c r="C16" i="11"/>
  <c r="C18" i="11" s="1"/>
  <c r="D16" i="11"/>
  <c r="D18" i="11" s="1"/>
  <c r="E16" i="11"/>
  <c r="E18" i="11" s="1"/>
  <c r="B45" i="6"/>
  <c r="E45" i="9"/>
  <c r="F16" i="11"/>
  <c r="B14" i="5"/>
  <c r="B17" i="11"/>
  <c r="B18" i="11" s="1"/>
  <c r="F18" i="11" l="1"/>
  <c r="B20" i="11"/>
  <c r="B21" i="11" s="1"/>
  <c r="B22" i="11"/>
  <c r="B47" i="9"/>
</calcChain>
</file>

<file path=xl/sharedStrings.xml><?xml version="1.0" encoding="utf-8"?>
<sst xmlns="http://schemas.openxmlformats.org/spreadsheetml/2006/main" count="162" uniqueCount="83">
  <si>
    <t>Skattesats</t>
  </si>
  <si>
    <t>Inflasjon</t>
  </si>
  <si>
    <t>Realrente før skatt</t>
  </si>
  <si>
    <t>Realrente etter skatt</t>
  </si>
  <si>
    <t>Pålydende rente</t>
  </si>
  <si>
    <t>Nominell rente</t>
  </si>
  <si>
    <t>Salgspris</t>
  </si>
  <si>
    <t>Variable enhetskostnader</t>
  </si>
  <si>
    <t>Dekningsbidrag</t>
  </si>
  <si>
    <t>Faste enhetskostnader</t>
  </si>
  <si>
    <t>Fortjeneste</t>
  </si>
  <si>
    <t>Anleggsmidler</t>
  </si>
  <si>
    <t>Generell prisstigning</t>
  </si>
  <si>
    <t>Opprinnelig salgsanslag</t>
  </si>
  <si>
    <t>Nytt salgsanslag</t>
  </si>
  <si>
    <t>År</t>
  </si>
  <si>
    <t>Omsetning</t>
  </si>
  <si>
    <t>Variable kostnader</t>
  </si>
  <si>
    <t>Faste kostnader</t>
  </si>
  <si>
    <t>Oppgave a</t>
  </si>
  <si>
    <t>Kontantstrøm</t>
  </si>
  <si>
    <t>Nåverdi</t>
  </si>
  <si>
    <t>Nominelt avkastningskrav</t>
  </si>
  <si>
    <t>Realavkastningskrav</t>
  </si>
  <si>
    <t>Oppgave b</t>
  </si>
  <si>
    <t>Oppgave c</t>
  </si>
  <si>
    <t>Lønnsvekst</t>
  </si>
  <si>
    <t>Kostnadsvekst faste k</t>
  </si>
  <si>
    <t>Investering</t>
  </si>
  <si>
    <t>Prisstigning</t>
  </si>
  <si>
    <t>Effektiv skattesats</t>
  </si>
  <si>
    <t>EK-andel</t>
  </si>
  <si>
    <t>Gjeldsandel</t>
  </si>
  <si>
    <t>Lånerente</t>
  </si>
  <si>
    <t>Skatt rente</t>
  </si>
  <si>
    <t>Nominell internrente</t>
  </si>
  <si>
    <t>Reell internrente før skatt</t>
  </si>
  <si>
    <t>Reell internrente etter skatt</t>
  </si>
  <si>
    <t>Reell egenkapitalavkastning</t>
  </si>
  <si>
    <t>Reell lånerente etter skatt</t>
  </si>
  <si>
    <t>Kontantstrøm drift</t>
  </si>
  <si>
    <t>Kontantstrøm før skatt</t>
  </si>
  <si>
    <t>Skatt</t>
  </si>
  <si>
    <t>Avskrivningssats</t>
  </si>
  <si>
    <t>Anleggsmiddel</t>
  </si>
  <si>
    <t>Internrente før skatt</t>
  </si>
  <si>
    <t>NV spart skatt avskrivning</t>
  </si>
  <si>
    <t>NV økt skatt nedskrivning</t>
  </si>
  <si>
    <t>Beregningsgrunnlag</t>
  </si>
  <si>
    <t>Nåverdi etter skatt</t>
  </si>
  <si>
    <t>Avkastningskrav</t>
  </si>
  <si>
    <t>Råvarer</t>
  </si>
  <si>
    <t>Lønn</t>
  </si>
  <si>
    <t>Andre betalbare k.</t>
  </si>
  <si>
    <t>Materialkostnader</t>
  </si>
  <si>
    <t>Lønnskostnader</t>
  </si>
  <si>
    <t>Resultat</t>
  </si>
  <si>
    <t>NV spart skatt pga avskr.</t>
  </si>
  <si>
    <t>Årlig nominell prisvekst leiligheter i Oslo</t>
  </si>
  <si>
    <t>Årlig inflasjon målt ved KPI</t>
  </si>
  <si>
    <t>Nominell prisvekst leiligheter Arendal</t>
  </si>
  <si>
    <t>Realprisvekst Oslo</t>
  </si>
  <si>
    <t>Realprisvekst 4 % gir nominell vekst</t>
  </si>
  <si>
    <t>Spart lønn</t>
  </si>
  <si>
    <t>Økning</t>
  </si>
  <si>
    <t>Andre kostnader</t>
  </si>
  <si>
    <t>Generell prisvekst</t>
  </si>
  <si>
    <t>Nominelt avk krav</t>
  </si>
  <si>
    <t>Nomiell internrente før skatt</t>
  </si>
  <si>
    <t>1 til 10</t>
  </si>
  <si>
    <t>Investeringsutgift</t>
  </si>
  <si>
    <t>Inntekter</t>
  </si>
  <si>
    <t>Lønn sykepleiere</t>
  </si>
  <si>
    <t>Lønn hjelpepleiere</t>
  </si>
  <si>
    <t>Nominelt avkastningskrav sykehjem</t>
  </si>
  <si>
    <t>Realavkastningskrav sykehjem</t>
  </si>
  <si>
    <t>Nåverdi sykehjem</t>
  </si>
  <si>
    <t>Nåverdi omsorgsbolig</t>
  </si>
  <si>
    <t>Pris Oslo 1998</t>
  </si>
  <si>
    <t>Pris Arendal 2002</t>
  </si>
  <si>
    <t>Pris Arendal 2018</t>
  </si>
  <si>
    <t>Markespris i Oslo 2018</t>
  </si>
  <si>
    <t>Pris i Arendal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</si>
</sst>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\ %"/>
    <numFmt numFmtId="166" formatCode="_ * #,##0_ ;_ * \-#,##0_ ;_ * &quot;-&quot;??_ ;_ @_ 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65" fontId="0" fillId="3" borderId="1" xfId="0" applyNumberFormat="1" applyFill="1" applyBorder="1"/>
    <xf numFmtId="165" fontId="0" fillId="3" borderId="2" xfId="0" applyNumberFormat="1" applyFill="1" applyBorder="1"/>
    <xf numFmtId="0" fontId="0" fillId="3" borderId="2" xfId="0" applyFill="1" applyBorder="1"/>
    <xf numFmtId="10" fontId="0" fillId="3" borderId="2" xfId="2" applyNumberFormat="1" applyFont="1" applyFill="1" applyBorder="1"/>
    <xf numFmtId="0" fontId="0" fillId="0" borderId="4" xfId="0" applyBorder="1"/>
    <xf numFmtId="0" fontId="0" fillId="2" borderId="5" xfId="0" applyFill="1" applyBorder="1"/>
    <xf numFmtId="0" fontId="0" fillId="2" borderId="4" xfId="0" applyFill="1" applyBorder="1"/>
    <xf numFmtId="0" fontId="0" fillId="3" borderId="1" xfId="0" applyFill="1" applyBorder="1"/>
    <xf numFmtId="0" fontId="0" fillId="3" borderId="3" xfId="0" applyFill="1" applyBorder="1"/>
    <xf numFmtId="0" fontId="0" fillId="4" borderId="6" xfId="0" applyFill="1" applyBorder="1"/>
    <xf numFmtId="0" fontId="0" fillId="4" borderId="3" xfId="0" applyFill="1" applyBorder="1"/>
    <xf numFmtId="3" fontId="0" fillId="0" borderId="1" xfId="0" applyNumberFormat="1" applyBorder="1"/>
    <xf numFmtId="3" fontId="0" fillId="3" borderId="1" xfId="0" applyNumberFormat="1" applyFill="1" applyBorder="1"/>
    <xf numFmtId="3" fontId="0" fillId="3" borderId="2" xfId="0" applyNumberFormat="1" applyFill="1" applyBorder="1"/>
    <xf numFmtId="9" fontId="0" fillId="3" borderId="2" xfId="0" applyNumberFormat="1" applyFill="1" applyBorder="1"/>
    <xf numFmtId="9" fontId="0" fillId="3" borderId="3" xfId="0" applyNumberFormat="1" applyFill="1" applyBorder="1"/>
    <xf numFmtId="0" fontId="0" fillId="2" borderId="6" xfId="0" applyFill="1" applyBorder="1"/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0" fillId="0" borderId="0" xfId="0" applyFill="1" applyBorder="1"/>
    <xf numFmtId="9" fontId="0" fillId="0" borderId="0" xfId="0" applyNumberFormat="1" applyFill="1" applyBorder="1"/>
    <xf numFmtId="0" fontId="0" fillId="6" borderId="6" xfId="0" applyFill="1" applyBorder="1"/>
    <xf numFmtId="166" fontId="0" fillId="0" borderId="2" xfId="1" applyNumberFormat="1" applyFont="1" applyBorder="1"/>
    <xf numFmtId="166" fontId="0" fillId="0" borderId="3" xfId="1" applyNumberFormat="1" applyFont="1" applyBorder="1"/>
    <xf numFmtId="3" fontId="0" fillId="0" borderId="3" xfId="0" applyNumberFormat="1" applyBorder="1"/>
    <xf numFmtId="0" fontId="0" fillId="0" borderId="1" xfId="0" applyFill="1" applyBorder="1"/>
    <xf numFmtId="3" fontId="0" fillId="4" borderId="3" xfId="0" applyNumberFormat="1" applyFill="1" applyBorder="1"/>
    <xf numFmtId="3" fontId="0" fillId="3" borderId="6" xfId="0" applyNumberFormat="1" applyFill="1" applyBorder="1"/>
    <xf numFmtId="0" fontId="0" fillId="2" borderId="7" xfId="0" applyFill="1" applyBorder="1"/>
    <xf numFmtId="165" fontId="0" fillId="3" borderId="3" xfId="0" applyNumberFormat="1" applyFill="1" applyBorder="1"/>
    <xf numFmtId="9" fontId="0" fillId="3" borderId="1" xfId="0" applyNumberFormat="1" applyFill="1" applyBorder="1"/>
    <xf numFmtId="1" fontId="0" fillId="5" borderId="6" xfId="0" applyNumberFormat="1" applyFill="1" applyBorder="1" applyAlignment="1">
      <alignment horizontal="center"/>
    </xf>
    <xf numFmtId="3" fontId="0" fillId="4" borderId="6" xfId="0" applyNumberFormat="1" applyFill="1" applyBorder="1"/>
    <xf numFmtId="166" fontId="0" fillId="4" borderId="6" xfId="1" applyNumberFormat="1" applyFont="1" applyFill="1" applyBorder="1"/>
    <xf numFmtId="10" fontId="0" fillId="3" borderId="1" xfId="0" applyNumberFormat="1" applyFill="1" applyBorder="1"/>
    <xf numFmtId="10" fontId="0" fillId="3" borderId="3" xfId="0" applyNumberFormat="1" applyFill="1" applyBorder="1"/>
    <xf numFmtId="3" fontId="0" fillId="0" borderId="2" xfId="0" applyNumberFormat="1" applyFill="1" applyBorder="1"/>
    <xf numFmtId="0" fontId="2" fillId="0" borderId="0" xfId="0" applyFont="1"/>
    <xf numFmtId="0" fontId="2" fillId="7" borderId="0" xfId="0" applyFont="1" applyFill="1"/>
    <xf numFmtId="0" fontId="2" fillId="0" borderId="8" xfId="0" applyFont="1" applyBorder="1"/>
    <xf numFmtId="0" fontId="2" fillId="8" borderId="6" xfId="0" applyFont="1" applyFill="1" applyBorder="1"/>
    <xf numFmtId="165" fontId="0" fillId="8" borderId="6" xfId="0" applyNumberFormat="1" applyFill="1" applyBorder="1"/>
    <xf numFmtId="0" fontId="2" fillId="9" borderId="9" xfId="0" applyFont="1" applyFill="1" applyBorder="1"/>
    <xf numFmtId="0" fontId="2" fillId="0" borderId="7" xfId="0" applyFont="1" applyBorder="1"/>
    <xf numFmtId="0" fontId="2" fillId="0" borderId="7" xfId="0" applyFont="1" applyFill="1" applyBorder="1"/>
    <xf numFmtId="0" fontId="2" fillId="0" borderId="4" xfId="0" applyFont="1" applyFill="1" applyBorder="1"/>
    <xf numFmtId="0" fontId="0" fillId="7" borderId="1" xfId="0" applyFill="1" applyBorder="1" applyAlignment="1">
      <alignment horizontal="center"/>
    </xf>
    <xf numFmtId="3" fontId="0" fillId="0" borderId="2" xfId="0" applyNumberFormat="1" applyBorder="1"/>
    <xf numFmtId="0" fontId="2" fillId="9" borderId="4" xfId="0" applyFont="1" applyFill="1" applyBorder="1"/>
    <xf numFmtId="166" fontId="0" fillId="9" borderId="3" xfId="0" applyNumberFormat="1" applyFill="1" applyBorder="1"/>
    <xf numFmtId="0" fontId="2" fillId="9" borderId="6" xfId="0" applyFont="1" applyFill="1" applyBorder="1"/>
    <xf numFmtId="0" fontId="2" fillId="7" borderId="10" xfId="0" applyFont="1" applyFill="1" applyBorder="1"/>
    <xf numFmtId="0" fontId="0" fillId="7" borderId="6" xfId="0" applyFill="1" applyBorder="1" applyAlignment="1">
      <alignment horizontal="center"/>
    </xf>
    <xf numFmtId="0" fontId="2" fillId="8" borderId="8" xfId="0" applyFont="1" applyFill="1" applyBorder="1"/>
    <xf numFmtId="10" fontId="0" fillId="8" borderId="6" xfId="0" applyNumberFormat="1" applyFill="1" applyBorder="1"/>
    <xf numFmtId="0" fontId="2" fillId="8" borderId="4" xfId="0" applyFont="1" applyFill="1" applyBorder="1"/>
    <xf numFmtId="0" fontId="2" fillId="7" borderId="1" xfId="0" applyFont="1" applyFill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8" borderId="3" xfId="0" applyFont="1" applyFill="1" applyBorder="1"/>
    <xf numFmtId="3" fontId="0" fillId="8" borderId="3" xfId="0" applyNumberFormat="1" applyFill="1" applyBorder="1"/>
    <xf numFmtId="0" fontId="2" fillId="7" borderId="6" xfId="0" applyFont="1" applyFill="1" applyBorder="1"/>
    <xf numFmtId="0" fontId="2" fillId="0" borderId="5" xfId="0" applyFont="1" applyFill="1" applyBorder="1"/>
    <xf numFmtId="3" fontId="0" fillId="0" borderId="1" xfId="0" applyNumberFormat="1" applyFill="1" applyBorder="1"/>
    <xf numFmtId="3" fontId="0" fillId="0" borderId="5" xfId="0" applyNumberFormat="1" applyFill="1" applyBorder="1"/>
    <xf numFmtId="0" fontId="0" fillId="0" borderId="7" xfId="0" applyBorder="1"/>
    <xf numFmtId="3" fontId="0" fillId="0" borderId="4" xfId="0" applyNumberFormat="1" applyBorder="1"/>
    <xf numFmtId="166" fontId="0" fillId="0" borderId="7" xfId="1" applyNumberFormat="1" applyFont="1" applyBorder="1"/>
    <xf numFmtId="166" fontId="0" fillId="0" borderId="4" xfId="1" applyNumberFormat="1" applyFont="1" applyBorder="1"/>
    <xf numFmtId="3" fontId="0" fillId="8" borderId="6" xfId="0" applyNumberFormat="1" applyFill="1" applyBorder="1"/>
    <xf numFmtId="166" fontId="0" fillId="0" borderId="0" xfId="1" applyNumberFormat="1" applyFont="1"/>
    <xf numFmtId="0" fontId="2" fillId="11" borderId="0" xfId="0" applyFont="1" applyFill="1"/>
    <xf numFmtId="0" fontId="2" fillId="12" borderId="0" xfId="0" applyFont="1" applyFill="1"/>
    <xf numFmtId="10" fontId="3" fillId="9" borderId="1" xfId="2" applyNumberFormat="1" applyFont="1" applyFill="1" applyBorder="1"/>
    <xf numFmtId="10" fontId="3" fillId="9" borderId="2" xfId="2" applyNumberFormat="1" applyFont="1" applyFill="1" applyBorder="1"/>
    <xf numFmtId="166" fontId="3" fillId="9" borderId="3" xfId="1" applyNumberFormat="1" applyFont="1" applyFill="1" applyBorder="1"/>
    <xf numFmtId="0" fontId="2" fillId="9" borderId="1" xfId="0" applyFont="1" applyFill="1" applyBorder="1"/>
    <xf numFmtId="0" fontId="2" fillId="9" borderId="2" xfId="0" applyFont="1" applyFill="1" applyBorder="1"/>
    <xf numFmtId="0" fontId="2" fillId="9" borderId="3" xfId="0" applyFont="1" applyFill="1" applyBorder="1"/>
    <xf numFmtId="0" fontId="1" fillId="10" borderId="0" xfId="0" applyFont="1" applyFill="1"/>
    <xf numFmtId="0" fontId="1" fillId="12" borderId="0" xfId="0" applyFont="1" applyFill="1"/>
    <xf numFmtId="3" fontId="0" fillId="8" borderId="1" xfId="0" applyNumberFormat="1" applyFill="1" applyBorder="1"/>
    <xf numFmtId="9" fontId="0" fillId="8" borderId="2" xfId="0" applyNumberFormat="1" applyFill="1" applyBorder="1"/>
    <xf numFmtId="3" fontId="0" fillId="8" borderId="2" xfId="0" applyNumberFormat="1" applyFill="1" applyBorder="1"/>
    <xf numFmtId="165" fontId="0" fillId="8" borderId="2" xfId="0" applyNumberFormat="1" applyFill="1" applyBorder="1"/>
    <xf numFmtId="9" fontId="0" fillId="8" borderId="3" xfId="0" applyNumberFormat="1" applyFill="1" applyBorder="1"/>
    <xf numFmtId="0" fontId="2" fillId="13" borderId="0" xfId="0" applyFont="1" applyFill="1" applyBorder="1"/>
    <xf numFmtId="0" fontId="2" fillId="13" borderId="8" xfId="0" applyFont="1" applyFill="1" applyBorder="1"/>
    <xf numFmtId="3" fontId="0" fillId="13" borderId="1" xfId="0" applyNumberFormat="1" applyFill="1" applyBorder="1"/>
    <xf numFmtId="3" fontId="0" fillId="13" borderId="2" xfId="0" applyNumberFormat="1" applyFill="1" applyBorder="1"/>
    <xf numFmtId="0" fontId="0" fillId="13" borderId="2" xfId="0" applyFill="1" applyBorder="1"/>
    <xf numFmtId="9" fontId="0" fillId="13" borderId="2" xfId="0" applyNumberFormat="1" applyFill="1" applyBorder="1"/>
    <xf numFmtId="9" fontId="0" fillId="13" borderId="3" xfId="0" applyNumberFormat="1" applyFill="1" applyBorder="1"/>
    <xf numFmtId="0" fontId="1" fillId="10" borderId="1" xfId="0" applyFont="1" applyFill="1" applyBorder="1"/>
    <xf numFmtId="0" fontId="1" fillId="10" borderId="2" xfId="0" applyFont="1" applyFill="1" applyBorder="1"/>
    <xf numFmtId="0" fontId="2" fillId="10" borderId="2" xfId="0" applyFont="1" applyFill="1" applyBorder="1"/>
    <xf numFmtId="0" fontId="2" fillId="10" borderId="3" xfId="0" applyFont="1" applyFill="1" applyBorder="1"/>
    <xf numFmtId="10" fontId="3" fillId="7" borderId="6" xfId="2" applyNumberFormat="1" applyFont="1" applyFill="1" applyBorder="1"/>
    <xf numFmtId="166" fontId="3" fillId="10" borderId="6" xfId="1" applyNumberFormat="1" applyFont="1" applyFill="1" applyBorder="1"/>
    <xf numFmtId="10" fontId="3" fillId="11" borderId="6" xfId="2" applyNumberFormat="1" applyFont="1" applyFill="1" applyBorder="1"/>
    <xf numFmtId="10" fontId="2" fillId="12" borderId="1" xfId="0" applyNumberFormat="1" applyFont="1" applyFill="1" applyBorder="1"/>
    <xf numFmtId="166" fontId="3" fillId="12" borderId="3" xfId="1" applyNumberFormat="1" applyFont="1" applyFill="1" applyBorder="1"/>
    <xf numFmtId="165" fontId="0" fillId="13" borderId="2" xfId="0" applyNumberFormat="1" applyFill="1" applyBorder="1"/>
    <xf numFmtId="10" fontId="0" fillId="13" borderId="2" xfId="2" applyNumberFormat="1" applyFont="1" applyFill="1" applyBorder="1"/>
    <xf numFmtId="0" fontId="0" fillId="13" borderId="3" xfId="0" applyFill="1" applyBorder="1"/>
    <xf numFmtId="10" fontId="0" fillId="13" borderId="3" xfId="2" applyNumberFormat="1" applyFont="1" applyFill="1" applyBorder="1"/>
    <xf numFmtId="0" fontId="1" fillId="13" borderId="1" xfId="0" applyFont="1" applyFill="1" applyBorder="1"/>
    <xf numFmtId="0" fontId="1" fillId="13" borderId="3" xfId="0" applyFont="1" applyFill="1" applyBorder="1"/>
    <xf numFmtId="9" fontId="0" fillId="8" borderId="1" xfId="0" applyNumberFormat="1" applyFill="1" applyBorder="1"/>
    <xf numFmtId="3" fontId="0" fillId="9" borderId="6" xfId="0" applyNumberFormat="1" applyFill="1" applyBorder="1"/>
    <xf numFmtId="3" fontId="0" fillId="0" borderId="5" xfId="0" applyNumberFormat="1" applyBorder="1"/>
    <xf numFmtId="3" fontId="0" fillId="9" borderId="10" xfId="0" applyNumberFormat="1" applyFill="1" applyBorder="1"/>
    <xf numFmtId="166" fontId="0" fillId="9" borderId="6" xfId="0" applyNumberFormat="1" applyFill="1" applyBorder="1"/>
    <xf numFmtId="0" fontId="2" fillId="8" borderId="10" xfId="0" applyFont="1" applyFill="1" applyBorder="1"/>
    <xf numFmtId="9" fontId="0" fillId="8" borderId="6" xfId="0" applyNumberFormat="1" applyFill="1" applyBorder="1"/>
    <xf numFmtId="9" fontId="0" fillId="0" borderId="1" xfId="0" applyNumberFormat="1" applyBorder="1"/>
    <xf numFmtId="9" fontId="0" fillId="0" borderId="3" xfId="0" applyNumberFormat="1" applyBorder="1"/>
    <xf numFmtId="0" fontId="0" fillId="8" borderId="1" xfId="0" applyFill="1" applyBorder="1"/>
    <xf numFmtId="0" fontId="0" fillId="8" borderId="3" xfId="0" applyFill="1" applyBorder="1"/>
    <xf numFmtId="9" fontId="0" fillId="9" borderId="1" xfId="0" applyNumberFormat="1" applyFill="1" applyBorder="1"/>
    <xf numFmtId="9" fontId="0" fillId="9" borderId="3" xfId="0" applyNumberFormat="1" applyFill="1" applyBorder="1"/>
    <xf numFmtId="0" fontId="2" fillId="0" borderId="1" xfId="0" applyFont="1" applyBorder="1"/>
    <xf numFmtId="9" fontId="0" fillId="0" borderId="2" xfId="0" applyNumberFormat="1" applyBorder="1"/>
    <xf numFmtId="166" fontId="3" fillId="7" borderId="3" xfId="1" applyNumberFormat="1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7" borderId="3" xfId="0" applyFont="1" applyFill="1" applyBorder="1"/>
    <xf numFmtId="3" fontId="0" fillId="7" borderId="3" xfId="0" applyNumberFormat="1" applyFill="1" applyBorder="1"/>
    <xf numFmtId="0" fontId="2" fillId="7" borderId="6" xfId="0" applyFont="1" applyFill="1" applyBorder="1" applyAlignment="1">
      <alignment horizontal="center"/>
    </xf>
    <xf numFmtId="3" fontId="0" fillId="7" borderId="6" xfId="0" applyNumberFormat="1" applyFill="1" applyBorder="1"/>
    <xf numFmtId="0" fontId="2" fillId="0" borderId="3" xfId="0" applyFont="1" applyBorder="1"/>
    <xf numFmtId="10" fontId="0" fillId="14" borderId="1" xfId="0" applyNumberFormat="1" applyFill="1" applyBorder="1"/>
    <xf numFmtId="10" fontId="0" fillId="14" borderId="2" xfId="0" applyNumberFormat="1" applyFill="1" applyBorder="1"/>
    <xf numFmtId="10" fontId="0" fillId="14" borderId="3" xfId="2" applyNumberFormat="1" applyFont="1" applyFill="1" applyBorder="1"/>
    <xf numFmtId="0" fontId="2" fillId="7" borderId="3" xfId="0" applyFont="1" applyFill="1" applyBorder="1"/>
    <xf numFmtId="0" fontId="2" fillId="14" borderId="1" xfId="0" applyFont="1" applyFill="1" applyBorder="1"/>
    <xf numFmtId="0" fontId="2" fillId="14" borderId="2" xfId="0" applyFont="1" applyFill="1" applyBorder="1"/>
    <xf numFmtId="0" fontId="2" fillId="14" borderId="3" xfId="0" applyFont="1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4" sqref="B14:B15"/>
    </sheetView>
  </sheetViews>
  <sheetFormatPr baseColWidth="10" defaultColWidth="9.140625" defaultRowHeight="12.75" x14ac:dyDescent="0.2"/>
  <cols>
    <col min="1" max="1" width="34.7109375" bestFit="1" customWidth="1"/>
    <col min="2" max="2" width="12.85546875" bestFit="1" customWidth="1"/>
  </cols>
  <sheetData>
    <row r="1" spans="1:2" x14ac:dyDescent="0.2">
      <c r="A1" s="101" t="s">
        <v>79</v>
      </c>
      <c r="B1" s="96">
        <v>650000</v>
      </c>
    </row>
    <row r="2" spans="1:2" x14ac:dyDescent="0.2">
      <c r="A2" s="102" t="s">
        <v>80</v>
      </c>
      <c r="B2" s="97">
        <v>1900000</v>
      </c>
    </row>
    <row r="3" spans="1:2" x14ac:dyDescent="0.2">
      <c r="A3" s="102" t="s">
        <v>78</v>
      </c>
      <c r="B3" s="97">
        <v>750000</v>
      </c>
    </row>
    <row r="4" spans="1:2" x14ac:dyDescent="0.2">
      <c r="A4" s="103" t="s">
        <v>15</v>
      </c>
      <c r="B4" s="98">
        <v>17</v>
      </c>
    </row>
    <row r="5" spans="1:2" x14ac:dyDescent="0.2">
      <c r="A5" s="103" t="s">
        <v>58</v>
      </c>
      <c r="B5" s="99">
        <v>0.08</v>
      </c>
    </row>
    <row r="6" spans="1:2" x14ac:dyDescent="0.2">
      <c r="A6" s="104" t="s">
        <v>59</v>
      </c>
      <c r="B6" s="100">
        <v>0.04</v>
      </c>
    </row>
    <row r="8" spans="1:2" x14ac:dyDescent="0.2">
      <c r="A8" s="45" t="s">
        <v>60</v>
      </c>
      <c r="B8" s="105">
        <f>(B2/B1)^(1/B4)-1</f>
        <v>6.5129387599948574E-2</v>
      </c>
    </row>
    <row r="10" spans="1:2" x14ac:dyDescent="0.2">
      <c r="A10" s="87" t="s">
        <v>81</v>
      </c>
      <c r="B10" s="106">
        <f>B3*(1+B5)^B4</f>
        <v>2775013.5411006478</v>
      </c>
    </row>
    <row r="12" spans="1:2" x14ac:dyDescent="0.2">
      <c r="A12" s="79" t="s">
        <v>61</v>
      </c>
      <c r="B12" s="107">
        <f>(B5-B6)/(1+B6)</f>
        <v>3.8461538461538464E-2</v>
      </c>
    </row>
    <row r="14" spans="1:2" x14ac:dyDescent="0.2">
      <c r="A14" s="80" t="s">
        <v>62</v>
      </c>
      <c r="B14" s="108">
        <f>4%*(1+B6)+B6</f>
        <v>8.1600000000000006E-2</v>
      </c>
    </row>
    <row r="15" spans="1:2" x14ac:dyDescent="0.2">
      <c r="A15" s="88" t="s">
        <v>82</v>
      </c>
      <c r="B15" s="109">
        <f>B1*(1+B14)^B4</f>
        <v>2466305.6213824558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9" sqref="E9"/>
    </sheetView>
  </sheetViews>
  <sheetFormatPr baseColWidth="10" defaultColWidth="11.42578125" defaultRowHeight="12.75" x14ac:dyDescent="0.2"/>
  <cols>
    <col min="1" max="1" width="18" bestFit="1" customWidth="1"/>
  </cols>
  <sheetData>
    <row r="1" spans="1:2" x14ac:dyDescent="0.2">
      <c r="A1" s="4" t="s">
        <v>4</v>
      </c>
      <c r="B1" s="7">
        <v>7.0000000000000007E-2</v>
      </c>
    </row>
    <row r="2" spans="1:2" x14ac:dyDescent="0.2">
      <c r="A2" s="5" t="s">
        <v>0</v>
      </c>
      <c r="B2" s="8">
        <v>0.22</v>
      </c>
    </row>
    <row r="3" spans="1:2" x14ac:dyDescent="0.2">
      <c r="A3" s="5" t="s">
        <v>1</v>
      </c>
      <c r="B3" s="8">
        <v>2.5000000000000001E-2</v>
      </c>
    </row>
    <row r="4" spans="1:2" x14ac:dyDescent="0.2">
      <c r="A4" s="5"/>
      <c r="B4" s="9"/>
    </row>
    <row r="5" spans="1:2" x14ac:dyDescent="0.2">
      <c r="A5" s="98" t="s">
        <v>5</v>
      </c>
      <c r="B5" s="110">
        <f>B1</f>
        <v>7.0000000000000007E-2</v>
      </c>
    </row>
    <row r="6" spans="1:2" x14ac:dyDescent="0.2">
      <c r="A6" s="98" t="s">
        <v>2</v>
      </c>
      <c r="B6" s="111">
        <f>(B1-B3)/(1+B3)</f>
        <v>4.3902439024390255E-2</v>
      </c>
    </row>
    <row r="7" spans="1:2" x14ac:dyDescent="0.2">
      <c r="A7" s="112" t="s">
        <v>3</v>
      </c>
      <c r="B7" s="113">
        <f>(B1*(1-B2)-B3)/(1+B3)</f>
        <v>2.8878048780487817E-2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I29" sqref="I29"/>
    </sheetView>
  </sheetViews>
  <sheetFormatPr baseColWidth="10" defaultColWidth="11.42578125" defaultRowHeight="12.75" x14ac:dyDescent="0.2"/>
  <cols>
    <col min="1" max="1" width="22.28515625" bestFit="1" customWidth="1"/>
  </cols>
  <sheetData>
    <row r="1" spans="1:5" x14ac:dyDescent="0.2">
      <c r="A1" s="12" t="s">
        <v>6</v>
      </c>
      <c r="B1" s="14">
        <v>600</v>
      </c>
    </row>
    <row r="2" spans="1:5" x14ac:dyDescent="0.2">
      <c r="A2" s="13" t="s">
        <v>7</v>
      </c>
      <c r="B2" s="15">
        <v>250</v>
      </c>
    </row>
    <row r="3" spans="1:5" x14ac:dyDescent="0.2">
      <c r="A3" s="12" t="s">
        <v>8</v>
      </c>
      <c r="B3" s="14">
        <f>B1-B2</f>
        <v>350</v>
      </c>
    </row>
    <row r="4" spans="1:5" x14ac:dyDescent="0.2">
      <c r="A4" s="13" t="s">
        <v>9</v>
      </c>
      <c r="B4" s="15">
        <v>300</v>
      </c>
    </row>
    <row r="5" spans="1:5" x14ac:dyDescent="0.2">
      <c r="A5" s="16" t="s">
        <v>10</v>
      </c>
      <c r="B5" s="17">
        <f>B3-B4</f>
        <v>50</v>
      </c>
    </row>
    <row r="7" spans="1:5" x14ac:dyDescent="0.2">
      <c r="A7" s="12" t="s">
        <v>13</v>
      </c>
      <c r="B7" s="19">
        <v>10000</v>
      </c>
    </row>
    <row r="8" spans="1:5" x14ac:dyDescent="0.2">
      <c r="A8" s="35" t="s">
        <v>14</v>
      </c>
      <c r="B8" s="20">
        <v>11500</v>
      </c>
    </row>
    <row r="9" spans="1:5" x14ac:dyDescent="0.2">
      <c r="A9" s="35" t="s">
        <v>11</v>
      </c>
      <c r="B9" s="20">
        <v>2000000</v>
      </c>
    </row>
    <row r="10" spans="1:5" x14ac:dyDescent="0.2">
      <c r="A10" s="35" t="s">
        <v>12</v>
      </c>
      <c r="B10" s="8">
        <v>0.02</v>
      </c>
    </row>
    <row r="11" spans="1:5" x14ac:dyDescent="0.2">
      <c r="A11" s="35" t="s">
        <v>22</v>
      </c>
      <c r="B11" s="8">
        <v>0.12</v>
      </c>
    </row>
    <row r="12" spans="1:5" x14ac:dyDescent="0.2">
      <c r="A12" s="13" t="s">
        <v>23</v>
      </c>
      <c r="B12" s="36">
        <f>(B11-B10)/(1+B10)</f>
        <v>9.8039215686274495E-2</v>
      </c>
    </row>
    <row r="13" spans="1:5" x14ac:dyDescent="0.2">
      <c r="A13" s="26"/>
      <c r="B13" s="27"/>
    </row>
    <row r="14" spans="1:5" x14ac:dyDescent="0.2">
      <c r="A14" s="28" t="s">
        <v>19</v>
      </c>
    </row>
    <row r="15" spans="1:5" x14ac:dyDescent="0.2">
      <c r="A15" s="24" t="s">
        <v>15</v>
      </c>
      <c r="B15" s="25">
        <v>0</v>
      </c>
      <c r="C15" s="25">
        <v>1</v>
      </c>
      <c r="D15" s="25">
        <v>2</v>
      </c>
      <c r="E15" s="25">
        <v>3</v>
      </c>
    </row>
    <row r="16" spans="1:5" x14ac:dyDescent="0.2">
      <c r="A16" s="32" t="s">
        <v>11</v>
      </c>
      <c r="B16" s="18">
        <f>-$B$9</f>
        <v>-2000000</v>
      </c>
      <c r="C16" s="1"/>
      <c r="D16" s="1"/>
      <c r="E16" s="1"/>
    </row>
    <row r="17" spans="1:5" x14ac:dyDescent="0.2">
      <c r="A17" s="2" t="s">
        <v>16</v>
      </c>
      <c r="B17" s="2"/>
      <c r="C17" s="29">
        <f>$B$1*$B$8*(1+$B$10)^C15</f>
        <v>7038000</v>
      </c>
      <c r="D17" s="29">
        <f>$B$1*$B$8*(1+$B$10)^D15</f>
        <v>7178760</v>
      </c>
      <c r="E17" s="29">
        <f>$B$1*$B$8*(1+$B$10)^E15</f>
        <v>7322335.1999999993</v>
      </c>
    </row>
    <row r="18" spans="1:5" x14ac:dyDescent="0.2">
      <c r="A18" s="2" t="s">
        <v>17</v>
      </c>
      <c r="B18" s="2"/>
      <c r="C18" s="29">
        <f>-$B$2*$B$8*(1+$B$10)^C15</f>
        <v>-2932500</v>
      </c>
      <c r="D18" s="29">
        <f>-$B$2*$B$8*(1+$B$10)^D15</f>
        <v>-2991150</v>
      </c>
      <c r="E18" s="29">
        <f>-$B$2*$B$8*(1+$B$10)^E15</f>
        <v>-3050973</v>
      </c>
    </row>
    <row r="19" spans="1:5" x14ac:dyDescent="0.2">
      <c r="A19" s="3" t="s">
        <v>18</v>
      </c>
      <c r="B19" s="3"/>
      <c r="C19" s="30">
        <f>-$B$4*$B$7*(1+$B$10)^C15</f>
        <v>-3060000</v>
      </c>
      <c r="D19" s="30">
        <f>-$B$4*$B$7*(1+$B$10)^D15</f>
        <v>-3121200</v>
      </c>
      <c r="E19" s="30">
        <f>-$B$4*$B$7*(1+$B$10)^E15</f>
        <v>-3183624</v>
      </c>
    </row>
    <row r="20" spans="1:5" x14ac:dyDescent="0.2">
      <c r="A20" s="17" t="s">
        <v>20</v>
      </c>
      <c r="B20" s="33">
        <f>SUM(B16:B19)</f>
        <v>-2000000</v>
      </c>
      <c r="C20" s="33">
        <f>SUM(C16:C19)</f>
        <v>1045500</v>
      </c>
      <c r="D20" s="33">
        <f>SUM(D16:D19)</f>
        <v>1066410</v>
      </c>
      <c r="E20" s="33">
        <f>SUM(E16:E19)</f>
        <v>1087738.1999999993</v>
      </c>
    </row>
    <row r="22" spans="1:5" x14ac:dyDescent="0.2">
      <c r="A22" s="23" t="s">
        <v>21</v>
      </c>
      <c r="B22" s="34">
        <f>B20+NPV(B11,C20:E20)</f>
        <v>557848.23136843927</v>
      </c>
    </row>
    <row r="24" spans="1:5" x14ac:dyDescent="0.2">
      <c r="A24" s="28" t="s">
        <v>24</v>
      </c>
    </row>
    <row r="25" spans="1:5" x14ac:dyDescent="0.2">
      <c r="A25" s="24" t="s">
        <v>15</v>
      </c>
      <c r="B25" s="25">
        <v>0</v>
      </c>
      <c r="C25" s="25">
        <v>1</v>
      </c>
      <c r="D25" s="25">
        <v>2</v>
      </c>
      <c r="E25" s="25">
        <v>3</v>
      </c>
    </row>
    <row r="26" spans="1:5" x14ac:dyDescent="0.2">
      <c r="A26" s="32" t="s">
        <v>11</v>
      </c>
      <c r="B26" s="18">
        <f>-$B$9</f>
        <v>-2000000</v>
      </c>
      <c r="C26" s="1"/>
      <c r="D26" s="1"/>
      <c r="E26" s="1"/>
    </row>
    <row r="27" spans="1:5" x14ac:dyDescent="0.2">
      <c r="A27" s="2" t="s">
        <v>16</v>
      </c>
      <c r="B27" s="2"/>
      <c r="C27" s="29">
        <f>$B$1*$B$8</f>
        <v>6900000</v>
      </c>
      <c r="D27" s="29">
        <f>$B$1*$B$8</f>
        <v>6900000</v>
      </c>
      <c r="E27" s="29">
        <f>$B$1*$B$8</f>
        <v>6900000</v>
      </c>
    </row>
    <row r="28" spans="1:5" x14ac:dyDescent="0.2">
      <c r="A28" s="2" t="s">
        <v>17</v>
      </c>
      <c r="B28" s="2"/>
      <c r="C28" s="29">
        <f>-$B$2*$B$8</f>
        <v>-2875000</v>
      </c>
      <c r="D28" s="29">
        <f>-$B$2*$B$8</f>
        <v>-2875000</v>
      </c>
      <c r="E28" s="29">
        <f>-$B$2*$B$8</f>
        <v>-2875000</v>
      </c>
    </row>
    <row r="29" spans="1:5" x14ac:dyDescent="0.2">
      <c r="A29" s="3" t="s">
        <v>18</v>
      </c>
      <c r="B29" s="3"/>
      <c r="C29" s="30">
        <f>-$B$4*$B$7</f>
        <v>-3000000</v>
      </c>
      <c r="D29" s="30">
        <f>-$B$4*$B$7</f>
        <v>-3000000</v>
      </c>
      <c r="E29" s="30">
        <f>-$B$4*$B$7</f>
        <v>-3000000</v>
      </c>
    </row>
    <row r="30" spans="1:5" x14ac:dyDescent="0.2">
      <c r="A30" s="17" t="s">
        <v>20</v>
      </c>
      <c r="B30" s="33">
        <f>SUM(B26:B29)</f>
        <v>-2000000</v>
      </c>
      <c r="C30" s="33">
        <f>SUM(C26:C29)</f>
        <v>1025000</v>
      </c>
      <c r="D30" s="33">
        <f>SUM(D26:D29)</f>
        <v>1025000</v>
      </c>
      <c r="E30" s="33">
        <f>SUM(E26:E29)</f>
        <v>1025000</v>
      </c>
    </row>
    <row r="32" spans="1:5" x14ac:dyDescent="0.2">
      <c r="A32" s="23" t="s">
        <v>21</v>
      </c>
      <c r="B32" s="34">
        <f>B30+NPV(B12,C30:E30)</f>
        <v>557848.23136843974</v>
      </c>
    </row>
    <row r="34" spans="1:5" x14ac:dyDescent="0.2">
      <c r="A34" s="28" t="s">
        <v>25</v>
      </c>
    </row>
    <row r="35" spans="1:5" x14ac:dyDescent="0.2">
      <c r="A35" s="4" t="s">
        <v>26</v>
      </c>
      <c r="B35" s="37">
        <v>0.05</v>
      </c>
    </row>
    <row r="36" spans="1:5" x14ac:dyDescent="0.2">
      <c r="A36" s="6" t="s">
        <v>27</v>
      </c>
      <c r="B36" s="22">
        <v>0.04</v>
      </c>
    </row>
    <row r="38" spans="1:5" x14ac:dyDescent="0.2">
      <c r="A38" s="24" t="s">
        <v>15</v>
      </c>
      <c r="B38" s="25">
        <v>0</v>
      </c>
      <c r="C38" s="25">
        <v>1</v>
      </c>
      <c r="D38" s="25">
        <v>2</v>
      </c>
      <c r="E38" s="25">
        <v>3</v>
      </c>
    </row>
    <row r="39" spans="1:5" x14ac:dyDescent="0.2">
      <c r="A39" s="32" t="s">
        <v>11</v>
      </c>
      <c r="B39" s="18">
        <f>-$B$9</f>
        <v>-2000000</v>
      </c>
      <c r="C39" s="1"/>
      <c r="D39" s="1"/>
      <c r="E39" s="1"/>
    </row>
    <row r="40" spans="1:5" x14ac:dyDescent="0.2">
      <c r="A40" s="2" t="s">
        <v>16</v>
      </c>
      <c r="B40" s="2"/>
      <c r="C40" s="29">
        <f>$B$1*$B$8*(1+$B$10)^C38</f>
        <v>7038000</v>
      </c>
      <c r="D40" s="29">
        <f>$B$1*$B$8*(1+$B$10)^D38</f>
        <v>7178760</v>
      </c>
      <c r="E40" s="29">
        <f>$B$1*$B$8*(1+$B$10)^E38</f>
        <v>7322335.1999999993</v>
      </c>
    </row>
    <row r="41" spans="1:5" x14ac:dyDescent="0.2">
      <c r="A41" s="2" t="s">
        <v>17</v>
      </c>
      <c r="B41" s="2"/>
      <c r="C41" s="29">
        <f>-$B$2*$B$8*(1+$B$35)^C38</f>
        <v>-3018750</v>
      </c>
      <c r="D41" s="29">
        <f>-$B$2*$B$8*(1+$B$35)^D38</f>
        <v>-3169687.5</v>
      </c>
      <c r="E41" s="29">
        <f>-$B$2*$B$8*(1+$B$35)^E38</f>
        <v>-3328171.8750000005</v>
      </c>
    </row>
    <row r="42" spans="1:5" x14ac:dyDescent="0.2">
      <c r="A42" s="3" t="s">
        <v>18</v>
      </c>
      <c r="B42" s="3"/>
      <c r="C42" s="30">
        <f>-$B$4*$B$7*(1+$B$36)^C38</f>
        <v>-3120000</v>
      </c>
      <c r="D42" s="30">
        <f>-$B$4*$B$7*(1+$B$36)^D38</f>
        <v>-3244800.0000000005</v>
      </c>
      <c r="E42" s="30">
        <f>-$B$4*$B$7*(1+$B$36)^E38</f>
        <v>-3374592.0000000005</v>
      </c>
    </row>
    <row r="43" spans="1:5" x14ac:dyDescent="0.2">
      <c r="A43" s="17" t="s">
        <v>20</v>
      </c>
      <c r="B43" s="33">
        <f>SUM(B39:B42)</f>
        <v>-2000000</v>
      </c>
      <c r="C43" s="33">
        <f>SUM(C39:C42)</f>
        <v>899250</v>
      </c>
      <c r="D43" s="33">
        <f>SUM(D39:D42)</f>
        <v>764272.49999999953</v>
      </c>
      <c r="E43" s="33">
        <f>SUM(E39:E42)</f>
        <v>619571.32499999832</v>
      </c>
    </row>
    <row r="45" spans="1:5" x14ac:dyDescent="0.2">
      <c r="A45" s="23" t="s">
        <v>21</v>
      </c>
      <c r="B45" s="34">
        <f>B43+NPV(B11,C43:E43)</f>
        <v>-146826.22525852057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9" sqref="B9"/>
    </sheetView>
  </sheetViews>
  <sheetFormatPr baseColWidth="10" defaultColWidth="11.42578125" defaultRowHeight="12.75" x14ac:dyDescent="0.2"/>
  <cols>
    <col min="1" max="1" width="24.140625" bestFit="1" customWidth="1"/>
  </cols>
  <sheetData>
    <row r="1" spans="1:6" x14ac:dyDescent="0.2">
      <c r="A1" s="4" t="s">
        <v>28</v>
      </c>
      <c r="B1" s="19">
        <v>550000</v>
      </c>
    </row>
    <row r="2" spans="1:6" x14ac:dyDescent="0.2">
      <c r="A2" s="5" t="s">
        <v>20</v>
      </c>
      <c r="B2" s="20">
        <v>200000</v>
      </c>
    </row>
    <row r="3" spans="1:6" x14ac:dyDescent="0.2">
      <c r="A3" s="5" t="s">
        <v>29</v>
      </c>
      <c r="B3" s="21">
        <v>0.05</v>
      </c>
    </row>
    <row r="4" spans="1:6" x14ac:dyDescent="0.2">
      <c r="A4" s="5" t="s">
        <v>30</v>
      </c>
      <c r="B4" s="21">
        <v>0.3</v>
      </c>
    </row>
    <row r="5" spans="1:6" x14ac:dyDescent="0.2">
      <c r="A5" s="5" t="s">
        <v>31</v>
      </c>
      <c r="B5" s="21">
        <v>0.4</v>
      </c>
    </row>
    <row r="6" spans="1:6" x14ac:dyDescent="0.2">
      <c r="A6" s="5" t="s">
        <v>32</v>
      </c>
      <c r="B6" s="21">
        <f>1-B5</f>
        <v>0.6</v>
      </c>
    </row>
    <row r="7" spans="1:6" x14ac:dyDescent="0.2">
      <c r="A7" s="5" t="s">
        <v>33</v>
      </c>
      <c r="B7" s="21">
        <v>0.09</v>
      </c>
    </row>
    <row r="8" spans="1:6" x14ac:dyDescent="0.2">
      <c r="A8" s="6" t="s">
        <v>34</v>
      </c>
      <c r="B8" s="22">
        <v>0.22</v>
      </c>
    </row>
    <row r="10" spans="1:6" x14ac:dyDescent="0.2">
      <c r="A10" s="24" t="s">
        <v>15</v>
      </c>
      <c r="B10" s="38">
        <v>0</v>
      </c>
      <c r="C10" s="25">
        <v>1</v>
      </c>
      <c r="D10" s="25">
        <v>2</v>
      </c>
      <c r="E10" s="25">
        <v>3</v>
      </c>
      <c r="F10" s="25">
        <v>4</v>
      </c>
    </row>
    <row r="11" spans="1:6" x14ac:dyDescent="0.2">
      <c r="A11" s="16" t="s">
        <v>20</v>
      </c>
      <c r="B11" s="39">
        <f>-$B$1</f>
        <v>-550000</v>
      </c>
      <c r="C11" s="40">
        <f>$B$2*(1+$B$3)^C10</f>
        <v>210000</v>
      </c>
      <c r="D11" s="40">
        <f>$B$2*(1+$B$3)^D10</f>
        <v>220500</v>
      </c>
      <c r="E11" s="40">
        <f>$B$2*(1+$B$3)^E10</f>
        <v>231525.00000000003</v>
      </c>
      <c r="F11" s="40">
        <f>$B$2*(1+$B$3)^F10</f>
        <v>243101.25</v>
      </c>
    </row>
    <row r="13" spans="1:6" x14ac:dyDescent="0.2">
      <c r="A13" s="4" t="s">
        <v>35</v>
      </c>
      <c r="B13" s="41">
        <f>IRR(B11:F11)</f>
        <v>0.22718840777571825</v>
      </c>
    </row>
    <row r="14" spans="1:6" x14ac:dyDescent="0.2">
      <c r="A14" s="5" t="s">
        <v>36</v>
      </c>
      <c r="B14" s="10">
        <f>(B13-B3)/(1+B3)</f>
        <v>0.1687508645483031</v>
      </c>
    </row>
    <row r="15" spans="1:6" x14ac:dyDescent="0.2">
      <c r="A15" s="5" t="s">
        <v>37</v>
      </c>
      <c r="B15" s="10">
        <f>(B13*(1-B4)-B3)/(1+B3)</f>
        <v>0.10383989089809785</v>
      </c>
    </row>
    <row r="16" spans="1:6" x14ac:dyDescent="0.2">
      <c r="A16" s="5" t="s">
        <v>39</v>
      </c>
      <c r="B16" s="10">
        <f>(B7*(1-B8)-B3)/(1+B3)</f>
        <v>1.9238095238095235E-2</v>
      </c>
    </row>
    <row r="17" spans="1:2" x14ac:dyDescent="0.2">
      <c r="A17" s="6" t="s">
        <v>38</v>
      </c>
      <c r="B17" s="42">
        <f>B15+(B15-B16)*B6/B5</f>
        <v>0.23074258438810175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24" sqref="D24"/>
    </sheetView>
  </sheetViews>
  <sheetFormatPr baseColWidth="10" defaultColWidth="9.140625" defaultRowHeight="12.75" x14ac:dyDescent="0.2"/>
  <cols>
    <col min="1" max="1" width="22.85546875" bestFit="1" customWidth="1"/>
    <col min="2" max="2" width="11.28515625" bestFit="1" customWidth="1"/>
    <col min="3" max="3" width="12" bestFit="1" customWidth="1"/>
    <col min="4" max="4" width="11.85546875" bestFit="1" customWidth="1"/>
    <col min="5" max="5" width="11.28515625" bestFit="1" customWidth="1"/>
  </cols>
  <sheetData>
    <row r="1" spans="1:5" x14ac:dyDescent="0.2">
      <c r="A1" s="114" t="s">
        <v>42</v>
      </c>
      <c r="B1" s="116">
        <v>0.22</v>
      </c>
    </row>
    <row r="2" spans="1:5" x14ac:dyDescent="0.2">
      <c r="A2" s="115" t="s">
        <v>43</v>
      </c>
      <c r="B2" s="93">
        <v>0.2</v>
      </c>
    </row>
    <row r="4" spans="1:5" x14ac:dyDescent="0.2">
      <c r="A4" s="69" t="s">
        <v>15</v>
      </c>
      <c r="B4" s="59">
        <v>0</v>
      </c>
      <c r="C4" s="59">
        <v>1</v>
      </c>
      <c r="D4" s="59">
        <v>2</v>
      </c>
      <c r="E4" s="59">
        <v>3</v>
      </c>
    </row>
    <row r="5" spans="1:5" x14ac:dyDescent="0.2">
      <c r="A5" s="44" t="s">
        <v>40</v>
      </c>
      <c r="B5" s="54"/>
      <c r="C5" s="118">
        <v>390000</v>
      </c>
      <c r="D5" s="54">
        <v>390000</v>
      </c>
      <c r="E5" s="54">
        <v>195000</v>
      </c>
    </row>
    <row r="6" spans="1:5" x14ac:dyDescent="0.2">
      <c r="A6" s="46" t="s">
        <v>44</v>
      </c>
      <c r="B6" s="31">
        <v>-900000</v>
      </c>
      <c r="C6" s="11"/>
      <c r="D6" s="3"/>
      <c r="E6" s="31">
        <v>383000</v>
      </c>
    </row>
    <row r="7" spans="1:5" x14ac:dyDescent="0.2">
      <c r="A7" s="49" t="s">
        <v>41</v>
      </c>
      <c r="B7" s="117">
        <f>SUM(B5:B6)</f>
        <v>-900000</v>
      </c>
      <c r="C7" s="119">
        <f>SUM(C5:C6)</f>
        <v>390000</v>
      </c>
      <c r="D7" s="117">
        <f>SUM(D5:D6)</f>
        <v>390000</v>
      </c>
      <c r="E7" s="117">
        <f>SUM(E5:E6)</f>
        <v>578000</v>
      </c>
    </row>
    <row r="9" spans="1:5" x14ac:dyDescent="0.2">
      <c r="A9" s="47" t="s">
        <v>45</v>
      </c>
      <c r="B9" s="48">
        <f>IRR(B7:E7)</f>
        <v>0.22000478130410972</v>
      </c>
    </row>
    <row r="11" spans="1:5" x14ac:dyDescent="0.2">
      <c r="A11" s="58" t="s">
        <v>15</v>
      </c>
      <c r="B11" s="59">
        <v>0</v>
      </c>
      <c r="C11" s="59">
        <v>1</v>
      </c>
      <c r="D11" s="59">
        <v>2</v>
      </c>
      <c r="E11" s="59">
        <v>3</v>
      </c>
    </row>
    <row r="12" spans="1:5" x14ac:dyDescent="0.2">
      <c r="A12" s="50" t="s">
        <v>40</v>
      </c>
      <c r="B12" s="29"/>
      <c r="C12" s="29">
        <v>390000</v>
      </c>
      <c r="D12" s="29">
        <v>390000</v>
      </c>
      <c r="E12" s="29">
        <v>195000</v>
      </c>
    </row>
    <row r="13" spans="1:5" x14ac:dyDescent="0.2">
      <c r="A13" s="51" t="s">
        <v>42</v>
      </c>
      <c r="B13" s="29"/>
      <c r="C13" s="29">
        <f>-$B$1*C12</f>
        <v>-85800</v>
      </c>
      <c r="D13" s="29">
        <f t="shared" ref="D13:E13" si="0">-$B$1*D12</f>
        <v>-85800</v>
      </c>
      <c r="E13" s="29">
        <f t="shared" si="0"/>
        <v>-42900</v>
      </c>
    </row>
    <row r="14" spans="1:5" x14ac:dyDescent="0.2">
      <c r="A14" s="51" t="s">
        <v>44</v>
      </c>
      <c r="B14" s="54">
        <f>B6</f>
        <v>-900000</v>
      </c>
      <c r="C14" s="2"/>
      <c r="D14" s="2"/>
      <c r="E14" s="54">
        <f>E6</f>
        <v>383000</v>
      </c>
    </row>
    <row r="15" spans="1:5" x14ac:dyDescent="0.2">
      <c r="A15" s="51" t="s">
        <v>46</v>
      </c>
      <c r="B15" s="29">
        <f>-B14*B2*B1/(B2+B21)</f>
        <v>136551.72413793101</v>
      </c>
      <c r="C15" s="2"/>
      <c r="D15" s="2"/>
      <c r="E15" s="2"/>
    </row>
    <row r="16" spans="1:5" x14ac:dyDescent="0.2">
      <c r="A16" s="52" t="s">
        <v>47</v>
      </c>
      <c r="B16" s="30">
        <f>-E14*B1*B2/((1+B21)^3*(B2+B21))</f>
        <v>-44871.84829651397</v>
      </c>
      <c r="C16" s="3"/>
      <c r="D16" s="3"/>
      <c r="E16" s="3"/>
    </row>
    <row r="17" spans="1:5" x14ac:dyDescent="0.2">
      <c r="A17" s="55" t="s">
        <v>48</v>
      </c>
      <c r="B17" s="56">
        <f>SUM(B12:B16)</f>
        <v>-808320.124158583</v>
      </c>
      <c r="C17" s="56">
        <f>SUM(C12:C16)</f>
        <v>304200</v>
      </c>
      <c r="D17" s="56">
        <f>SUM(D12:D16)</f>
        <v>304200</v>
      </c>
      <c r="E17" s="56">
        <f>SUM(E12:E16)</f>
        <v>535100</v>
      </c>
    </row>
    <row r="19" spans="1:5" x14ac:dyDescent="0.2">
      <c r="A19" s="57" t="s">
        <v>49</v>
      </c>
      <c r="B19" s="120">
        <f>NPV(B21,C17:E17)+B17</f>
        <v>139996.87878111936</v>
      </c>
    </row>
    <row r="21" spans="1:5" x14ac:dyDescent="0.2">
      <c r="A21" s="121" t="s">
        <v>50</v>
      </c>
      <c r="B21" s="122">
        <v>0.09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3" workbookViewId="0">
      <selection activeCell="M34" sqref="M34"/>
    </sheetView>
  </sheetViews>
  <sheetFormatPr baseColWidth="10" defaultColWidth="9.140625" defaultRowHeight="12.75" x14ac:dyDescent="0.2"/>
  <cols>
    <col min="1" max="1" width="21.5703125" customWidth="1"/>
    <col min="2" max="2" width="10.7109375" customWidth="1"/>
    <col min="3" max="3" width="10.140625" customWidth="1"/>
    <col min="4" max="4" width="10.42578125" customWidth="1"/>
    <col min="5" max="5" width="10.28515625" customWidth="1"/>
  </cols>
  <sheetData>
    <row r="1" spans="1:5" x14ac:dyDescent="0.2">
      <c r="A1" s="125" t="s">
        <v>42</v>
      </c>
      <c r="B1" s="127">
        <v>0.22</v>
      </c>
    </row>
    <row r="2" spans="1:5" x14ac:dyDescent="0.2">
      <c r="A2" s="126" t="s">
        <v>43</v>
      </c>
      <c r="B2" s="128">
        <v>0.2</v>
      </c>
    </row>
    <row r="4" spans="1:5" x14ac:dyDescent="0.2">
      <c r="A4" s="69" t="s">
        <v>15</v>
      </c>
      <c r="B4" s="59">
        <v>0</v>
      </c>
      <c r="C4" s="59">
        <v>1</v>
      </c>
      <c r="D4" s="59">
        <v>2</v>
      </c>
      <c r="E4" s="59">
        <v>3</v>
      </c>
    </row>
    <row r="5" spans="1:5" x14ac:dyDescent="0.2">
      <c r="A5" s="60" t="s">
        <v>41</v>
      </c>
      <c r="B5" s="68">
        <v>-3000000</v>
      </c>
      <c r="C5" s="68">
        <v>1320000</v>
      </c>
      <c r="D5" s="68">
        <v>1452000</v>
      </c>
      <c r="E5" s="68">
        <v>1597200</v>
      </c>
    </row>
    <row r="7" spans="1:5" x14ac:dyDescent="0.2">
      <c r="A7" s="47" t="s">
        <v>35</v>
      </c>
      <c r="B7" s="61">
        <f>IRR(B5:E5)</f>
        <v>0.20671128314359999</v>
      </c>
    </row>
    <row r="9" spans="1:5" x14ac:dyDescent="0.2">
      <c r="A9" s="58" t="s">
        <v>15</v>
      </c>
      <c r="B9" s="59">
        <v>0</v>
      </c>
      <c r="C9" s="59">
        <v>1</v>
      </c>
      <c r="D9" s="59">
        <v>2</v>
      </c>
      <c r="E9" s="59">
        <v>3</v>
      </c>
    </row>
    <row r="10" spans="1:5" x14ac:dyDescent="0.2">
      <c r="A10" s="62" t="s">
        <v>41</v>
      </c>
      <c r="B10" s="68">
        <v>-3000000</v>
      </c>
      <c r="C10" s="68">
        <v>1200000</v>
      </c>
      <c r="D10" s="68">
        <v>1200000</v>
      </c>
      <c r="E10" s="68">
        <v>1200000</v>
      </c>
    </row>
    <row r="12" spans="1:5" x14ac:dyDescent="0.2">
      <c r="A12" s="47" t="s">
        <v>35</v>
      </c>
      <c r="B12" s="61">
        <f>IRR(B10:E10)</f>
        <v>9.7010257403272959E-2</v>
      </c>
    </row>
    <row r="15" spans="1:5" x14ac:dyDescent="0.2">
      <c r="A15" s="129" t="s">
        <v>16</v>
      </c>
      <c r="B15" s="18">
        <v>2200000</v>
      </c>
      <c r="C15" s="123">
        <v>0.1</v>
      </c>
    </row>
    <row r="16" spans="1:5" x14ac:dyDescent="0.2">
      <c r="A16" s="64" t="s">
        <v>51</v>
      </c>
      <c r="B16" s="54">
        <v>400000</v>
      </c>
      <c r="C16" s="130">
        <v>0.1</v>
      </c>
    </row>
    <row r="17" spans="1:5" x14ac:dyDescent="0.2">
      <c r="A17" s="65" t="s">
        <v>52</v>
      </c>
      <c r="B17" s="54">
        <v>500000</v>
      </c>
      <c r="C17" s="130">
        <v>0.05</v>
      </c>
    </row>
    <row r="18" spans="1:5" x14ac:dyDescent="0.2">
      <c r="A18" s="66" t="s">
        <v>53</v>
      </c>
      <c r="B18" s="31">
        <v>100000</v>
      </c>
      <c r="C18" s="124">
        <v>0.1</v>
      </c>
    </row>
    <row r="20" spans="1:5" x14ac:dyDescent="0.2">
      <c r="A20" s="69" t="s">
        <v>15</v>
      </c>
      <c r="B20" s="59">
        <v>0</v>
      </c>
      <c r="C20" s="59">
        <v>1</v>
      </c>
      <c r="D20" s="59">
        <v>2</v>
      </c>
      <c r="E20" s="59">
        <v>3</v>
      </c>
    </row>
    <row r="21" spans="1:5" x14ac:dyDescent="0.2">
      <c r="A21" s="65" t="s">
        <v>16</v>
      </c>
      <c r="B21" s="43"/>
      <c r="C21" s="43">
        <f>$B$15*(1+$C$15)^C20</f>
        <v>2420000</v>
      </c>
      <c r="D21" s="43">
        <f>$B$15*(1+$C$15)^D20</f>
        <v>2662000.0000000005</v>
      </c>
      <c r="E21" s="43">
        <f>$B$15*(1+$C$15)^E20</f>
        <v>2928200.0000000009</v>
      </c>
    </row>
    <row r="22" spans="1:5" x14ac:dyDescent="0.2">
      <c r="A22" s="64" t="s">
        <v>54</v>
      </c>
      <c r="B22" s="2"/>
      <c r="C22" s="29">
        <f>-$B$16*(1+$C$16)^C20</f>
        <v>-440000.00000000006</v>
      </c>
      <c r="D22" s="29">
        <f>-$B$16*(1+$C$16)^D20</f>
        <v>-484000.00000000006</v>
      </c>
      <c r="E22" s="29">
        <f>-$B$16*(1+$C$16)^E20</f>
        <v>-532400.00000000012</v>
      </c>
    </row>
    <row r="23" spans="1:5" x14ac:dyDescent="0.2">
      <c r="A23" s="65" t="s">
        <v>55</v>
      </c>
      <c r="B23" s="2"/>
      <c r="C23" s="29">
        <f>-$B$17*(1+$C$17)^C20</f>
        <v>-525000</v>
      </c>
      <c r="D23" s="29">
        <f>-$B$17*(1+$C$17)^D20</f>
        <v>-551250</v>
      </c>
      <c r="E23" s="29">
        <f>-$B$17*(1+$C$17)^E20</f>
        <v>-578812.50000000012</v>
      </c>
    </row>
    <row r="24" spans="1:5" x14ac:dyDescent="0.2">
      <c r="A24" s="65" t="s">
        <v>53</v>
      </c>
      <c r="B24" s="2"/>
      <c r="C24" s="29">
        <f>-$B$18*(1+$C$18)^C20</f>
        <v>-110000.00000000001</v>
      </c>
      <c r="D24" s="29">
        <f>-$B$18*(1+$C$18)^D20</f>
        <v>-121000.00000000001</v>
      </c>
      <c r="E24" s="29">
        <f>-$B$18*(1+$C$18)^E20</f>
        <v>-133100.00000000003</v>
      </c>
    </row>
    <row r="25" spans="1:5" x14ac:dyDescent="0.2">
      <c r="A25" s="66" t="s">
        <v>11</v>
      </c>
      <c r="B25" s="31">
        <f>B10</f>
        <v>-3000000</v>
      </c>
      <c r="C25" s="3"/>
      <c r="D25" s="3"/>
      <c r="E25" s="3"/>
    </row>
    <row r="26" spans="1:5" x14ac:dyDescent="0.2">
      <c r="A26" s="67" t="s">
        <v>41</v>
      </c>
      <c r="B26" s="68">
        <f>SUM(B21:B25)</f>
        <v>-3000000</v>
      </c>
      <c r="C26" s="68">
        <f>SUM(C21:C25)</f>
        <v>1345000</v>
      </c>
      <c r="D26" s="68">
        <f>SUM(D21:D25)</f>
        <v>1505750.0000000005</v>
      </c>
      <c r="E26" s="68">
        <f>SUM(E21:E25)</f>
        <v>1683887.5000000009</v>
      </c>
    </row>
    <row r="28" spans="1:5" x14ac:dyDescent="0.2">
      <c r="A28" s="47" t="s">
        <v>35</v>
      </c>
      <c r="B28" s="48">
        <f>IRR(B26:E26)</f>
        <v>0.22865843383807549</v>
      </c>
    </row>
    <row r="31" spans="1:5" x14ac:dyDescent="0.2">
      <c r="A31" s="129" t="s">
        <v>16</v>
      </c>
      <c r="B31" s="18">
        <v>2200000</v>
      </c>
      <c r="C31" s="123">
        <v>0.1</v>
      </c>
    </row>
    <row r="32" spans="1:5" x14ac:dyDescent="0.2">
      <c r="A32" s="64" t="s">
        <v>51</v>
      </c>
      <c r="B32" s="54">
        <v>400000</v>
      </c>
      <c r="C32" s="130">
        <v>0.1</v>
      </c>
    </row>
    <row r="33" spans="1:5" x14ac:dyDescent="0.2">
      <c r="A33" s="65" t="s">
        <v>52</v>
      </c>
      <c r="B33" s="54">
        <v>500000</v>
      </c>
      <c r="C33" s="130">
        <v>0.1</v>
      </c>
    </row>
    <row r="34" spans="1:5" x14ac:dyDescent="0.2">
      <c r="A34" s="66" t="s">
        <v>53</v>
      </c>
      <c r="B34" s="31">
        <v>100000</v>
      </c>
      <c r="C34" s="124">
        <v>0.1</v>
      </c>
    </row>
    <row r="36" spans="1:5" x14ac:dyDescent="0.2">
      <c r="A36" s="63" t="s">
        <v>15</v>
      </c>
      <c r="B36" s="53">
        <v>0</v>
      </c>
      <c r="C36" s="53">
        <v>1</v>
      </c>
      <c r="D36" s="53">
        <v>2</v>
      </c>
      <c r="E36" s="53">
        <v>3</v>
      </c>
    </row>
    <row r="37" spans="1:5" x14ac:dyDescent="0.2">
      <c r="A37" s="70" t="s">
        <v>16</v>
      </c>
      <c r="B37" s="72"/>
      <c r="C37" s="72">
        <f>$B$15*(1+$C$15)^C36</f>
        <v>2420000</v>
      </c>
      <c r="D37" s="72">
        <f>$B$15*(1+$C$15)^D36</f>
        <v>2662000.0000000005</v>
      </c>
      <c r="E37" s="71">
        <f>$B$15*(1+$C$15)^E36</f>
        <v>2928200.0000000009</v>
      </c>
    </row>
    <row r="38" spans="1:5" x14ac:dyDescent="0.2">
      <c r="A38" s="50" t="s">
        <v>54</v>
      </c>
      <c r="B38" s="73"/>
      <c r="C38" s="75">
        <f>-$B$16*(1+$C$16)^C36</f>
        <v>-440000.00000000006</v>
      </c>
      <c r="D38" s="75">
        <f>-$B$16*(1+$C$16)^D36</f>
        <v>-484000.00000000006</v>
      </c>
      <c r="E38" s="29">
        <f>-$B$16*(1+$C$16)^E36</f>
        <v>-532400.00000000012</v>
      </c>
    </row>
    <row r="39" spans="1:5" x14ac:dyDescent="0.2">
      <c r="A39" s="51" t="s">
        <v>55</v>
      </c>
      <c r="B39" s="73"/>
      <c r="C39" s="75">
        <f>-$B$17*(1+$C$33)^C36</f>
        <v>-550000</v>
      </c>
      <c r="D39" s="75">
        <f>-$B$17*(1+$C$33)^D36</f>
        <v>-605000.00000000012</v>
      </c>
      <c r="E39" s="29">
        <f>-$B$17*(1+$C$33)^E36</f>
        <v>-665500.00000000023</v>
      </c>
    </row>
    <row r="40" spans="1:5" x14ac:dyDescent="0.2">
      <c r="A40" s="52" t="s">
        <v>53</v>
      </c>
      <c r="B40" s="11"/>
      <c r="C40" s="76">
        <f>-$B$18*(1+$C$18)^C36</f>
        <v>-110000.00000000001</v>
      </c>
      <c r="D40" s="76">
        <f>-$B$18*(1+$C$18)^D36</f>
        <v>-121000.00000000001</v>
      </c>
      <c r="E40" s="30">
        <f>-$B$18*(1+$C$18)^E36</f>
        <v>-133100.00000000003</v>
      </c>
    </row>
    <row r="41" spans="1:5" x14ac:dyDescent="0.2">
      <c r="A41" s="51" t="s">
        <v>56</v>
      </c>
      <c r="B41" s="73"/>
      <c r="C41" s="75">
        <f>SUM(C37:C40)</f>
        <v>1320000</v>
      </c>
      <c r="D41" s="75">
        <f>SUM(D37:D40)</f>
        <v>1452000.0000000005</v>
      </c>
      <c r="E41" s="29">
        <f>SUM(E37:E40)</f>
        <v>1597200.0000000007</v>
      </c>
    </row>
    <row r="42" spans="1:5" x14ac:dyDescent="0.2">
      <c r="A42" s="51" t="s">
        <v>42</v>
      </c>
      <c r="B42" s="73"/>
      <c r="C42" s="75">
        <f>-$B$1*C41</f>
        <v>-290400</v>
      </c>
      <c r="D42" s="75">
        <f t="shared" ref="D42:E42" si="0">-$B$1*D41</f>
        <v>-319440.00000000012</v>
      </c>
      <c r="E42" s="75">
        <f t="shared" si="0"/>
        <v>-351384.00000000017</v>
      </c>
    </row>
    <row r="43" spans="1:5" x14ac:dyDescent="0.2">
      <c r="A43" s="51" t="s">
        <v>57</v>
      </c>
      <c r="B43" s="75">
        <f>-B44*B2*B1/(B2+0.1)</f>
        <v>439999.99999999994</v>
      </c>
      <c r="C43" s="75"/>
      <c r="D43" s="75"/>
      <c r="E43" s="29"/>
    </row>
    <row r="44" spans="1:5" x14ac:dyDescent="0.2">
      <c r="A44" s="52" t="s">
        <v>11</v>
      </c>
      <c r="B44" s="74">
        <f>B26</f>
        <v>-3000000</v>
      </c>
      <c r="C44" s="11"/>
      <c r="D44" s="11"/>
      <c r="E44" s="3"/>
    </row>
    <row r="45" spans="1:5" x14ac:dyDescent="0.2">
      <c r="A45" s="67" t="s">
        <v>41</v>
      </c>
      <c r="B45" s="68">
        <f>SUM(B37:B44)</f>
        <v>-2560000</v>
      </c>
      <c r="C45" s="68">
        <f>SUM(C41:C44)</f>
        <v>1029600</v>
      </c>
      <c r="D45" s="68">
        <f>SUM(D41:D44)</f>
        <v>1132560.0000000005</v>
      </c>
      <c r="E45" s="68">
        <f>SUM(E41:E44)</f>
        <v>1245816.0000000005</v>
      </c>
    </row>
    <row r="47" spans="1:5" x14ac:dyDescent="0.2">
      <c r="A47" s="47" t="s">
        <v>49</v>
      </c>
      <c r="B47" s="77">
        <f>NPV(C15,C45:E45)+B45</f>
        <v>248000.00000000047</v>
      </c>
    </row>
  </sheetData>
  <pageMargins left="0.7" right="0.7" top="0.75" bottom="0.75" header="0.3" footer="0.3"/>
  <pageSetup paperSize="9" orientation="portrait" r:id="rId1"/>
  <ignoredErrors>
    <ignoredError sqref="C4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L12" sqref="L12"/>
    </sheetView>
  </sheetViews>
  <sheetFormatPr baseColWidth="10" defaultColWidth="9.140625" defaultRowHeight="12.75" x14ac:dyDescent="0.2"/>
  <cols>
    <col min="1" max="1" width="24.140625" bestFit="1" customWidth="1"/>
    <col min="2" max="2" width="13.5703125" bestFit="1" customWidth="1"/>
    <col min="3" max="3" width="12.85546875" bestFit="1" customWidth="1"/>
    <col min="4" max="5" width="10.28515625" bestFit="1" customWidth="1"/>
    <col min="6" max="6" width="10.85546875" bestFit="1" customWidth="1"/>
  </cols>
  <sheetData>
    <row r="1" spans="1:6" x14ac:dyDescent="0.2">
      <c r="A1" s="94" t="s">
        <v>63</v>
      </c>
      <c r="B1" s="89">
        <v>3600000</v>
      </c>
    </row>
    <row r="2" spans="1:6" x14ac:dyDescent="0.2">
      <c r="A2" s="94" t="s">
        <v>64</v>
      </c>
      <c r="B2" s="90">
        <v>0.05</v>
      </c>
    </row>
    <row r="3" spans="1:6" x14ac:dyDescent="0.2">
      <c r="A3" s="94" t="s">
        <v>65</v>
      </c>
      <c r="B3" s="91">
        <v>600000</v>
      </c>
    </row>
    <row r="4" spans="1:6" x14ac:dyDescent="0.2">
      <c r="A4" s="94" t="s">
        <v>64</v>
      </c>
      <c r="B4" s="90">
        <v>0.02</v>
      </c>
    </row>
    <row r="5" spans="1:6" x14ac:dyDescent="0.2">
      <c r="A5" s="94" t="s">
        <v>66</v>
      </c>
      <c r="B5" s="90">
        <v>0.02</v>
      </c>
    </row>
    <row r="6" spans="1:6" x14ac:dyDescent="0.2">
      <c r="A6" s="94" t="s">
        <v>23</v>
      </c>
      <c r="B6" s="92">
        <v>0.1</v>
      </c>
    </row>
    <row r="7" spans="1:6" x14ac:dyDescent="0.2">
      <c r="A7" s="94" t="s">
        <v>67</v>
      </c>
      <c r="B7" s="92">
        <f>B6*(1+B5)+B5</f>
        <v>0.12200000000000001</v>
      </c>
    </row>
    <row r="8" spans="1:6" x14ac:dyDescent="0.2">
      <c r="A8" s="94" t="s">
        <v>0</v>
      </c>
      <c r="B8" s="90">
        <v>0.22</v>
      </c>
    </row>
    <row r="9" spans="1:6" x14ac:dyDescent="0.2">
      <c r="A9" s="95" t="s">
        <v>43</v>
      </c>
      <c r="B9" s="93">
        <v>0.2</v>
      </c>
    </row>
    <row r="11" spans="1:6" x14ac:dyDescent="0.2">
      <c r="A11" s="69" t="s">
        <v>15</v>
      </c>
      <c r="B11" s="59">
        <v>0</v>
      </c>
      <c r="C11" s="59">
        <v>1</v>
      </c>
      <c r="D11" s="59">
        <v>2</v>
      </c>
      <c r="E11" s="59">
        <v>3</v>
      </c>
      <c r="F11" s="59">
        <v>4</v>
      </c>
    </row>
    <row r="12" spans="1:6" x14ac:dyDescent="0.2">
      <c r="A12" s="64" t="s">
        <v>28</v>
      </c>
      <c r="B12" s="29">
        <v>-8000000</v>
      </c>
      <c r="C12" s="29"/>
      <c r="D12" s="29"/>
      <c r="E12" s="29"/>
      <c r="F12" s="29"/>
    </row>
    <row r="13" spans="1:6" x14ac:dyDescent="0.2">
      <c r="A13" s="64" t="s">
        <v>63</v>
      </c>
      <c r="B13" s="29"/>
      <c r="C13" s="29">
        <f>$B$1*(1+$B$2)^C11</f>
        <v>3780000</v>
      </c>
      <c r="D13" s="29">
        <f>$B$1*(1+$B$2)^D11</f>
        <v>3969000</v>
      </c>
      <c r="E13" s="29">
        <f>$B$1*(1+$B$2)^E11</f>
        <v>4167450.0000000005</v>
      </c>
      <c r="F13" s="29">
        <f>$B$1*(1+$B$2)^F11</f>
        <v>4375822.5</v>
      </c>
    </row>
    <row r="14" spans="1:6" x14ac:dyDescent="0.2">
      <c r="A14" s="3" t="str">
        <f>A3</f>
        <v>Andre kostnader</v>
      </c>
      <c r="B14" s="30"/>
      <c r="C14" s="30">
        <f>-$B$3*(1+$B$4)^C11</f>
        <v>-612000</v>
      </c>
      <c r="D14" s="30">
        <f>-$B$3*(1+$B$4)^D11</f>
        <v>-624240</v>
      </c>
      <c r="E14" s="30">
        <f>-$B$3*(1+$B$4)^E11</f>
        <v>-636724.79999999993</v>
      </c>
      <c r="F14" s="30">
        <f>-$B$3*(1+$B$4)^F11</f>
        <v>-649459.29599999997</v>
      </c>
    </row>
    <row r="15" spans="1:6" x14ac:dyDescent="0.2">
      <c r="A15" s="65" t="s">
        <v>41</v>
      </c>
      <c r="B15" s="29">
        <f>B12</f>
        <v>-8000000</v>
      </c>
      <c r="C15" s="29">
        <f>SUM(C13:C14)</f>
        <v>3168000</v>
      </c>
      <c r="D15" s="29">
        <f>SUM(D13:D14)</f>
        <v>3344760</v>
      </c>
      <c r="E15" s="29">
        <f>SUM(E13:E14)</f>
        <v>3530725.2000000007</v>
      </c>
      <c r="F15" s="29">
        <f>SUM(F13:F14)</f>
        <v>3726363.2039999999</v>
      </c>
    </row>
    <row r="16" spans="1:6" x14ac:dyDescent="0.2">
      <c r="A16" s="132" t="s">
        <v>42</v>
      </c>
      <c r="B16" s="29"/>
      <c r="C16" s="29">
        <f>-$B$8*C15</f>
        <v>-696960</v>
      </c>
      <c r="D16" s="29">
        <f>-$B$8*D15</f>
        <v>-735847.2</v>
      </c>
      <c r="E16" s="29">
        <f>-$B$8*E15</f>
        <v>-776759.54400000011</v>
      </c>
      <c r="F16" s="29">
        <f>-$B$8*F15</f>
        <v>-819799.90487999993</v>
      </c>
    </row>
    <row r="17" spans="1:6" x14ac:dyDescent="0.2">
      <c r="A17" s="133" t="s">
        <v>46</v>
      </c>
      <c r="B17" s="30">
        <f>-B12*B9*B8/(B7+B9)</f>
        <v>1093167.7018633541</v>
      </c>
      <c r="C17" s="30"/>
      <c r="D17" s="30"/>
      <c r="E17" s="30"/>
      <c r="F17" s="30"/>
    </row>
    <row r="18" spans="1:6" x14ac:dyDescent="0.2">
      <c r="A18" s="134" t="s">
        <v>48</v>
      </c>
      <c r="B18" s="131">
        <f>SUM(B15:B17)</f>
        <v>-6906832.2981366459</v>
      </c>
      <c r="C18" s="131">
        <f>SUM(C15:C17)</f>
        <v>2471040</v>
      </c>
      <c r="D18" s="131">
        <f>SUM(D15:D17)</f>
        <v>2608912.7999999998</v>
      </c>
      <c r="E18" s="131">
        <f>SUM(E15:E17)</f>
        <v>2753965.6560000004</v>
      </c>
      <c r="F18" s="131">
        <f>SUM(F15:F17)</f>
        <v>2906563.2991200001</v>
      </c>
    </row>
    <row r="19" spans="1:6" x14ac:dyDescent="0.2">
      <c r="B19" s="78"/>
      <c r="C19" s="78"/>
      <c r="D19" s="78"/>
      <c r="E19" s="78"/>
      <c r="F19" s="78"/>
    </row>
    <row r="20" spans="1:6" x14ac:dyDescent="0.2">
      <c r="A20" s="84" t="s">
        <v>68</v>
      </c>
      <c r="B20" s="81">
        <f>IRR(B15:F15)</f>
        <v>0.25062040872463354</v>
      </c>
      <c r="C20" s="78"/>
      <c r="D20" s="78"/>
      <c r="E20" s="78"/>
      <c r="F20" s="78"/>
    </row>
    <row r="21" spans="1:6" x14ac:dyDescent="0.2">
      <c r="A21" s="85" t="s">
        <v>36</v>
      </c>
      <c r="B21" s="82">
        <f>(B20-B5)/(1+B5)</f>
        <v>0.22609843992611131</v>
      </c>
      <c r="C21" s="78"/>
      <c r="D21" s="78"/>
      <c r="E21" s="78"/>
      <c r="F21" s="78"/>
    </row>
    <row r="22" spans="1:6" x14ac:dyDescent="0.2">
      <c r="A22" s="86" t="s">
        <v>49</v>
      </c>
      <c r="B22" s="83">
        <f>NPV(B7,C18:F18)+B18</f>
        <v>1151714.61145538</v>
      </c>
      <c r="C22" s="78"/>
      <c r="D22" s="78"/>
      <c r="E22" s="78"/>
      <c r="F22" s="78"/>
    </row>
  </sheetData>
  <pageMargins left="0.7" right="0.7" top="0.75" bottom="0.75" header="0.3" footer="0.3"/>
  <pageSetup paperSize="9" orientation="portrait" r:id="rId1"/>
  <ignoredErrors>
    <ignoredError sqref="C1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B26" sqref="B26"/>
    </sheetView>
  </sheetViews>
  <sheetFormatPr baseColWidth="10" defaultColWidth="9.140625" defaultRowHeight="12.75" x14ac:dyDescent="0.2"/>
  <cols>
    <col min="1" max="1" width="31.140625" bestFit="1" customWidth="1"/>
    <col min="2" max="2" width="12.140625" customWidth="1"/>
    <col min="3" max="3" width="13.28515625" customWidth="1"/>
  </cols>
  <sheetData>
    <row r="1" spans="1:3" x14ac:dyDescent="0.2">
      <c r="A1" s="58" t="s">
        <v>15</v>
      </c>
      <c r="B1" s="59">
        <v>0</v>
      </c>
      <c r="C1" s="136" t="s">
        <v>69</v>
      </c>
    </row>
    <row r="2" spans="1:3" x14ac:dyDescent="0.2">
      <c r="A2" s="44" t="s">
        <v>70</v>
      </c>
      <c r="B2" s="54">
        <v>-60000000</v>
      </c>
      <c r="C2" s="2"/>
    </row>
    <row r="3" spans="1:3" x14ac:dyDescent="0.2">
      <c r="A3" s="44" t="s">
        <v>71</v>
      </c>
      <c r="B3" s="2"/>
      <c r="C3" s="54">
        <v>16640000</v>
      </c>
    </row>
    <row r="4" spans="1:3" x14ac:dyDescent="0.2">
      <c r="A4" s="44" t="s">
        <v>72</v>
      </c>
      <c r="B4" s="2"/>
      <c r="C4" s="54">
        <v>-1120000</v>
      </c>
    </row>
    <row r="5" spans="1:3" x14ac:dyDescent="0.2">
      <c r="A5" s="44" t="s">
        <v>73</v>
      </c>
      <c r="B5" s="2"/>
      <c r="C5" s="54">
        <v>-1680000</v>
      </c>
    </row>
    <row r="6" spans="1:3" x14ac:dyDescent="0.2">
      <c r="A6" s="46" t="s">
        <v>65</v>
      </c>
      <c r="B6" s="3"/>
      <c r="C6" s="31">
        <v>-2000000</v>
      </c>
    </row>
    <row r="7" spans="1:3" x14ac:dyDescent="0.2">
      <c r="A7" s="69" t="s">
        <v>20</v>
      </c>
      <c r="B7" s="135">
        <f>SUM(B2:B6)</f>
        <v>-60000000</v>
      </c>
      <c r="C7" s="137">
        <f>SUM(C2:C6)</f>
        <v>11840000</v>
      </c>
    </row>
    <row r="9" spans="1:3" x14ac:dyDescent="0.2">
      <c r="A9" s="84" t="s">
        <v>74</v>
      </c>
      <c r="B9" s="139">
        <v>0.17</v>
      </c>
    </row>
    <row r="10" spans="1:3" x14ac:dyDescent="0.2">
      <c r="A10" s="85" t="s">
        <v>29</v>
      </c>
      <c r="B10" s="140">
        <v>3.5000000000000003E-2</v>
      </c>
    </row>
    <row r="11" spans="1:3" x14ac:dyDescent="0.2">
      <c r="A11" s="86" t="s">
        <v>75</v>
      </c>
      <c r="B11" s="141">
        <f>(B9-B10)/(1+B10)</f>
        <v>0.13043478260869568</v>
      </c>
    </row>
    <row r="13" spans="1:3" x14ac:dyDescent="0.2">
      <c r="A13" s="69" t="s">
        <v>76</v>
      </c>
      <c r="B13" s="137">
        <f>PV(B11,10,-C7)+B7</f>
        <v>4135238.2883872092</v>
      </c>
    </row>
    <row r="15" spans="1:3" x14ac:dyDescent="0.2">
      <c r="A15" s="69" t="s">
        <v>15</v>
      </c>
      <c r="B15" s="59">
        <v>0</v>
      </c>
      <c r="C15" s="136" t="s">
        <v>69</v>
      </c>
    </row>
    <row r="16" spans="1:3" x14ac:dyDescent="0.2">
      <c r="A16" s="64" t="s">
        <v>70</v>
      </c>
      <c r="B16" s="54">
        <v>-40000000</v>
      </c>
      <c r="C16" s="2"/>
    </row>
    <row r="17" spans="1:3" x14ac:dyDescent="0.2">
      <c r="A17" s="64" t="s">
        <v>71</v>
      </c>
      <c r="B17" s="2"/>
      <c r="C17" s="54">
        <v>10920000</v>
      </c>
    </row>
    <row r="18" spans="1:3" x14ac:dyDescent="0.2">
      <c r="A18" s="64" t="s">
        <v>73</v>
      </c>
      <c r="B18" s="2"/>
      <c r="C18" s="54">
        <v>-1890000</v>
      </c>
    </row>
    <row r="19" spans="1:3" x14ac:dyDescent="0.2">
      <c r="A19" s="138" t="s">
        <v>65</v>
      </c>
      <c r="B19" s="3"/>
      <c r="C19" s="31">
        <v>-600000</v>
      </c>
    </row>
    <row r="20" spans="1:3" x14ac:dyDescent="0.2">
      <c r="A20" s="142" t="s">
        <v>20</v>
      </c>
      <c r="B20" s="135">
        <f>SUM(B16:B19)</f>
        <v>-40000000</v>
      </c>
      <c r="C20" s="135">
        <f>SUM(C16:C19)</f>
        <v>8430000</v>
      </c>
    </row>
    <row r="22" spans="1:3" x14ac:dyDescent="0.2">
      <c r="A22" s="143" t="s">
        <v>74</v>
      </c>
      <c r="B22" s="139">
        <v>0.16</v>
      </c>
    </row>
    <row r="23" spans="1:3" x14ac:dyDescent="0.2">
      <c r="A23" s="144" t="s">
        <v>29</v>
      </c>
      <c r="B23" s="140">
        <v>3.5000000000000003E-2</v>
      </c>
    </row>
    <row r="24" spans="1:3" x14ac:dyDescent="0.2">
      <c r="A24" s="145" t="s">
        <v>75</v>
      </c>
      <c r="B24" s="141">
        <f>(B22-B23)/(1+B23)</f>
        <v>0.12077294685990339</v>
      </c>
    </row>
    <row r="26" spans="1:3" x14ac:dyDescent="0.2">
      <c r="A26" s="69" t="s">
        <v>77</v>
      </c>
      <c r="B26" s="137">
        <f>PV(B24,10,-C20)+B20</f>
        <v>7481051.3129075542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Opp 1</vt:lpstr>
      <vt:lpstr>Opp 2</vt:lpstr>
      <vt:lpstr>Opp 3</vt:lpstr>
      <vt:lpstr>Opp 4</vt:lpstr>
      <vt:lpstr>Oppg 5</vt:lpstr>
      <vt:lpstr>Oppg 6</vt:lpstr>
      <vt:lpstr>Opp 7</vt:lpstr>
      <vt:lpstr>Opp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Bredesen</dc:creator>
  <cp:lastModifiedBy>Ivar Bredesen</cp:lastModifiedBy>
  <dcterms:created xsi:type="dcterms:W3CDTF">2001-08-18T15:35:33Z</dcterms:created>
  <dcterms:modified xsi:type="dcterms:W3CDTF">2019-08-16T10:55:16Z</dcterms:modified>
</cp:coreProperties>
</file>