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embeddings/oleObject2.bin" ContentType="application/vnd.openxmlformats-officedocument.oleObject"/>
  <Override PartName="/xl/drawings/drawing7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Fortegnskontoer\"/>
    </mc:Choice>
  </mc:AlternateContent>
  <xr:revisionPtr revIDLastSave="0" documentId="13_ncr:1_{401F59CA-6E66-44E7-A0EE-14FE6941E62F}" xr6:coauthVersionLast="47" xr6:coauthVersionMax="47" xr10:uidLastSave="{00000000-0000-0000-0000-000000000000}"/>
  <bookViews>
    <workbookView xWindow="735" yWindow="735" windowWidth="23400" windowHeight="12630" xr2:uid="{00000000-000D-0000-FFFF-FFFF00000000}"/>
  </bookViews>
  <sheets>
    <sheet name="7.17" sheetId="16" r:id="rId1"/>
    <sheet name="7.18" sheetId="10" r:id="rId2"/>
    <sheet name="7.19 " sheetId="35" r:id="rId3"/>
    <sheet name="7.20" sheetId="15" r:id="rId4"/>
    <sheet name="7.21" sheetId="17" r:id="rId5"/>
    <sheet name="7.22" sheetId="18" r:id="rId6"/>
    <sheet name="7.23" sheetId="27" r:id="rId7"/>
    <sheet name="7.24" sheetId="28" r:id="rId8"/>
    <sheet name="7.25" sheetId="29" r:id="rId9"/>
    <sheet name="7.26 " sheetId="33" r:id="rId10"/>
    <sheet name="Kontantstrøm 7.26" sheetId="3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5" l="1"/>
  <c r="C35" i="35"/>
  <c r="C18" i="35"/>
  <c r="C11" i="35"/>
  <c r="C9" i="35"/>
  <c r="C12" i="35" s="1"/>
  <c r="C5" i="35"/>
  <c r="C14" i="35" s="1"/>
  <c r="C20" i="35" s="1"/>
  <c r="C24" i="35" l="1"/>
  <c r="C32" i="35"/>
  <c r="C34" i="35" s="1"/>
  <c r="C36" i="35" l="1"/>
  <c r="C40" i="35"/>
  <c r="C42" i="35" l="1"/>
  <c r="C39" i="35"/>
  <c r="C31" i="10" l="1"/>
  <c r="C26" i="10"/>
  <c r="C21" i="10"/>
  <c r="C20" i="10"/>
  <c r="C19" i="10"/>
  <c r="C18" i="10"/>
  <c r="C15" i="10"/>
  <c r="C14" i="10"/>
  <c r="F70" i="27" l="1"/>
  <c r="C20" i="15"/>
  <c r="C18" i="15"/>
  <c r="C27" i="10"/>
  <c r="F178" i="33" l="1"/>
  <c r="D142" i="33"/>
  <c r="E142" i="33"/>
  <c r="F131" i="33"/>
  <c r="E131" i="33"/>
  <c r="D131" i="33"/>
  <c r="F130" i="33"/>
  <c r="E130" i="33"/>
  <c r="E134" i="33" s="1"/>
  <c r="D130" i="33"/>
  <c r="F129" i="33"/>
  <c r="F133" i="33" s="1"/>
  <c r="E129" i="33"/>
  <c r="E133" i="33" s="1"/>
  <c r="D129" i="33"/>
  <c r="D133" i="33" s="1"/>
  <c r="F53" i="33"/>
  <c r="E53" i="33"/>
  <c r="D53" i="33"/>
  <c r="F44" i="33"/>
  <c r="F36" i="33"/>
  <c r="E36" i="33"/>
  <c r="D36" i="33"/>
  <c r="F16" i="33"/>
  <c r="E16" i="33"/>
  <c r="D16" i="33"/>
  <c r="F11" i="33"/>
  <c r="E11" i="33"/>
  <c r="D11" i="33"/>
  <c r="F5" i="33"/>
  <c r="F94" i="33" s="1"/>
  <c r="E5" i="33"/>
  <c r="E93" i="33" s="1"/>
  <c r="D5" i="33"/>
  <c r="D96" i="33" s="1"/>
  <c r="D97" i="33" l="1"/>
  <c r="F134" i="33"/>
  <c r="D56" i="33"/>
  <c r="D81" i="33" s="1"/>
  <c r="E97" i="33"/>
  <c r="F93" i="33"/>
  <c r="F135" i="33"/>
  <c r="F137" i="33" s="1"/>
  <c r="D135" i="33"/>
  <c r="D137" i="33" s="1"/>
  <c r="F97" i="33"/>
  <c r="D95" i="33"/>
  <c r="D134" i="33"/>
  <c r="D12" i="33"/>
  <c r="E56" i="33"/>
  <c r="E81" i="33" s="1"/>
  <c r="F92" i="33"/>
  <c r="D94" i="33"/>
  <c r="E95" i="33"/>
  <c r="F96" i="33"/>
  <c r="E135" i="33"/>
  <c r="E137" i="33" s="1"/>
  <c r="E92" i="33"/>
  <c r="E96" i="33"/>
  <c r="E12" i="33"/>
  <c r="F81" i="33"/>
  <c r="D93" i="33"/>
  <c r="E94" i="33"/>
  <c r="F95" i="33"/>
  <c r="F12" i="33"/>
  <c r="D92" i="33"/>
  <c r="D18" i="33" l="1"/>
  <c r="D98" i="33"/>
  <c r="F98" i="33"/>
  <c r="F18" i="33"/>
  <c r="E98" i="33"/>
  <c r="E18" i="33"/>
  <c r="D52" i="33" l="1"/>
  <c r="D22" i="33"/>
  <c r="D28" i="33" s="1"/>
  <c r="D27" i="33" s="1"/>
  <c r="F22" i="33"/>
  <c r="F28" i="33" s="1"/>
  <c r="F27" i="33" s="1"/>
  <c r="F52" i="33"/>
  <c r="E22" i="33"/>
  <c r="E28" i="33" s="1"/>
  <c r="E27" i="33" s="1"/>
  <c r="E39" i="33" s="1"/>
  <c r="E52" i="33"/>
  <c r="D39" i="33" l="1"/>
  <c r="D63" i="33" s="1"/>
  <c r="E63" i="33"/>
  <c r="E44" i="33"/>
  <c r="D61" i="33"/>
  <c r="D54" i="33"/>
  <c r="F61" i="33"/>
  <c r="F65" i="33" s="1"/>
  <c r="F54" i="33"/>
  <c r="E61" i="33"/>
  <c r="E65" i="33" s="1"/>
  <c r="E54" i="33"/>
  <c r="F80" i="33" l="1"/>
  <c r="F58" i="33"/>
  <c r="E58" i="33"/>
  <c r="E80" i="33"/>
  <c r="F118" i="33"/>
  <c r="D58" i="33"/>
  <c r="D80" i="33"/>
  <c r="D44" i="33"/>
  <c r="D65" i="33"/>
  <c r="F20" i="29" l="1"/>
  <c r="G16" i="29"/>
  <c r="F18" i="29" s="1"/>
  <c r="F11" i="29"/>
  <c r="D5" i="29"/>
  <c r="F7" i="29" s="1"/>
  <c r="H19" i="28"/>
  <c r="F19" i="28"/>
  <c r="D19" i="28"/>
  <c r="E19" i="28"/>
  <c r="G19" i="28"/>
  <c r="C19" i="28"/>
  <c r="E18" i="28"/>
  <c r="G18" i="28"/>
  <c r="C18" i="28"/>
  <c r="H16" i="28"/>
  <c r="F16" i="28"/>
  <c r="D16" i="28"/>
  <c r="E16" i="28"/>
  <c r="G16" i="28"/>
  <c r="C16" i="28"/>
  <c r="H12" i="28"/>
  <c r="H13" i="28"/>
  <c r="H14" i="28"/>
  <c r="H11" i="28"/>
  <c r="F12" i="28"/>
  <c r="F13" i="28"/>
  <c r="F14" i="28"/>
  <c r="F11" i="28"/>
  <c r="D12" i="28"/>
  <c r="D13" i="28"/>
  <c r="D14" i="28"/>
  <c r="D11" i="28"/>
  <c r="E14" i="28"/>
  <c r="G14" i="28"/>
  <c r="C14" i="28"/>
  <c r="H6" i="28"/>
  <c r="H7" i="28"/>
  <c r="H8" i="28"/>
  <c r="H5" i="28"/>
  <c r="F6" i="28"/>
  <c r="F7" i="28"/>
  <c r="F8" i="28"/>
  <c r="F5" i="28"/>
  <c r="D8" i="28"/>
  <c r="D7" i="28"/>
  <c r="D6" i="28"/>
  <c r="D5" i="28"/>
  <c r="E8" i="28"/>
  <c r="G8" i="28"/>
  <c r="C8" i="28"/>
  <c r="G70" i="27"/>
  <c r="H70" i="27"/>
  <c r="G56" i="27"/>
  <c r="H56" i="27"/>
  <c r="F56" i="27"/>
  <c r="G51" i="27"/>
  <c r="H51" i="27"/>
  <c r="F51" i="27"/>
  <c r="G28" i="27"/>
  <c r="G29" i="27" s="1"/>
  <c r="H28" i="27"/>
  <c r="H29" i="27" s="1"/>
  <c r="F28" i="27"/>
  <c r="F29" i="27" s="1"/>
  <c r="G19" i="27"/>
  <c r="G23" i="27" s="1"/>
  <c r="H19" i="27"/>
  <c r="H23" i="27" s="1"/>
  <c r="F19" i="27"/>
  <c r="F23" i="27" s="1"/>
  <c r="G18" i="27"/>
  <c r="H18" i="27"/>
  <c r="F18" i="27"/>
  <c r="G15" i="27"/>
  <c r="G52" i="27" s="1"/>
  <c r="H15" i="27"/>
  <c r="F15" i="27"/>
  <c r="G16" i="27"/>
  <c r="G53" i="27" s="1"/>
  <c r="H16" i="27"/>
  <c r="F16" i="27"/>
  <c r="G14" i="27"/>
  <c r="H14" i="27"/>
  <c r="F14" i="27"/>
  <c r="D27" i="17"/>
  <c r="E27" i="17"/>
  <c r="C27" i="17"/>
  <c r="D25" i="17"/>
  <c r="E25" i="17"/>
  <c r="C25" i="17"/>
  <c r="D17" i="17"/>
  <c r="E17" i="17"/>
  <c r="C17" i="17"/>
  <c r="D21" i="17"/>
  <c r="E21" i="17"/>
  <c r="C21" i="17"/>
  <c r="E68" i="15"/>
  <c r="E67" i="15"/>
  <c r="E66" i="15"/>
  <c r="H53" i="27" l="1"/>
  <c r="F55" i="27"/>
  <c r="H34" i="27"/>
  <c r="F52" i="27"/>
  <c r="F9" i="29"/>
  <c r="H55" i="27"/>
  <c r="F53" i="27"/>
  <c r="H52" i="27"/>
  <c r="G55" i="27"/>
  <c r="G17" i="27"/>
  <c r="F34" i="27"/>
  <c r="G34" i="27"/>
  <c r="F17" i="27"/>
  <c r="H17" i="27"/>
  <c r="H20" i="27" l="1"/>
  <c r="H54" i="27"/>
  <c r="F20" i="27"/>
  <c r="F54" i="27"/>
  <c r="G20" i="27"/>
  <c r="G54" i="27"/>
  <c r="F18" i="18"/>
  <c r="D16" i="18"/>
  <c r="C9" i="18"/>
  <c r="C11" i="18" s="1"/>
  <c r="F22" i="27" l="1"/>
  <c r="F57" i="27"/>
  <c r="G22" i="27"/>
  <c r="G57" i="27"/>
  <c r="H22" i="27"/>
  <c r="H57" i="27"/>
  <c r="C14" i="18"/>
  <c r="G24" i="27" l="1"/>
  <c r="G31" i="27"/>
  <c r="G32" i="27" s="1"/>
  <c r="H24" i="27"/>
  <c r="H31" i="27"/>
  <c r="H32" i="27" s="1"/>
  <c r="F31" i="27"/>
  <c r="F32" i="27" s="1"/>
  <c r="F24" i="27"/>
  <c r="D12" i="17"/>
  <c r="E12" i="17"/>
  <c r="C12" i="17"/>
  <c r="D9" i="17"/>
  <c r="D23" i="17" s="1"/>
  <c r="E9" i="17"/>
  <c r="E23" i="17" s="1"/>
  <c r="C9" i="17"/>
  <c r="C23" i="17" s="1"/>
  <c r="D5" i="17"/>
  <c r="E5" i="17"/>
  <c r="C5" i="17"/>
  <c r="F73" i="16"/>
  <c r="F74" i="16"/>
  <c r="F75" i="16"/>
  <c r="F76" i="16"/>
  <c r="F77" i="16"/>
  <c r="F82" i="16"/>
  <c r="F84" i="16"/>
  <c r="F71" i="16"/>
  <c r="E73" i="16"/>
  <c r="E74" i="16"/>
  <c r="E75" i="16"/>
  <c r="E76" i="16"/>
  <c r="E77" i="16"/>
  <c r="E82" i="16"/>
  <c r="E84" i="16"/>
  <c r="E71" i="16"/>
  <c r="D73" i="16"/>
  <c r="D74" i="16"/>
  <c r="D75" i="16"/>
  <c r="D76" i="16"/>
  <c r="D77" i="16"/>
  <c r="D82" i="16"/>
  <c r="D84" i="16"/>
  <c r="D71" i="16"/>
  <c r="E18" i="16"/>
  <c r="F18" i="16"/>
  <c r="E38" i="16"/>
  <c r="F38" i="16"/>
  <c r="E11" i="16"/>
  <c r="E33" i="16" s="1"/>
  <c r="F11" i="16"/>
  <c r="F13" i="16" s="1"/>
  <c r="D18" i="16"/>
  <c r="D11" i="16"/>
  <c r="D13" i="16" s="1"/>
  <c r="D80" i="16" s="1"/>
  <c r="F28" i="16"/>
  <c r="F29" i="16"/>
  <c r="F30" i="16"/>
  <c r="F31" i="16"/>
  <c r="F32" i="16"/>
  <c r="F37" i="16"/>
  <c r="F39" i="16"/>
  <c r="F26" i="16"/>
  <c r="E28" i="16"/>
  <c r="E29" i="16"/>
  <c r="E30" i="16"/>
  <c r="E31" i="16"/>
  <c r="E32" i="16"/>
  <c r="E37" i="16"/>
  <c r="E39" i="16"/>
  <c r="E26" i="16"/>
  <c r="D28" i="16"/>
  <c r="D29" i="16"/>
  <c r="D30" i="16"/>
  <c r="D31" i="16"/>
  <c r="D32" i="16"/>
  <c r="D37" i="16"/>
  <c r="D38" i="16"/>
  <c r="D39" i="16"/>
  <c r="D26" i="16"/>
  <c r="C63" i="15"/>
  <c r="C55" i="15"/>
  <c r="C25" i="15"/>
  <c r="C23" i="15"/>
  <c r="C5" i="15"/>
  <c r="C9" i="15" s="1"/>
  <c r="C16" i="15" s="1"/>
  <c r="C48" i="10"/>
  <c r="C22" i="10"/>
  <c r="C16" i="10"/>
  <c r="C46" i="10" s="1"/>
  <c r="H26" i="27" l="1"/>
  <c r="H69" i="27"/>
  <c r="F26" i="27"/>
  <c r="F69" i="27"/>
  <c r="G26" i="27"/>
  <c r="G69" i="27"/>
  <c r="F33" i="16"/>
  <c r="C11" i="17"/>
  <c r="C13" i="17" s="1"/>
  <c r="E11" i="17"/>
  <c r="E13" i="17" s="1"/>
  <c r="D11" i="17"/>
  <c r="D13" i="17" s="1"/>
  <c r="D33" i="16"/>
  <c r="C56" i="15"/>
  <c r="C57" i="15" s="1"/>
  <c r="C60" i="15" s="1"/>
  <c r="C62" i="15" s="1"/>
  <c r="C64" i="15" s="1"/>
  <c r="C15" i="15"/>
  <c r="C24" i="10"/>
  <c r="C29" i="10" s="1"/>
  <c r="C13" i="15"/>
  <c r="F80" i="16"/>
  <c r="D78" i="16"/>
  <c r="E78" i="16"/>
  <c r="F78" i="16"/>
  <c r="F35" i="16"/>
  <c r="F20" i="16"/>
  <c r="E13" i="16"/>
  <c r="E80" i="16" s="1"/>
  <c r="D35" i="16"/>
  <c r="D20" i="16"/>
  <c r="D20" i="17" l="1"/>
  <c r="D19" i="17"/>
  <c r="C19" i="17"/>
  <c r="C20" i="17"/>
  <c r="E19" i="17"/>
  <c r="E20" i="17"/>
  <c r="C33" i="10"/>
  <c r="C43" i="10" s="1"/>
  <c r="C42" i="10"/>
  <c r="C35" i="10"/>
  <c r="C22" i="15"/>
  <c r="F41" i="16"/>
  <c r="F86" i="16"/>
  <c r="D41" i="16"/>
  <c r="D86" i="16"/>
  <c r="E35" i="16"/>
  <c r="E20" i="16"/>
  <c r="C40" i="10" l="1"/>
  <c r="C45" i="10"/>
  <c r="E41" i="16"/>
  <c r="E86" i="16"/>
</calcChain>
</file>

<file path=xl/sharedStrings.xml><?xml version="1.0" encoding="utf-8"?>
<sst xmlns="http://schemas.openxmlformats.org/spreadsheetml/2006/main" count="649" uniqueCount="406">
  <si>
    <t>Siste år</t>
  </si>
  <si>
    <t>Salgsinntekt</t>
  </si>
  <si>
    <t>Varekostnad</t>
  </si>
  <si>
    <t>Avskrivning</t>
  </si>
  <si>
    <t>Annen driftskostnad</t>
  </si>
  <si>
    <t>Driftsresultat</t>
  </si>
  <si>
    <t>Årsresultat</t>
  </si>
  <si>
    <t xml:space="preserve">Styrets forslag til disponering av </t>
  </si>
  <si>
    <t>årsresultatet:</t>
  </si>
  <si>
    <t>Avsatt utbytte</t>
  </si>
  <si>
    <t>SUM</t>
  </si>
  <si>
    <t>EIENDELER</t>
  </si>
  <si>
    <t>Sum anleggsmidler</t>
  </si>
  <si>
    <t>Omløpsmidler</t>
  </si>
  <si>
    <t>EGENKAPITAL OG GJELD</t>
  </si>
  <si>
    <t>Sum egenkapital</t>
  </si>
  <si>
    <t>Gjeld</t>
  </si>
  <si>
    <t>Øvrig langsiktig gjeld</t>
  </si>
  <si>
    <t>Sum driftsinntekter</t>
  </si>
  <si>
    <t>Netto finansposter</t>
  </si>
  <si>
    <t xml:space="preserve">Skattekostnad </t>
  </si>
  <si>
    <t>Sum driftskostnader</t>
  </si>
  <si>
    <t>Utsatt skatt</t>
  </si>
  <si>
    <t>Utbytte</t>
  </si>
  <si>
    <t>Resultat før skattekostnad</t>
  </si>
  <si>
    <t>Rentekostnader</t>
  </si>
  <si>
    <t>Renteinntekter</t>
  </si>
  <si>
    <t>Lønn og sosiale kostnader</t>
  </si>
  <si>
    <t>–</t>
  </si>
  <si>
    <t>=</t>
  </si>
  <si>
    <t>+</t>
  </si>
  <si>
    <t>Sum eiendeler</t>
  </si>
  <si>
    <t>Kortsiktig gjeld</t>
  </si>
  <si>
    <t>Sum egenkapital og gjeld</t>
  </si>
  <si>
    <t>Driftsinntekter</t>
  </si>
  <si>
    <t>Diverse kostnader</t>
  </si>
  <si>
    <t>Tap på fordringer</t>
  </si>
  <si>
    <t>Finansinntekter</t>
  </si>
  <si>
    <t>Balanse per 31.12.</t>
  </si>
  <si>
    <t>20x2</t>
  </si>
  <si>
    <t>20x1</t>
  </si>
  <si>
    <t>kr</t>
  </si>
  <si>
    <t>%</t>
  </si>
  <si>
    <t>Mest likvide omløpsmidler</t>
  </si>
  <si>
    <t>a)</t>
  </si>
  <si>
    <t>Arbeidskapital</t>
  </si>
  <si>
    <t>b)</t>
  </si>
  <si>
    <t>Varebeholdninger</t>
  </si>
  <si>
    <t>Omsetning</t>
  </si>
  <si>
    <t>Likviditetsgrad 1</t>
  </si>
  <si>
    <t>Likviditetsgrad 2</t>
  </si>
  <si>
    <t>Likviditetsreserve</t>
  </si>
  <si>
    <t>Totalkapital</t>
  </si>
  <si>
    <t>Avgiftspliktig varesalg</t>
  </si>
  <si>
    <t>Gevinst ved salg av bil</t>
  </si>
  <si>
    <t>Avskrivninger</t>
  </si>
  <si>
    <t>Andre driftskostnader</t>
  </si>
  <si>
    <t>Lønn mv. (425 + 60)</t>
  </si>
  <si>
    <t>Resultat før skatt</t>
  </si>
  <si>
    <t>Skattekostnad</t>
  </si>
  <si>
    <t>Årsoverskudd</t>
  </si>
  <si>
    <t>Resultat før skatt + rentekostnader</t>
  </si>
  <si>
    <t>Gjennomsnittlig totalkapital</t>
  </si>
  <si>
    <t>Gjennomsnittlig egenkapital</t>
  </si>
  <si>
    <t>Gjennomsnittlig gjeld</t>
  </si>
  <si>
    <t>c)</t>
  </si>
  <si>
    <t>Egenkapitalrentabilitet etter skatt</t>
  </si>
  <si>
    <t>d)</t>
  </si>
  <si>
    <t>Resultatgrad</t>
  </si>
  <si>
    <t>Kapitalens omløpshastighet</t>
  </si>
  <si>
    <t>f)</t>
  </si>
  <si>
    <t>Gjennomsnittlig lånerente</t>
  </si>
  <si>
    <t>Salgsinntekter</t>
  </si>
  <si>
    <t>Gevinst ved salg av tomt</t>
  </si>
  <si>
    <t>Materialer</t>
  </si>
  <si>
    <t>Beholdningsøkn. f.varer</t>
  </si>
  <si>
    <t xml:space="preserve">Lønn mv. </t>
  </si>
  <si>
    <t>Gevinst ved salg av tomt er en inntekt av mer spesiell karakter selv om den</t>
  </si>
  <si>
    <t>fornuftig å holde en slik inntekt utenom rentabilitetsberegningene.</t>
  </si>
  <si>
    <t>er klassifisert som en driftsinntekt. Gevinsten er dessuten relativt betydelig.</t>
  </si>
  <si>
    <t>I en lønnsomhetsanalyse der vi skal sammenligne over tid, vil det derfor være</t>
  </si>
  <si>
    <t>Egenkapitalavkastning</t>
  </si>
  <si>
    <t>Totalkapitalavkastning</t>
  </si>
  <si>
    <r>
      <t>Totalrentabilitet (R</t>
    </r>
    <r>
      <rPr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>):</t>
    </r>
  </si>
  <si>
    <r>
      <t>R</t>
    </r>
    <r>
      <rPr>
        <vertAlign val="subscript"/>
        <sz val="12"/>
        <rFont val="Times New Roman"/>
        <family val="1"/>
      </rPr>
      <t>EK</t>
    </r>
    <r>
      <rPr>
        <sz val="12"/>
        <rFont val="Times New Roman"/>
        <family val="1"/>
      </rPr>
      <t xml:space="preserve"> før skatt:</t>
    </r>
  </si>
  <si>
    <t>Driftskostnader</t>
  </si>
  <si>
    <t>Totalkapitalens avkastning</t>
  </si>
  <si>
    <r>
      <t>R</t>
    </r>
    <r>
      <rPr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 xml:space="preserve"> =</t>
    </r>
  </si>
  <si>
    <r>
      <t>R</t>
    </r>
    <r>
      <rPr>
        <vertAlign val="subscript"/>
        <sz val="12"/>
        <rFont val="Times New Roman"/>
        <family val="1"/>
      </rPr>
      <t xml:space="preserve">EK </t>
    </r>
    <r>
      <rPr>
        <sz val="12"/>
        <rFont val="Times New Roman"/>
        <family val="1"/>
      </rPr>
      <t xml:space="preserve"> før skatt =</t>
    </r>
  </si>
  <si>
    <t>Resultatgrad =</t>
  </si>
  <si>
    <t>210 000 i prosent av 7 000 000</t>
  </si>
  <si>
    <r>
      <t>1. Totalrentabiliteten (R</t>
    </r>
    <r>
      <rPr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>)</t>
    </r>
  </si>
  <si>
    <t>3. Gjennomsnittlig lånerente (r)</t>
  </si>
  <si>
    <t>Gjennomsnittlig lånerente r</t>
  </si>
  <si>
    <t>Budsjettert omsetning</t>
  </si>
  <si>
    <t>Variable kostnader</t>
  </si>
  <si>
    <t>Dekningsbidrag</t>
  </si>
  <si>
    <t>Faste driftskostnader</t>
  </si>
  <si>
    <t>Budsjettert resultat før skatt</t>
  </si>
  <si>
    <t>20x3</t>
  </si>
  <si>
    <t>Varekostnader</t>
  </si>
  <si>
    <t>Verdiøkning aksjer</t>
  </si>
  <si>
    <t>Resultatregnskap</t>
  </si>
  <si>
    <t>Vertikal analyse</t>
  </si>
  <si>
    <t>Horisontal analyse</t>
  </si>
  <si>
    <t>Denne oppstillingen viser at varekostnader og lønn er den viktigste årsaken til redusert</t>
  </si>
  <si>
    <t>lønnsomhet.</t>
  </si>
  <si>
    <t>Når varekostnadene øker relativt sett, er det flere mulige årsaker:</t>
  </si>
  <si>
    <t>fortjeneste.</t>
  </si>
  <si>
    <t>En økning i innkjøpsprisene uten at selskapet har kunnet øke salgsprisene tilsvarende.</t>
  </si>
  <si>
    <t xml:space="preserve">Økt svinn </t>
  </si>
  <si>
    <t>En endring av produktsammensetningen i retning av salg av varer med lavere brutto-</t>
  </si>
  <si>
    <t>Lavere salgspriser vil også gjøre at varekostnadene øker relativt sett. Men ut fra økningen</t>
  </si>
  <si>
    <t>i omsetningen er det ikke mye som tyder på lavere utsalgspriser.</t>
  </si>
  <si>
    <t>Vi ser at driftsresultatet i 20x1 var på 5,9 % av driftsinntektene. Det betyr at selskapet</t>
  </si>
  <si>
    <t>Økningen i lønnsandelen kan skyldes en generell lønnsøkning. Men den kan også skyldes</t>
  </si>
  <si>
    <t>nedgang i effektiviteten.</t>
  </si>
  <si>
    <t>I 20x3 ser vi dessuten at selskapet har relativt store tap på fordringer. Dette er en kostnad</t>
  </si>
  <si>
    <t>som kan variere mye fra år til år.</t>
  </si>
  <si>
    <t>Vi får i prinsippet det samme bildet som ved en vertikal analyse. Vi ser at driftsinntektene</t>
  </si>
  <si>
    <t>økte med 20 % fra 20x1 til 20x2, men økningen var noe mer beskjeden det siste året.</t>
  </si>
  <si>
    <t>Totalt har omsetningen økt med 27,5 % fra 20x1 til 20x3.</t>
  </si>
  <si>
    <t>Vi ser også her at varekostnadene og lønnskostnadene har økt relativt sterkere enn</t>
  </si>
  <si>
    <t>omsetningen. For tap på fordringer har kostnaden femdoblet seg siden 20x1.</t>
  </si>
  <si>
    <t>Men denne kostnaden er ganske beskjeden målt i absolutte tall (i kroner).</t>
  </si>
  <si>
    <t>For verdiøkning aksjer er økningen uendelig fordi utgangspunktet er 0. Dette er en</t>
  </si>
  <si>
    <t xml:space="preserve">inntekt av litt mer spesiell karakter og burde kanskje holdes utenom en analyse av </t>
  </si>
  <si>
    <t>denne typen.</t>
  </si>
  <si>
    <t>Vi beregner egenkapitalrentabiliteten på grunnlag av følgende formel:</t>
  </si>
  <si>
    <t>Egenkapital (25 %) =</t>
  </si>
  <si>
    <t>Gjeldsgraden (G/EK) =</t>
  </si>
  <si>
    <t>Gjennomsnittlig lånerente (r) =</t>
  </si>
  <si>
    <r>
      <t xml:space="preserve">Totalkapitalens avkastning i kroner = 20 000 000 </t>
    </r>
    <r>
      <rPr>
        <sz val="12"/>
        <rFont val="Verdana"/>
        <family val="2"/>
      </rPr>
      <t>∙</t>
    </r>
    <r>
      <rPr>
        <sz val="12"/>
        <rFont val="Times New Roman"/>
        <family val="1"/>
      </rPr>
      <t xml:space="preserve"> 0,16 =</t>
    </r>
  </si>
  <si>
    <t>Totalkapitalens avkastning = Resultat før skatt + rentekostnader.</t>
  </si>
  <si>
    <t>Når rentekostnadene utgjør kr 300 000, må resultatet før skatt være kr 2 900 000.</t>
  </si>
  <si>
    <t xml:space="preserve"> funnet ved saldering</t>
  </si>
  <si>
    <r>
      <t xml:space="preserve">Se lærebokas omtale av </t>
    </r>
    <r>
      <rPr>
        <i/>
        <sz val="12"/>
        <rFont val="Times New Roman"/>
        <family val="1"/>
      </rPr>
      <t>særlige poster</t>
    </r>
    <r>
      <rPr>
        <sz val="12"/>
        <rFont val="Times New Roman"/>
        <family val="1"/>
      </rPr>
      <t>.</t>
    </r>
  </si>
  <si>
    <r>
      <t>R</t>
    </r>
    <r>
      <rPr>
        <vertAlign val="subscript"/>
        <sz val="12"/>
        <rFont val="Times New Roman"/>
        <family val="1"/>
      </rPr>
      <t>EK</t>
    </r>
    <r>
      <rPr>
        <sz val="12"/>
        <rFont val="Times New Roman"/>
        <family val="1"/>
      </rPr>
      <t xml:space="preserve"> = 0,16 + 3 </t>
    </r>
    <r>
      <rPr>
        <sz val="12"/>
        <rFont val="Verdana"/>
        <family val="2"/>
      </rPr>
      <t xml:space="preserve">∙ </t>
    </r>
    <r>
      <rPr>
        <sz val="12"/>
        <rFont val="Times New Roman"/>
        <family val="1"/>
      </rPr>
      <t>(0,16 – 0,02) =</t>
    </r>
  </si>
  <si>
    <t>Driftsresultatet må derfor utgjøre kr 3 175 000. Se oppstilling nedenfor.</t>
  </si>
  <si>
    <t>"sitter igjen med" kr 5,90 av hver krone salg før vi tar hensyn til finansinntekter og  finans-</t>
  </si>
  <si>
    <t>hver krone omsetning.</t>
  </si>
  <si>
    <t>kostnader. I 20x2 er dette tallet redusert til 5 %, mens selskapet i 20x3 "tjener" kr 2,40 av</t>
  </si>
  <si>
    <r>
      <t>Se kommentar</t>
    </r>
    <r>
      <rPr>
        <vertAlign val="superscript"/>
        <sz val="12"/>
        <rFont val="Times New Roman"/>
        <family val="1"/>
      </rPr>
      <t>1</t>
    </r>
  </si>
  <si>
    <r>
      <t>Egenkapitalrentabilitet (R</t>
    </r>
    <r>
      <rPr>
        <vertAlign val="subscript"/>
        <sz val="12"/>
        <rFont val="Times New Roman"/>
        <family val="1"/>
      </rPr>
      <t>EK</t>
    </r>
    <r>
      <rPr>
        <sz val="12"/>
        <rFont val="Times New Roman"/>
        <family val="1"/>
      </rPr>
      <t>) før skatt</t>
    </r>
  </si>
  <si>
    <r>
      <t>Totalkapitalrentabilitet (R</t>
    </r>
    <r>
      <rPr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>)</t>
    </r>
  </si>
  <si>
    <t>Kapitalens omløpshastighet er forholdet mellom driftsinntektene og gjennomsnittlig</t>
  </si>
  <si>
    <r>
      <t>R</t>
    </r>
    <r>
      <rPr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 xml:space="preserve"> = Resultatgrad </t>
    </r>
    <r>
      <rPr>
        <sz val="12"/>
        <rFont val="Verdana"/>
        <family val="2"/>
      </rPr>
      <t xml:space="preserve">∙ </t>
    </r>
    <r>
      <rPr>
        <sz val="12"/>
        <rFont val="Times New Roman"/>
        <family val="1"/>
      </rPr>
      <t xml:space="preserve">kapitalens omløpshastighet = 10,3 % </t>
    </r>
    <r>
      <rPr>
        <sz val="12"/>
        <rFont val="Verdana"/>
        <family val="2"/>
      </rPr>
      <t>∙</t>
    </r>
    <r>
      <rPr>
        <sz val="12"/>
        <rFont val="Times New Roman"/>
        <family val="1"/>
      </rPr>
      <t xml:space="preserve"> 1,84 = 18.9 %</t>
    </r>
  </si>
  <si>
    <t>totalkapital. Alle forhold som påvirker disse to størrelsene vil også påvirke kapitalens</t>
  </si>
  <si>
    <t>omløpshastighet. Hvis omsetningen øker i forhold til bundet kapital, vil kapitalens</t>
  </si>
  <si>
    <t>omløpshastighet øke. Dersom en virksomhet kan redusere bundet kapital i forhold</t>
  </si>
  <si>
    <t>e)</t>
  </si>
  <si>
    <t>Totalrentabiliteten viser en jevn økning i perioden. Resultatgraden har økt hvert år og</t>
  </si>
  <si>
    <t xml:space="preserve">stiger fra 8,28 % i 20x3 til 10,3 % i 20x4. Kapitalens omløpshastighet økte i 20x2 og 20x3, </t>
  </si>
  <si>
    <t>men viser en nedgang i 20x4. Fallet i omløpshastighet blir mer enn oppveid av økningen</t>
  </si>
  <si>
    <t>i resultatgrad slik at rentabiliteten også øker i 20x4.</t>
  </si>
  <si>
    <t>Egenkapitalrentabiliteten er avhengig av tre forhold. Se formelen</t>
  </si>
  <si>
    <t>2. Gjeldsgraden</t>
  </si>
  <si>
    <t>Når totalrentabiliteten er høyere enn gjennomsnittlig gjeldsrente, vil egenkapital-</t>
  </si>
  <si>
    <t xml:space="preserve">rentabiliteten være høyere enn totalrentabiliteten. Da blir verdien av parentesen i </t>
  </si>
  <si>
    <t>formelen ovenfor positiv.</t>
  </si>
  <si>
    <t>Noen viktige forhold av betydning for lønnsomheten:</t>
  </si>
  <si>
    <t>omsatt mengde</t>
  </si>
  <si>
    <t>oppnådde salgspriser</t>
  </si>
  <si>
    <t>produktsammensetningen</t>
  </si>
  <si>
    <t>forbrukt mengde av ressurser som varer, arbeidskraft, energi etc.</t>
  </si>
  <si>
    <t>utnyttelse av kapitalen. Redusert kapitalbinding gir økt rentabilitet.</t>
  </si>
  <si>
    <t>Tiltakene bør drøftes med utgangspunkt i punktene ovenfor.</t>
  </si>
  <si>
    <t>Variable kostnader siste år: 60 % av kr 15 000 000 = kr 9 000 000</t>
  </si>
  <si>
    <t>En dekningsgrad på 40 % betyr at de variable kostnadene utgjør 60 % av inntektene.</t>
  </si>
  <si>
    <t>Faste driftskostnader siste år er dermed kr (13 500 000 – 9 000 000) = kr 4 500 000.</t>
  </si>
  <si>
    <r>
      <t xml:space="preserve">15 000 000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1,10 = 16 500 000</t>
    </r>
  </si>
  <si>
    <r>
      <t xml:space="preserve">9 000 000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1,10 = 9 900 000</t>
    </r>
  </si>
  <si>
    <t>4 500 000 + 400 000</t>
  </si>
  <si>
    <r>
      <t xml:space="preserve">Totalrentabilitet: 1 700 000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10 000 000 =</t>
    </r>
  </si>
  <si>
    <r>
      <t xml:space="preserve">Resultatgrad: 1 700 000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16 500 000 =</t>
    </r>
  </si>
  <si>
    <t>Budsjett</t>
  </si>
  <si>
    <t>Mulige årsaker til økt rentabilitet:</t>
  </si>
  <si>
    <t>-</t>
  </si>
  <si>
    <t>Resultatgraden øker fra 10 til 10,3 %. Bedriften sitter igjen med kr 10,30 av hver</t>
  </si>
  <si>
    <t>hundrekrone i salg, mot kr 10 året før. Omsetningen øker med 10 %. De faste drifts-</t>
  </si>
  <si>
    <t>sammensetningen av de faste driftskostnadene.</t>
  </si>
  <si>
    <t xml:space="preserve">Kapitalens omløpshastighet øker fra 1,5 til 1,65. Den viktigste årsaken til bedring i </t>
  </si>
  <si>
    <t>lønnsomheten er i dette tilfellet at den investerte kapitalen blir bedre utnyttet.</t>
  </si>
  <si>
    <t>Omsetningen øker med 10 % uten av bundet kapital forventes å øke.</t>
  </si>
  <si>
    <t>Totalrentabilitet</t>
  </si>
  <si>
    <t>EK-rentabilitet før skatt</t>
  </si>
  <si>
    <t>Totalkapitalens rentabilitet har bedret seg betydelig i løpet av treårsperioden, men</t>
  </si>
  <si>
    <t>den er fortsatt lav. Den ligger i 20x3 så vidt over gjennomsnittlig lånerente.</t>
  </si>
  <si>
    <t>Dekningsgrad</t>
  </si>
  <si>
    <t>Driftsinntektene har økte med over 150 % i perioden 20x1 til 20x3. Samtidig har</t>
  </si>
  <si>
    <t>dekningsgraden gått opp. Resultatgraden var negativ i 20x1. Da tapte bedriften over 5 kroner</t>
  </si>
  <si>
    <t>for hver hundrekrone salg. I 20x2 og 20x3 sitter bedriften igjen med kr 3,20.</t>
  </si>
  <si>
    <t>Vi merker oss en kraftig økning i de faste kostnadene i hele perioden.</t>
  </si>
  <si>
    <t>På grunn av betydelig økning i kapitalens omløpshastighet har rentabiliteten likevel økt</t>
  </si>
  <si>
    <t>også i 20x3. Dette som følge av omsetningsøkningen på nesten 32 %.</t>
  </si>
  <si>
    <t xml:space="preserve"> altså 2 %</t>
  </si>
  <si>
    <t xml:space="preserve">   = 58 %</t>
  </si>
  <si>
    <t>Faste driftskostnader ekskl. renter</t>
  </si>
  <si>
    <t>Egenkapitalprosent</t>
  </si>
  <si>
    <t>Når vi kjenner dekningsgraden, vet vi også hvor mye de variable kostnadene utgjør i</t>
  </si>
  <si>
    <t>prosent:</t>
  </si>
  <si>
    <t>Totalkapitalens rentabilitet</t>
  </si>
  <si>
    <t>Egenkapitens avkastning</t>
  </si>
  <si>
    <t>Egenkapitalrentabilitet</t>
  </si>
  <si>
    <t>Gjennomsnittlig gjeldsrente</t>
  </si>
  <si>
    <t>De to første årene er totalrentabiliteten høyere enn lånerenten. Det betyr at midler</t>
  </si>
  <si>
    <t>som er lånt til 5 % rente, blir investert i selskapet der de gir høyere avkastning, i 20x1</t>
  </si>
  <si>
    <t>11,9 % og i 20x2 7,4 %. Dermed er egenkapitalrentabiliteten høyere enn</t>
  </si>
  <si>
    <t>totalkapitalens rentabilitet. I 20x3 koster lånet mer enn avkastningen som bedriften gir.</t>
  </si>
  <si>
    <t>Dermed blir egenkapitalrentabiliteten lavere enn totalrentabiliteten.</t>
  </si>
  <si>
    <t>Sammenhengen forklares ved hjelp av denne formelen:</t>
  </si>
  <si>
    <t>Vi kan studere utviklingen ved å bruke en vertikal analyse der omsetningen hvert</t>
  </si>
  <si>
    <t>år settes til 10 %, mens øvrige resultatstørrelser er regnet i prosent av omsetningen.</t>
  </si>
  <si>
    <t>Faste kostnader ekskl. renter</t>
  </si>
  <si>
    <t>Oppstillingen viser at fallende lønnsomhet skyldes tre forhold:</t>
  </si>
  <si>
    <t xml:space="preserve">fallende dekningsgrad </t>
  </si>
  <si>
    <t>markert nedgang i finansinntektene</t>
  </si>
  <si>
    <t>relativ økning i de variable kostnadene, som også kommer til uttrykk ved en</t>
  </si>
  <si>
    <t>relativ økning i de faste driftskostnadene</t>
  </si>
  <si>
    <t>Det samme forholdet får vi frem ved å se på utviklingen i resultatgrad. Mens kapitalens</t>
  </si>
  <si>
    <t>omløpshastighet har vært relativt stabil, er fallet i resultatgraden betydelig:</t>
  </si>
  <si>
    <t>Vareforbruk</t>
  </si>
  <si>
    <t>Variabel lønn</t>
  </si>
  <si>
    <t>Faste kostnader</t>
  </si>
  <si>
    <t>Administrasjonskostnader</t>
  </si>
  <si>
    <t>Sum faste kosnader</t>
  </si>
  <si>
    <t>Resultat</t>
  </si>
  <si>
    <t>Nullpunktomsetning</t>
  </si>
  <si>
    <t>Sikkerhetsmargin</t>
  </si>
  <si>
    <t>Nullpunktomsetning forteller hvor stor omsetning vi minst må ha for å få dekket</t>
  </si>
  <si>
    <r>
      <t xml:space="preserve">alle de faste kostnadene og beregnes slik: Faste kostnader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dekningsgrad.</t>
    </r>
  </si>
  <si>
    <t>Sikkerhetsmargin forteller hvor mye omsetningen kan falle med før bedriften går med underskudd</t>
  </si>
  <si>
    <t>og beregnes slik: Omsetning – nullpunktomsetning</t>
  </si>
  <si>
    <t>Sikkerhetsmarginen i prosent forteller hvor mange prosent omsetningen kan falle med.</t>
  </si>
  <si>
    <t>Resultatet har økt både i kroner og prosent av omsetningen i løpet av treårsperioden.</t>
  </si>
  <si>
    <t>Dekningsgraden hadde en svak økning fra 20x1 til 20x2, men har falt i 20x3. Årsaken er</t>
  </si>
  <si>
    <t>en relativ økning i varekostnadene. Det kan skyldes økte innkjøpspriser, økt svinn o.l. Dette</t>
  </si>
  <si>
    <t>betyr lavere bruttofortjeneste (avanse).</t>
  </si>
  <si>
    <t>På den annen side har de faste kostnadene en relativ nedgang. Fallet i rentekostnadene kan</t>
  </si>
  <si>
    <t>skyldes en nedgang i rentebærende gjeld eller et fall i rentenivået, eventuelt en kombinasjon.</t>
  </si>
  <si>
    <t>Virksomheten har hatt en økning i omsetningen på 23,3 % i perioden 20x1 til 20x3. Dette</t>
  </si>
  <si>
    <t>forholdet sammen med den relative nedgangen i de faste kostnadene forklarer den bedrede</t>
  </si>
  <si>
    <t>lønnsomheten. Det har igjen ført til en betydelig økning i sikkerhetsmarginen på 6,4 prosentpoeng</t>
  </si>
  <si>
    <t>fra 20x1 til 20x3.</t>
  </si>
  <si>
    <r>
      <t xml:space="preserve">Totalrentabilitet: 1 100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8 000 =</t>
    </r>
  </si>
  <si>
    <r>
      <t xml:space="preserve">Resultatgrad: 1 100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14 000 =</t>
    </r>
  </si>
  <si>
    <t>Kapitalens omløpshastighet: 14 000 : 8 000 =</t>
  </si>
  <si>
    <r>
      <t xml:space="preserve">Totalrentabiliteten forteller noe om hvor lønnsom </t>
    </r>
    <r>
      <rPr>
        <i/>
        <sz val="12"/>
        <rFont val="Times New Roman"/>
        <family val="1"/>
      </rPr>
      <t>bedriften</t>
    </r>
    <r>
      <rPr>
        <sz val="12"/>
        <rFont val="Times New Roman"/>
        <family val="1"/>
      </rPr>
      <t xml:space="preserve"> er. Egenkapitalrentabiliteten</t>
    </r>
  </si>
  <si>
    <t>sier oss hvor stor avkastning eierne får på sine innskudd:</t>
  </si>
  <si>
    <t>Egenkapital = eiendeler – gjeld = 8 000 – 5 000 =</t>
  </si>
  <si>
    <r>
      <t xml:space="preserve">Egenkapitalrentabilitet: 880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3 000 =</t>
    </r>
  </si>
  <si>
    <r>
      <t xml:space="preserve">Gjennomsnittlig gjeldsrente: 220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5 000 =</t>
    </r>
  </si>
  <si>
    <t>Totalkapitalens rentabilitet med 13,8 % er på det jevne. Vi må sammenligne avkastningen</t>
  </si>
  <si>
    <t>med det aktuelle rentenivået, og da kan 13,8 % sies å være greit. I tillegg må vi vurdere</t>
  </si>
  <si>
    <t>risikoen i den aktuelle bransjen og risiko generelt.</t>
  </si>
  <si>
    <t>Når vi skal se på sammenhengen mellom totalkapitalens og egenkapitalens</t>
  </si>
  <si>
    <t>rentabilitet, vil følgende formel være nyttig.</t>
  </si>
  <si>
    <t>betydning.</t>
  </si>
  <si>
    <r>
      <t xml:space="preserve">Det er spesielt verdien av parentesen, altså differansen mellom </t>
    </r>
    <r>
      <rPr>
        <i/>
        <sz val="12"/>
        <rFont val="Times New Roman"/>
        <family val="1"/>
      </rPr>
      <t>R</t>
    </r>
    <r>
      <rPr>
        <i/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 xml:space="preserve"> og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som er av </t>
    </r>
  </si>
  <si>
    <t>Tre forhold avgjør egenkapitalens rentabilitet:</t>
  </si>
  <si>
    <t>totalkapitalrentabiliteten, her 13,75 % avrundet til 13,8</t>
  </si>
  <si>
    <t>gjeldsgraden, her 5 000 : 3 000 = 1,67</t>
  </si>
  <si>
    <t>gjennomsnittlig gjeldsrente, her 4,4 %</t>
  </si>
  <si>
    <t>som er lånt, koster bedriften i snitt 4,4 %. Disse midlene er investert i bedriften der</t>
  </si>
  <si>
    <t>de gir en avkastning på 13,75 %. Dermed tjener bedriften 13,75 – 4,4 = 9,35 %.</t>
  </si>
  <si>
    <t>Av hver hundrekrone gjeld, tjener altså bedriften kr 9,35, og denne fortjenesten</t>
  </si>
  <si>
    <t>tilfaller eierne.</t>
  </si>
  <si>
    <t>Virkning på totalrentabiliteten</t>
  </si>
  <si>
    <t>Ved større investeringer vil det normalt komme en del utgifter som kostnadsføres i</t>
  </si>
  <si>
    <t xml:space="preserve">investeringsåret, og som derved belaster resultatet. Samtidig vil det som regel gå </t>
  </si>
  <si>
    <t>noe tid før investeringene begynner å generere inntekter. Ved å sammenligne</t>
  </si>
  <si>
    <t>resultatgraden og kapitalens omløpshastighet i fjor kan vi si noe mer om dette forholdet.</t>
  </si>
  <si>
    <t>Virkning på gjeldsgrad</t>
  </si>
  <si>
    <r>
      <t xml:space="preserve">Ved låneopptak vil gjeldsgraden øke. Isolert sett vil dette </t>
    </r>
    <r>
      <rPr>
        <i/>
        <sz val="12"/>
        <rFont val="Times New Roman"/>
        <family val="1"/>
      </rPr>
      <t xml:space="preserve">øke </t>
    </r>
    <r>
      <rPr>
        <sz val="12"/>
        <rFont val="Times New Roman"/>
        <family val="1"/>
      </rPr>
      <t>egenkapitalrentabiliteten</t>
    </r>
  </si>
  <si>
    <r>
      <t xml:space="preserve">dersom lånerenten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er lavere enn </t>
    </r>
    <r>
      <rPr>
        <i/>
        <sz val="12"/>
        <rFont val="Times New Roman"/>
        <family val="1"/>
      </rPr>
      <t>R</t>
    </r>
    <r>
      <rPr>
        <i/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 xml:space="preserve"> (totalrentabiliteten), noe som er en naturlig</t>
    </r>
  </si>
  <si>
    <t>forutsetning. Vi bør jo ikke ta opp lån dersom lånet er dyrere enn avkastningen</t>
  </si>
  <si>
    <t>som vi oppnår i bedriften.</t>
  </si>
  <si>
    <t>Virkning på gjennomsnittlig lånerente</t>
  </si>
  <si>
    <t>Dersom renten på den nye lånet ligger over gjennomsnittlig lånerente hittil, vil det</t>
  </si>
  <si>
    <r>
      <t xml:space="preserve">føre til at differansen mellom </t>
    </r>
    <r>
      <rPr>
        <i/>
        <sz val="12"/>
        <rFont val="Times New Roman"/>
        <family val="1"/>
      </rPr>
      <t>R</t>
    </r>
    <r>
      <rPr>
        <i/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 xml:space="preserve"> og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går ned, med redusert egenkapitalrentabilitet</t>
    </r>
  </si>
  <si>
    <t>som følge. Sannsynligvis har dette siste forholdet hatt en helt marginal betydning.</t>
  </si>
  <si>
    <t>Vi tar utgangspunkt i formelen under spørsmål b ovenfor når vi diskuterer denne</t>
  </si>
  <si>
    <t>problemstillingen.</t>
  </si>
  <si>
    <t>Totalkapitalrentabilitet</t>
  </si>
  <si>
    <t>Selv om omsetningen har falt noe, ser vi at det ikke er noe å utsette på lønnsomheten.</t>
  </si>
  <si>
    <t>Det er ganske bemerkelsesverdig at bedriften nesten ikke har rentekostnader.</t>
  </si>
  <si>
    <t>La oss splitte totalrentabiliteten i</t>
  </si>
  <si>
    <t>1. resultatgrad og</t>
  </si>
  <si>
    <t>2. kapitalens omløpshastighet.</t>
  </si>
  <si>
    <t>På den måten kan vi si noe mer om utviklingen i lønnsomhet.</t>
  </si>
  <si>
    <t>marginen har økt fra 20x2.</t>
  </si>
  <si>
    <t>En vertikal analyse vil si noe mer om årsaken til økning i resultatgrad</t>
  </si>
  <si>
    <t>Vi ser videre at avskrivningene har falt både i kroner og relativt. Hva årsaken</t>
  </si>
  <si>
    <t>til dette er, er vanskelig å ha noen formening om. En mulig årsak er at driftsmidler</t>
  </si>
  <si>
    <t>er skiftet ut med driftsmidler med lengre levetid. Det kan skyldes at enkelte</t>
  </si>
  <si>
    <t>driftsmidler er avskrevet fullt ut per 31.12.20x2.</t>
  </si>
  <si>
    <t>Andre driftskostnader er en meget sammensatt størrelse. Vi ser at også denne</t>
  </si>
  <si>
    <t>er redusert relativt sett.</t>
  </si>
  <si>
    <t>Overføres til annen egenkapital</t>
  </si>
  <si>
    <t>Kontantstrømmer fra operasjonelle aktiviteter</t>
  </si>
  <si>
    <t>Periodens betalte skatt</t>
  </si>
  <si>
    <t>Ordinære avskrivninger</t>
  </si>
  <si>
    <t>Endring i varelager</t>
  </si>
  <si>
    <t>Endring i kundefordringer</t>
  </si>
  <si>
    <t>Endring i leverandørgjeld</t>
  </si>
  <si>
    <t>Endring i andre tidsavgrensningsposter</t>
  </si>
  <si>
    <t>Netto kontantstrøm fra operasjonelle aktiviteter</t>
  </si>
  <si>
    <t>Kontantstrømmer fra investeringsaktiviteter</t>
  </si>
  <si>
    <t>Utbetalinger ved kjøp av varige driftsmidler</t>
  </si>
  <si>
    <t xml:space="preserve">Netto kontantstrøm fra investeringsaktiviteter </t>
  </si>
  <si>
    <t>Kontantstrømmer fra finansieringsaktiviteter</t>
  </si>
  <si>
    <t>Utbetalinger ved nedbetaling av langsiktig gjeld</t>
  </si>
  <si>
    <t>Utbetalinger av utbytte/privatuttak</t>
  </si>
  <si>
    <t xml:space="preserve">Netto kontantstrøm fra finansieringsaktiviteter </t>
  </si>
  <si>
    <t>Beholdning av kontanter o.l. ved periodens begynnelse</t>
  </si>
  <si>
    <t>Som nevnt i oppgaveteksten er dette en bevisst politikk fra ledelsens side.</t>
  </si>
  <si>
    <t>skyldes lavere innkjøpspriser, bedre utnyttelse av råvarene, skifte av leverandør etc.</t>
  </si>
  <si>
    <t>Arbeidskapital i prosent av omsetningen</t>
  </si>
  <si>
    <t>(vi finner beløpene i kontantstrømoppstillingen)</t>
  </si>
  <si>
    <t>Likviditetsreserve i % av omsetningen</t>
  </si>
  <si>
    <t>Spesielt virker likviditetsgrad 1 lav i forhold til "normen". Arbeidskapitalen</t>
  </si>
  <si>
    <t>har likviditetsproblemer. Kontantstrømoppstillingen viser at de operasjonelle</t>
  </si>
  <si>
    <t xml:space="preserve">Oppgave 7.20 </t>
  </si>
  <si>
    <t>Oppgave 7.21</t>
  </si>
  <si>
    <t>Oppgave 7.22</t>
  </si>
  <si>
    <t>Oppgave 7.23</t>
  </si>
  <si>
    <t>Oppgave 7.24</t>
  </si>
  <si>
    <t>Oppgave 7.25</t>
  </si>
  <si>
    <t>Oppgave 7.26</t>
  </si>
  <si>
    <t>Øvrig kortsiktig gjeld</t>
  </si>
  <si>
    <t>Resultatgraden forteller at virksomheten i 20x3 sitter igjen med kr 7</t>
  </si>
  <si>
    <t>av hver 100 krone omsetning. I 20x2 var tallet kr 5. Dette betyr at</t>
  </si>
  <si>
    <t>Beregningene er vist her. Ikke alle tallene for 20x1 lar seg kontrollere.</t>
  </si>
  <si>
    <t>Totalkapitalens avkastning i kroner</t>
  </si>
  <si>
    <t>Egenkapitalens avkastning før skatt</t>
  </si>
  <si>
    <t>Egenkapitalrentabilitet før skatt</t>
  </si>
  <si>
    <t>Egenkapitalens rentabilitet virker nesten uvirkelig god. (Regnskapstallene er</t>
  </si>
  <si>
    <t>faktisk stort sett basert på reelle tall fra en virksomhet i bransjen).</t>
  </si>
  <si>
    <t xml:space="preserve">Fallet i kapitalens omløpshastighet skyldes nedgangen i omsetningen. </t>
  </si>
  <si>
    <t xml:space="preserve">Vi ser at varekostnadene har falt fra 34,1 % i 20x1 til 33,5 % i 20x3. Dette kan </t>
  </si>
  <si>
    <t>Lønn og sosiale kostnader falt klart fra 20x1 til 20x2. Nedgangen har fortsatt i 20x3.</t>
  </si>
  <si>
    <t>Avsatt utbytte på 2 000 er klassifisert som gjeld i balansen. Dette er midler</t>
  </si>
  <si>
    <t>som har vært investert i selskapet gjennom året, og midler som tilhører eierne.</t>
  </si>
  <si>
    <t>Mer hensiktsmessig er det å anse utbytte som egenkapital akkurat i denne</t>
  </si>
  <si>
    <t>sammenhengen. Da blir egenkapital 31.12.20x3: 1 564 + 2 000 = 3 564</t>
  </si>
  <si>
    <t>Gjennomsnittlig egenkapital blir dermed (1 340 + 3 564) : 2 = 2 542</t>
  </si>
  <si>
    <r>
      <t xml:space="preserve">Egenkapitalrentabilitet før skatt: 2 854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100/ 2 542 =</t>
    </r>
  </si>
  <si>
    <t>Dette gir et riktigere bilde av egenkapitalrentabiliteten før skatt, som uansett er</t>
  </si>
  <si>
    <t>eksepsjonelt god</t>
  </si>
  <si>
    <t>Så kan vi gjerne diskutere om vi burde ha lagt til utbytte også ved inngangen</t>
  </si>
  <si>
    <t>til 20x3 slik: 1 340 + 1 500 = 2 850. Det ville redusert rentabiliteten ytterligere.</t>
  </si>
  <si>
    <t>Utbyttet på 1 500 ble utbetalt til eierne i løpet av våren 20x3 og har således</t>
  </si>
  <si>
    <t>bare vært "investert" i virksomheten en relativt kort tid. Derfor velger vi å se</t>
  </si>
  <si>
    <t>bort fra denne "korrigeringen" her.</t>
  </si>
  <si>
    <t>har vært negativ i hele perioden. Likevel virker det ikke som bedriften</t>
  </si>
  <si>
    <t xml:space="preserve">aktivitetene genererer nesten 2,4 millioner i 20x3 og nesten 1,8 millioner året før. </t>
  </si>
  <si>
    <t>Bedriften har en likviditetsbeholdning på 1 749 000 ved utgangen av 20x3.</t>
  </si>
  <si>
    <t>Så kan vi gjerne stille spørsmålet om det er fornuftig politikk at selskapet</t>
  </si>
  <si>
    <t>har avsatt 2 millioner i utbytte for 20x3. Dette vil tære på likvidene i 20x4.</t>
  </si>
  <si>
    <t>Selskapet avsatte 1,5 millioner i utbytte for 20x2. Dette ble utbetalt i 20x3.</t>
  </si>
  <si>
    <t>Selskapet burde kanskje revurdere sin utbyttepolitikk.</t>
  </si>
  <si>
    <t>Kontantstrømmene</t>
  </si>
  <si>
    <t>Vi ser at de operasjonelle aktivitetene i 20x3 har gitt 2 391 000 i likvide midler.</t>
  </si>
  <si>
    <t>Bedriften har brukt 521 000 til investering i varige driftsmidler. Disse investeringene</t>
  </si>
  <si>
    <t>er gjennomført uten låneopptak. Som allerede nevnt er det utbetalt 1,5 millioner</t>
  </si>
  <si>
    <t>i utbytte. Dermed har likvide midler økt med "bare" 226 000.</t>
  </si>
  <si>
    <t>Vi ser at bedriften praktisk talt ikke har rentekostnader. Kortsiktig gjeld</t>
  </si>
  <si>
    <t>består gjerne at leverandørgjeld, skyldige offentlige avgifter, påløpte ferie-</t>
  </si>
  <si>
    <t>penger etc. Dette er rentefrie kreditter under forutsetning av at bedriften</t>
  </si>
  <si>
    <t>betaler innen forfall. Siden bedriften åpenbart klarer seg godt likviditetsmessig,</t>
  </si>
  <si>
    <t>betyr den kortsiktige gjelden et bedre resultat. I tillegg vil et eventuelt langsiktig</t>
  </si>
  <si>
    <t>banklån være en lite fleksibel kreditt, en kreditt som ikke tilpasses sesongmessige</t>
  </si>
  <si>
    <t>En nedskrivning på kr 200 000 vil redusere driftsresultatet til kr 2 599 000.</t>
  </si>
  <si>
    <t>Årsoverskudd før skatt blir kr (2 854 000 – 200 000) = kr 2 654 000.</t>
  </si>
  <si>
    <r>
      <t xml:space="preserve">Nedskrivningen vil redusere skattekostnaden med kr 200 000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0,22 =</t>
    </r>
  </si>
  <si>
    <t>kr 44 000 til kr (630 000 – 44 000) = 586 000. Årsoverskuddet</t>
  </si>
  <si>
    <t>blir dermed kr (2 654 000 – 586 000) = kr 2 068 000</t>
  </si>
  <si>
    <t>Resultat før skatt etter nedskrivning blir altså kr 2 654 000.</t>
  </si>
  <si>
    <t>Totalkapitalens avkastning i kroner: kr (2 654 000 + 10 000) = 2 664 000.</t>
  </si>
  <si>
    <t>Totalkapitalen 31.12.20x3 vil bli kr 200 000 lavere, nemlig kr 7 857 000.</t>
  </si>
  <si>
    <t>Gjennomsnittlig totalkapital: (8 235 + 7 857) : 2 = 8 046</t>
  </si>
  <si>
    <r>
      <t xml:space="preserve">Totalkapitalens rentabilitet: 2 664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 / 8 046 =</t>
    </r>
  </si>
  <si>
    <t>Tidligere var den 35,2 %</t>
  </si>
  <si>
    <t>Netto endring i kontanter og kontantekvivalenter</t>
  </si>
  <si>
    <t>Beholdning av kontanter o.l. ved periodens slutt</t>
  </si>
  <si>
    <t xml:space="preserve">Oppgave 7.17 </t>
  </si>
  <si>
    <t>Løsningsforslag starter her:</t>
  </si>
  <si>
    <t>Oppgave 7.18</t>
  </si>
  <si>
    <t>Resultat finansposter</t>
  </si>
  <si>
    <t>Oppgave 7.19</t>
  </si>
  <si>
    <t>Totalkapitalavkastning i kroner</t>
  </si>
  <si>
    <t>Egenkapitalavkastning i kroner</t>
  </si>
  <si>
    <t>1 500 000 i prosent av 10 000 000</t>
  </si>
  <si>
    <t>1 290 000 i prosent av 3 000 000</t>
  </si>
  <si>
    <t>produksjonsfaktorer</t>
  </si>
  <si>
    <t xml:space="preserve">faktorprisene, det vil si pris på innkjøpte varer, lønnssatser og pris på andre </t>
  </si>
  <si>
    <t>risiko ha betydning for vurderingen.</t>
  </si>
  <si>
    <t>En totalrentabilitet på 15 % virker rimelig bra ut fra dagens rentenivå. I tillegg vil</t>
  </si>
  <si>
    <t xml:space="preserve">kostnadene stiger med 8,9 %, altså relativt mindre. Vi må derfor se nærmere på </t>
  </si>
  <si>
    <t>Grunnen til at egenkapitalrentabiliteten er så høy i forhold til 13,75 %, er at de midlene</t>
  </si>
  <si>
    <t>Totalkapitalens rentabilitet i 20x3 er på rundt 35,2 %, og det er svært bra.</t>
  </si>
  <si>
    <r>
      <t xml:space="preserve">Egenkapitalavkastningen i </t>
    </r>
    <r>
      <rPr>
        <b/>
        <i/>
        <sz val="12"/>
        <rFont val="Times New Roman"/>
        <family val="1"/>
      </rPr>
      <t>kroner</t>
    </r>
    <r>
      <rPr>
        <sz val="12"/>
        <rFont val="Times New Roman"/>
        <family val="1"/>
      </rPr>
      <t xml:space="preserve"> er udiskutabel. For 20x3 er den 2 854.</t>
    </r>
  </si>
  <si>
    <t>svingninger.</t>
  </si>
  <si>
    <t>Lønn og feriepenger</t>
  </si>
  <si>
    <t>Arbeidsgiveravgift</t>
  </si>
  <si>
    <t>til omsetningen, vil kapitalens omløpshastighet også øke.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</si>
</sst>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kr&quot;\ #,##0;[Red]\-&quot;kr&quot;\ #,##0"/>
    <numFmt numFmtId="164" formatCode="#,##0.0"/>
    <numFmt numFmtId="165" formatCode="0.0\ 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vertAlign val="subscript"/>
      <sz val="12"/>
      <name val="Times New Roman"/>
      <family val="1"/>
    </font>
    <font>
      <sz val="12"/>
      <name val="Verdana"/>
      <family val="2"/>
    </font>
    <font>
      <sz val="12"/>
      <name val="Calibri"/>
      <family val="2"/>
    </font>
    <font>
      <vertAlign val="superscript"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3" fontId="3" fillId="0" borderId="2" xfId="0" applyNumberFormat="1" applyFont="1" applyBorder="1"/>
    <xf numFmtId="3" fontId="3" fillId="0" borderId="0" xfId="0" applyNumberFormat="1" applyFont="1" applyAlignment="1">
      <alignment horizontal="center"/>
    </xf>
    <xf numFmtId="3" fontId="3" fillId="0" borderId="4" xfId="0" applyNumberFormat="1" applyFont="1" applyBorder="1"/>
    <xf numFmtId="0" fontId="9" fillId="0" borderId="0" xfId="0" applyFont="1"/>
    <xf numFmtId="0" fontId="8" fillId="0" borderId="0" xfId="2" applyFont="1"/>
    <xf numFmtId="0" fontId="3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3" fontId="3" fillId="0" borderId="0" xfId="2" applyNumberFormat="1" applyFont="1"/>
    <xf numFmtId="3" fontId="3" fillId="0" borderId="2" xfId="2" applyNumberFormat="1" applyFont="1" applyBorder="1"/>
    <xf numFmtId="3" fontId="3" fillId="0" borderId="7" xfId="2" applyNumberFormat="1" applyFont="1" applyBorder="1"/>
    <xf numFmtId="3" fontId="3" fillId="0" borderId="9" xfId="2" applyNumberFormat="1" applyFont="1" applyBorder="1"/>
    <xf numFmtId="165" fontId="3" fillId="0" borderId="7" xfId="1" applyNumberFormat="1" applyFont="1" applyBorder="1"/>
    <xf numFmtId="165" fontId="3" fillId="0" borderId="9" xfId="1" applyNumberFormat="1" applyFont="1" applyBorder="1"/>
    <xf numFmtId="165" fontId="3" fillId="0" borderId="8" xfId="1" applyNumberFormat="1" applyFont="1" applyBorder="1"/>
    <xf numFmtId="0" fontId="4" fillId="0" borderId="0" xfId="2" applyFont="1"/>
    <xf numFmtId="165" fontId="3" fillId="0" borderId="0" xfId="1" applyNumberFormat="1" applyFont="1"/>
    <xf numFmtId="2" fontId="3" fillId="0" borderId="0" xfId="2" applyNumberFormat="1" applyFont="1"/>
    <xf numFmtId="0" fontId="10" fillId="0" borderId="0" xfId="2" applyFont="1"/>
    <xf numFmtId="3" fontId="8" fillId="0" borderId="0" xfId="2" applyNumberFormat="1" applyFont="1" applyAlignment="1">
      <alignment horizontal="center"/>
    </xf>
    <xf numFmtId="9" fontId="3" fillId="0" borderId="0" xfId="1" applyFont="1"/>
    <xf numFmtId="4" fontId="3" fillId="0" borderId="0" xfId="0" applyNumberFormat="1" applyFont="1"/>
    <xf numFmtId="0" fontId="3" fillId="0" borderId="4" xfId="0" applyFont="1" applyBorder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2" fontId="3" fillId="0" borderId="0" xfId="1" applyNumberFormat="1" applyFont="1"/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3" fontId="8" fillId="0" borderId="0" xfId="0" applyNumberFormat="1" applyFont="1" applyAlignment="1">
      <alignment horizontal="center"/>
    </xf>
    <xf numFmtId="165" fontId="3" fillId="0" borderId="2" xfId="1" applyNumberFormat="1" applyFont="1" applyBorder="1"/>
    <xf numFmtId="165" fontId="3" fillId="0" borderId="4" xfId="1" applyNumberFormat="1" applyFont="1" applyBorder="1"/>
    <xf numFmtId="0" fontId="3" fillId="2" borderId="0" xfId="0" applyFont="1" applyFill="1"/>
    <xf numFmtId="0" fontId="3" fillId="0" borderId="4" xfId="0" applyFont="1" applyBorder="1" applyAlignment="1">
      <alignment horizontal="center"/>
    </xf>
    <xf numFmtId="3" fontId="3" fillId="0" borderId="4" xfId="2" applyNumberFormat="1" applyFont="1" applyBorder="1"/>
    <xf numFmtId="3" fontId="3" fillId="0" borderId="1" xfId="2" applyNumberFormat="1" applyFont="1" applyBorder="1"/>
    <xf numFmtId="0" fontId="3" fillId="0" borderId="0" xfId="2" applyFont="1" applyAlignment="1">
      <alignment horizontal="left"/>
    </xf>
    <xf numFmtId="0" fontId="11" fillId="0" borderId="0" xfId="2" applyFont="1"/>
    <xf numFmtId="3" fontId="3" fillId="0" borderId="0" xfId="0" applyNumberFormat="1" applyFont="1" applyAlignment="1">
      <alignment horizontal="left" indent="1"/>
    </xf>
    <xf numFmtId="3" fontId="3" fillId="0" borderId="11" xfId="0" applyNumberFormat="1" applyFont="1" applyBorder="1"/>
    <xf numFmtId="3" fontId="3" fillId="0" borderId="6" xfId="0" applyNumberFormat="1" applyFont="1" applyBorder="1"/>
    <xf numFmtId="9" fontId="3" fillId="0" borderId="0" xfId="1" applyFont="1" applyAlignment="1">
      <alignment horizontal="center"/>
    </xf>
    <xf numFmtId="0" fontId="3" fillId="0" borderId="3" xfId="0" applyFont="1" applyBorder="1"/>
    <xf numFmtId="0" fontId="3" fillId="0" borderId="9" xfId="0" applyFont="1" applyBorder="1"/>
    <xf numFmtId="0" fontId="16" fillId="0" borderId="0" xfId="0" applyFont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Alignment="1">
      <alignment horizontal="left" indent="2"/>
    </xf>
    <xf numFmtId="165" fontId="3" fillId="0" borderId="0" xfId="1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quotePrefix="1" applyFont="1"/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65" fontId="3" fillId="0" borderId="13" xfId="1" applyNumberFormat="1" applyFont="1" applyBorder="1"/>
    <xf numFmtId="0" fontId="3" fillId="0" borderId="11" xfId="0" quotePrefix="1" applyFont="1" applyBorder="1" applyAlignment="1">
      <alignment horizontal="right"/>
    </xf>
    <xf numFmtId="165" fontId="3" fillId="0" borderId="6" xfId="1" applyNumberFormat="1" applyFont="1" applyBorder="1"/>
    <xf numFmtId="0" fontId="3" fillId="0" borderId="13" xfId="0" applyFont="1" applyBorder="1"/>
    <xf numFmtId="0" fontId="9" fillId="0" borderId="0" xfId="0" applyFont="1" applyBorder="1"/>
    <xf numFmtId="0" fontId="3" fillId="0" borderId="11" xfId="0" applyFont="1" applyBorder="1"/>
    <xf numFmtId="3" fontId="3" fillId="0" borderId="13" xfId="0" applyNumberFormat="1" applyFont="1" applyBorder="1"/>
    <xf numFmtId="0" fontId="3" fillId="0" borderId="12" xfId="0" applyFont="1" applyBorder="1"/>
    <xf numFmtId="9" fontId="3" fillId="0" borderId="14" xfId="1" applyFont="1" applyBorder="1"/>
    <xf numFmtId="3" fontId="3" fillId="0" borderId="16" xfId="0" applyNumberFormat="1" applyFont="1" applyBorder="1"/>
    <xf numFmtId="3" fontId="3" fillId="0" borderId="12" xfId="0" applyNumberFormat="1" applyFont="1" applyBorder="1"/>
    <xf numFmtId="3" fontId="3" fillId="0" borderId="1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9" xfId="0" applyNumberFormat="1" applyFont="1" applyBorder="1"/>
    <xf numFmtId="3" fontId="3" fillId="0" borderId="14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3" fontId="3" fillId="0" borderId="5" xfId="2" applyNumberFormat="1" applyFont="1" applyBorder="1"/>
    <xf numFmtId="0" fontId="6" fillId="0" borderId="0" xfId="2" applyFont="1"/>
    <xf numFmtId="0" fontId="5" fillId="0" borderId="0" xfId="2" applyFont="1"/>
    <xf numFmtId="3" fontId="5" fillId="0" borderId="0" xfId="2" applyNumberFormat="1" applyFont="1"/>
    <xf numFmtId="0" fontId="12" fillId="0" borderId="0" xfId="2"/>
    <xf numFmtId="0" fontId="18" fillId="0" borderId="0" xfId="2" applyFont="1"/>
    <xf numFmtId="0" fontId="7" fillId="0" borderId="0" xfId="2" applyFont="1"/>
    <xf numFmtId="165" fontId="3" fillId="0" borderId="4" xfId="4" applyNumberFormat="1" applyFont="1" applyBorder="1"/>
    <xf numFmtId="165" fontId="3" fillId="0" borderId="4" xfId="4" applyNumberFormat="1" applyFont="1" applyFill="1" applyBorder="1"/>
    <xf numFmtId="165" fontId="3" fillId="0" borderId="0" xfId="4" applyNumberFormat="1" applyFont="1"/>
    <xf numFmtId="165" fontId="3" fillId="0" borderId="0" xfId="4" applyNumberFormat="1" applyFont="1" applyFill="1"/>
    <xf numFmtId="165" fontId="3" fillId="0" borderId="2" xfId="4" applyNumberFormat="1" applyFont="1" applyBorder="1"/>
    <xf numFmtId="6" fontId="3" fillId="0" borderId="0" xfId="2" applyNumberFormat="1" applyFont="1" applyAlignment="1">
      <alignment horizontal="left"/>
    </xf>
    <xf numFmtId="3" fontId="10" fillId="3" borderId="7" xfId="2" applyNumberFormat="1" applyFont="1" applyFill="1" applyBorder="1"/>
    <xf numFmtId="3" fontId="8" fillId="3" borderId="16" xfId="2" applyNumberFormat="1" applyFont="1" applyFill="1" applyBorder="1" applyAlignment="1">
      <alignment horizontal="center"/>
    </xf>
    <xf numFmtId="3" fontId="8" fillId="3" borderId="7" xfId="2" applyNumberFormat="1" applyFont="1" applyFill="1" applyBorder="1" applyAlignment="1">
      <alignment horizontal="center"/>
    </xf>
    <xf numFmtId="3" fontId="3" fillId="3" borderId="5" xfId="2" applyNumberFormat="1" applyFont="1" applyFill="1" applyBorder="1"/>
    <xf numFmtId="3" fontId="3" fillId="0" borderId="20" xfId="2" applyNumberFormat="1" applyFont="1" applyBorder="1"/>
    <xf numFmtId="3" fontId="3" fillId="3" borderId="9" xfId="2" applyNumberFormat="1" applyFont="1" applyFill="1" applyBorder="1"/>
    <xf numFmtId="3" fontId="3" fillId="0" borderId="18" xfId="2" applyNumberFormat="1" applyFont="1" applyBorder="1"/>
    <xf numFmtId="3" fontId="3" fillId="3" borderId="8" xfId="2" applyNumberFormat="1" applyFont="1" applyFill="1" applyBorder="1"/>
    <xf numFmtId="3" fontId="3" fillId="0" borderId="19" xfId="2" applyNumberFormat="1" applyFont="1" applyBorder="1"/>
    <xf numFmtId="3" fontId="8" fillId="3" borderId="7" xfId="2" applyNumberFormat="1" applyFont="1" applyFill="1" applyBorder="1"/>
    <xf numFmtId="3" fontId="3" fillId="3" borderId="10" xfId="2" applyNumberFormat="1" applyFont="1" applyFill="1" applyBorder="1"/>
    <xf numFmtId="3" fontId="3" fillId="3" borderId="3" xfId="2" applyNumberFormat="1" applyFont="1" applyFill="1" applyBorder="1"/>
    <xf numFmtId="3" fontId="3" fillId="3" borderId="15" xfId="2" applyNumberFormat="1" applyFont="1" applyFill="1" applyBorder="1"/>
    <xf numFmtId="3" fontId="10" fillId="3" borderId="12" xfId="2" applyNumberFormat="1" applyFont="1" applyFill="1" applyBorder="1"/>
    <xf numFmtId="3" fontId="3" fillId="3" borderId="4" xfId="2" applyNumberFormat="1" applyFont="1" applyFill="1" applyBorder="1"/>
    <xf numFmtId="3" fontId="3" fillId="3" borderId="14" xfId="2" applyNumberFormat="1" applyFont="1" applyFill="1" applyBorder="1"/>
    <xf numFmtId="3" fontId="3" fillId="3" borderId="7" xfId="2" applyNumberFormat="1" applyFont="1" applyFill="1" applyBorder="1"/>
    <xf numFmtId="3" fontId="3" fillId="0" borderId="17" xfId="2" applyNumberFormat="1" applyFont="1" applyBorder="1"/>
    <xf numFmtId="3" fontId="3" fillId="3" borderId="2" xfId="2" applyNumberFormat="1" applyFont="1" applyFill="1" applyBorder="1"/>
    <xf numFmtId="3" fontId="3" fillId="3" borderId="6" xfId="2" applyNumberFormat="1" applyFont="1" applyFill="1" applyBorder="1"/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Prosent" xfId="1" builtinId="5"/>
    <cellStyle name="Prosent 2" xfId="3" xr:uid="{36CC034C-FA8E-46E5-A6F6-42907C73F635}"/>
    <cellStyle name="Prosent 2 2" xfId="4" xr:uid="{0B1ED1A4-913C-4B8C-AABA-5037959570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42</xdr:row>
      <xdr:rowOff>19050</xdr:rowOff>
    </xdr:from>
    <xdr:to>
      <xdr:col>5</xdr:col>
      <xdr:colOff>28575</xdr:colOff>
      <xdr:row>44</xdr:row>
      <xdr:rowOff>180975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28600" y="8591550"/>
          <a:ext cx="3409950" cy="561975"/>
        </a:xfrm>
        <a:prstGeom prst="rect">
          <a:avLst/>
        </a:prstGeom>
        <a:gradFill flip="none"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path path="circle">
            <a:fillToRect r="100000" b="100000"/>
          </a:path>
          <a:tileRect l="-100000" t="-100000"/>
        </a:gradFill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>
              <a:latin typeface="Times New Roman" panose="02020603050405020304" pitchFamily="18" charset="0"/>
              <a:cs typeface="Times New Roman" panose="02020603050405020304" pitchFamily="18" charset="0"/>
            </a:rPr>
            <a:t>Du</a:t>
          </a:r>
          <a:r>
            <a:rPr lang="nb-NO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finner formlene som er brukt ved beregning av nøkkeltallene ved å klikke på aktuell celle.</a:t>
          </a:r>
          <a:endParaRPr lang="nb-NO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3</xdr:col>
      <xdr:colOff>361950</xdr:colOff>
      <xdr:row>51</xdr:row>
      <xdr:rowOff>161925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66700" y="7591425"/>
          <a:ext cx="3409950" cy="561975"/>
        </a:xfrm>
        <a:prstGeom prst="rect">
          <a:avLst/>
        </a:prstGeom>
        <a:gradFill flip="none"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path path="circle">
            <a:fillToRect r="100000" b="100000"/>
          </a:path>
          <a:tileRect l="-100000" t="-100000"/>
        </a:gradFill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>
              <a:latin typeface="Times New Roman" panose="02020603050405020304" pitchFamily="18" charset="0"/>
              <a:cs typeface="Times New Roman" panose="02020603050405020304" pitchFamily="18" charset="0"/>
            </a:rPr>
            <a:t>Du</a:t>
          </a:r>
          <a:r>
            <a:rPr lang="nb-NO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finner formlene som er brukt ved beregning av nøkkeltallene ved å klikke på aktuell celle.</a:t>
          </a:r>
          <a:endParaRPr lang="nb-NO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346043</xdr:colOff>
      <xdr:row>26</xdr:row>
      <xdr:rowOff>194150</xdr:rowOff>
    </xdr:from>
    <xdr:ext cx="1663732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kstSylinder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3251168" y="5528150"/>
              <a:ext cx="1663732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𝐸𝐾</m:t>
                        </m:r>
                      </m:sub>
                    </m:sSub>
                    <m:r>
                      <a:rPr lang="nb-NO" sz="110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nb-N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𝑇𝐾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+ 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𝐺</m:t>
                        </m:r>
                      </m:num>
                      <m:den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𝐸𝐾</m:t>
                        </m:r>
                      </m:den>
                    </m:f>
                    <m:r>
                      <a:rPr lang="nb-N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𝑇𝐾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–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nb-NO" sz="1100"/>
            </a:p>
          </xdr:txBody>
        </xdr:sp>
      </mc:Choice>
      <mc:Fallback xmlns="">
        <xdr:sp macro="" textlink="">
          <xdr:nvSpPr>
            <xdr:cNvPr id="4" name="TekstSylinder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3251168" y="5528150"/>
              <a:ext cx="1663732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𝑅_𝐸𝐾</a:t>
              </a:r>
              <a:r>
                <a:rPr lang="nb-NO" sz="1100" i="0">
                  <a:latin typeface="Cambria Math" panose="02040503050406030204" pitchFamily="18" charset="0"/>
                </a:rPr>
                <a:t>=</a:t>
              </a:r>
              <a:r>
                <a:rPr lang="nb-NO" sz="1100" b="0" i="0">
                  <a:latin typeface="Cambria Math" panose="02040503050406030204" pitchFamily="18" charset="0"/>
                </a:rPr>
                <a:t>𝑅_𝑇𝐾+  𝐺/𝐸𝐾(𝑅_𝑇𝐾–𝑟)</a:t>
              </a:r>
              <a:endParaRPr lang="nb-NO" sz="1100"/>
            </a:p>
          </xdr:txBody>
        </xdr:sp>
      </mc:Fallback>
    </mc:AlternateContent>
    <xdr:clientData/>
  </xdr:oneCellAnchor>
  <xdr:twoCellAnchor editAs="oneCell">
    <xdr:from>
      <xdr:col>1</xdr:col>
      <xdr:colOff>1038225</xdr:colOff>
      <xdr:row>28</xdr:row>
      <xdr:rowOff>161925</xdr:rowOff>
    </xdr:from>
    <xdr:to>
      <xdr:col>1</xdr:col>
      <xdr:colOff>1318665</xdr:colOff>
      <xdr:row>30</xdr:row>
      <xdr:rowOff>83470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0" y="5934075"/>
          <a:ext cx="280440" cy="359695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7</xdr:row>
      <xdr:rowOff>104775</xdr:rowOff>
    </xdr:from>
    <xdr:to>
      <xdr:col>6</xdr:col>
      <xdr:colOff>552450</xdr:colOff>
      <xdr:row>11</xdr:row>
      <xdr:rowOff>76201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3333750" y="1562100"/>
          <a:ext cx="2409825" cy="771526"/>
        </a:xfrm>
        <a:prstGeom prst="rect">
          <a:avLst/>
        </a:prstGeom>
        <a:gradFill flip="none"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path path="circle">
            <a:fillToRect r="100000" b="100000"/>
          </a:path>
          <a:tileRect l="-100000" t="-100000"/>
        </a:gradFill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>
              <a:latin typeface="Times New Roman" panose="02020603050405020304" pitchFamily="18" charset="0"/>
              <a:cs typeface="Times New Roman" panose="02020603050405020304" pitchFamily="18" charset="0"/>
            </a:rPr>
            <a:t>Du</a:t>
          </a:r>
          <a:r>
            <a:rPr lang="nb-NO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finner formlene som er brukt ved beregning av nøkkeltallene ved å klikke på aktuell celle.</a:t>
          </a:r>
          <a:endParaRPr lang="nb-NO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142875</xdr:rowOff>
    </xdr:from>
    <xdr:to>
      <xdr:col>6</xdr:col>
      <xdr:colOff>47625</xdr:colOff>
      <xdr:row>30</xdr:row>
      <xdr:rowOff>9525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57175" y="4914900"/>
          <a:ext cx="4181475" cy="466725"/>
        </a:xfrm>
        <a:prstGeom prst="rect">
          <a:avLst/>
        </a:prstGeom>
        <a:gradFill flip="none"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path path="circle">
            <a:fillToRect r="100000" b="100000"/>
          </a:path>
          <a:tileRect l="-100000" t="-100000"/>
        </a:gradFill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>
              <a:latin typeface="Times New Roman" panose="02020603050405020304" pitchFamily="18" charset="0"/>
              <a:cs typeface="Times New Roman" panose="02020603050405020304" pitchFamily="18" charset="0"/>
            </a:rPr>
            <a:t>Du</a:t>
          </a:r>
          <a:r>
            <a:rPr lang="nb-NO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finner formlene som er brukt ved beregning av nøkkeltallene ved å klikke på aktuell celle.</a:t>
          </a:r>
          <a:endParaRPr lang="nb-NO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3</xdr:row>
          <xdr:rowOff>66675</xdr:rowOff>
        </xdr:from>
        <xdr:to>
          <xdr:col>3</xdr:col>
          <xdr:colOff>247650</xdr:colOff>
          <xdr:row>5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1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</xdr:col>
      <xdr:colOff>38100</xdr:colOff>
      <xdr:row>3</xdr:row>
      <xdr:rowOff>95250</xdr:rowOff>
    </xdr:from>
    <xdr:ext cx="1663732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Sylinder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285750" y="695325"/>
              <a:ext cx="1663732" cy="316882"/>
            </a:xfrm>
            <a:prstGeom prst="rect">
              <a:avLst/>
            </a:prstGeom>
            <a:solidFill>
              <a:srgbClr val="92D05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𝐸𝐾</m:t>
                        </m:r>
                      </m:sub>
                    </m:sSub>
                    <m:r>
                      <a:rPr lang="nb-NO" sz="110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nb-N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𝑇𝐾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+ 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𝐺</m:t>
                        </m:r>
                      </m:num>
                      <m:den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𝐸𝐾</m:t>
                        </m:r>
                      </m:den>
                    </m:f>
                    <m:r>
                      <a:rPr lang="nb-N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𝑇𝐾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</a:rPr>
                      <m:t>–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nb-NO" sz="1100"/>
            </a:p>
          </xdr:txBody>
        </xdr:sp>
      </mc:Choice>
      <mc:Fallback xmlns="">
        <xdr:sp macro="" textlink="">
          <xdr:nvSpPr>
            <xdr:cNvPr id="3" name="TekstSylinder 2">
              <a:extLst>
                <a:ext uri="{FF2B5EF4-FFF2-40B4-BE49-F238E27FC236}">
                  <a16:creationId xmlns:a16="http://schemas.microsoft.com/office/drawing/2014/main" id="{D27963A0-4F91-4C9D-8A3A-83C38E1EDFE9}"/>
                </a:ext>
              </a:extLst>
            </xdr:cNvPr>
            <xdr:cNvSpPr txBox="1"/>
          </xdr:nvSpPr>
          <xdr:spPr>
            <a:xfrm>
              <a:off x="285750" y="695325"/>
              <a:ext cx="1663732" cy="316882"/>
            </a:xfrm>
            <a:prstGeom prst="rect">
              <a:avLst/>
            </a:prstGeom>
            <a:solidFill>
              <a:srgbClr val="92D05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nb-NO" sz="1100" b="0" i="0">
                  <a:latin typeface="Cambria Math" panose="02040503050406030204" pitchFamily="18" charset="0"/>
                </a:rPr>
                <a:t>𝑅_𝐸𝐾</a:t>
              </a:r>
              <a:r>
                <a:rPr lang="nb-NO" sz="1100" i="0">
                  <a:latin typeface="Cambria Math" panose="02040503050406030204" pitchFamily="18" charset="0"/>
                </a:rPr>
                <a:t>=</a:t>
              </a:r>
              <a:r>
                <a:rPr lang="nb-NO" sz="1100" b="0" i="0">
                  <a:latin typeface="Cambria Math" panose="02040503050406030204" pitchFamily="18" charset="0"/>
                </a:rPr>
                <a:t>𝑅_𝑇𝐾+  𝐺/𝐸𝐾(𝑅_𝑇𝐾–𝑟)</a:t>
              </a:r>
              <a:endParaRPr lang="nb-NO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42</xdr:row>
          <xdr:rowOff>19050</xdr:rowOff>
        </xdr:from>
        <xdr:to>
          <xdr:col>5</xdr:col>
          <xdr:colOff>276225</xdr:colOff>
          <xdr:row>44</xdr:row>
          <xdr:rowOff>28575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12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0</xdr:colOff>
      <xdr:row>71</xdr:row>
      <xdr:rowOff>0</xdr:rowOff>
    </xdr:from>
    <xdr:to>
      <xdr:col>6</xdr:col>
      <xdr:colOff>219075</xdr:colOff>
      <xdr:row>73</xdr:row>
      <xdr:rowOff>161925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533400" y="14601825"/>
          <a:ext cx="3267075" cy="561975"/>
        </a:xfrm>
        <a:prstGeom prst="rect">
          <a:avLst/>
        </a:prstGeom>
        <a:gradFill flip="none"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path path="circle">
            <a:fillToRect r="100000" b="100000"/>
          </a:path>
          <a:tileRect l="-100000" t="-100000"/>
        </a:gradFill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>
              <a:latin typeface="Times New Roman" panose="02020603050405020304" pitchFamily="18" charset="0"/>
              <a:cs typeface="Times New Roman" panose="02020603050405020304" pitchFamily="18" charset="0"/>
            </a:rPr>
            <a:t>Du</a:t>
          </a:r>
          <a:r>
            <a:rPr lang="nb-NO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finner formlene som er brukt ved beregning av nøkkeltallene ved å klikke på aktuell celle.</a:t>
          </a:r>
          <a:endParaRPr lang="nb-NO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95250</xdr:rowOff>
        </xdr:from>
        <xdr:to>
          <xdr:col>4</xdr:col>
          <xdr:colOff>19050</xdr:colOff>
          <xdr:row>29</xdr:row>
          <xdr:rowOff>104775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14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66675</xdr:rowOff>
        </xdr:from>
        <xdr:to>
          <xdr:col>4</xdr:col>
          <xdr:colOff>209550</xdr:colOff>
          <xdr:row>29</xdr:row>
          <xdr:rowOff>76200</xdr:rowOff>
        </xdr:to>
        <xdr:sp macro="" textlink="">
          <xdr:nvSpPr>
            <xdr:cNvPr id="36866" name="Object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14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76200</xdr:rowOff>
        </xdr:from>
        <xdr:to>
          <xdr:col>3</xdr:col>
          <xdr:colOff>447675</xdr:colOff>
          <xdr:row>29</xdr:row>
          <xdr:rowOff>85725</xdr:rowOff>
        </xdr:to>
        <xdr:sp macro="" textlink="">
          <xdr:nvSpPr>
            <xdr:cNvPr id="36867" name="Object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14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5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7"/>
  <sheetViews>
    <sheetView showGridLines="0" tabSelected="1" topLeftCell="A76" workbookViewId="0">
      <selection activeCell="K87" sqref="K87"/>
    </sheetView>
  </sheetViews>
  <sheetFormatPr baseColWidth="10" defaultRowHeight="15.75" x14ac:dyDescent="0.25"/>
  <cols>
    <col min="1" max="1" width="4" style="1" customWidth="1"/>
    <col min="2" max="2" width="3.140625" style="1" customWidth="1"/>
    <col min="3" max="3" width="23.85546875" style="1" bestFit="1" customWidth="1"/>
    <col min="4" max="6" width="11.5703125" style="3" bestFit="1" customWidth="1"/>
    <col min="7" max="16384" width="11.42578125" style="1"/>
  </cols>
  <sheetData>
    <row r="1" spans="2:7" x14ac:dyDescent="0.25">
      <c r="B1" s="6" t="s">
        <v>385</v>
      </c>
    </row>
    <row r="3" spans="2:7" x14ac:dyDescent="0.25">
      <c r="B3" s="6" t="s">
        <v>102</v>
      </c>
      <c r="D3" s="38" t="s">
        <v>40</v>
      </c>
      <c r="E3" s="38" t="s">
        <v>39</v>
      </c>
      <c r="F3" s="38" t="s">
        <v>99</v>
      </c>
    </row>
    <row r="4" spans="2:7" x14ac:dyDescent="0.25">
      <c r="B4" s="1" t="s">
        <v>34</v>
      </c>
      <c r="D4" s="12">
        <v>20000</v>
      </c>
      <c r="E4" s="12">
        <v>24000</v>
      </c>
      <c r="F4" s="12">
        <v>25500</v>
      </c>
    </row>
    <row r="5" spans="2:7" x14ac:dyDescent="0.25">
      <c r="D5" s="5"/>
      <c r="E5" s="5"/>
      <c r="F5" s="5"/>
    </row>
    <row r="6" spans="2:7" x14ac:dyDescent="0.25">
      <c r="B6" s="1" t="s">
        <v>100</v>
      </c>
      <c r="D6" s="3">
        <v>9600</v>
      </c>
      <c r="E6" s="3">
        <v>11750</v>
      </c>
      <c r="F6" s="3">
        <v>12750</v>
      </c>
    </row>
    <row r="7" spans="2:7" x14ac:dyDescent="0.25">
      <c r="B7" s="1" t="s">
        <v>27</v>
      </c>
      <c r="D7" s="3">
        <v>4250</v>
      </c>
      <c r="E7" s="3">
        <v>5200</v>
      </c>
      <c r="F7" s="3">
        <v>5800</v>
      </c>
    </row>
    <row r="8" spans="2:7" x14ac:dyDescent="0.25">
      <c r="B8" s="1" t="s">
        <v>55</v>
      </c>
      <c r="D8" s="3">
        <v>150</v>
      </c>
      <c r="E8" s="3">
        <v>175</v>
      </c>
      <c r="F8" s="3">
        <v>180</v>
      </c>
    </row>
    <row r="9" spans="2:7" x14ac:dyDescent="0.25">
      <c r="B9" s="1" t="s">
        <v>35</v>
      </c>
      <c r="D9" s="3">
        <v>4800</v>
      </c>
      <c r="E9" s="3">
        <v>5650</v>
      </c>
      <c r="F9" s="3">
        <v>6000</v>
      </c>
    </row>
    <row r="10" spans="2:7" x14ac:dyDescent="0.25">
      <c r="B10" s="1" t="s">
        <v>36</v>
      </c>
      <c r="D10" s="3">
        <v>30</v>
      </c>
      <c r="E10" s="3">
        <v>15</v>
      </c>
      <c r="F10" s="3">
        <v>150</v>
      </c>
    </row>
    <row r="11" spans="2:7" s="2" customFormat="1" ht="20.25" x14ac:dyDescent="0.3">
      <c r="B11" s="1" t="s">
        <v>21</v>
      </c>
      <c r="D11" s="10">
        <f>SUM(D6:D10)</f>
        <v>18830</v>
      </c>
      <c r="E11" s="10">
        <f t="shared" ref="E11:F11" si="0">SUM(E6:E10)</f>
        <v>22790</v>
      </c>
      <c r="F11" s="10">
        <f t="shared" si="0"/>
        <v>24880</v>
      </c>
      <c r="G11" s="1"/>
    </row>
    <row r="13" spans="2:7" x14ac:dyDescent="0.25">
      <c r="B13" s="1" t="s">
        <v>5</v>
      </c>
      <c r="D13" s="3">
        <f>D4-D11</f>
        <v>1170</v>
      </c>
      <c r="E13" s="3">
        <f>E4-E11</f>
        <v>1210</v>
      </c>
      <c r="F13" s="3">
        <f>F4-F11</f>
        <v>620</v>
      </c>
    </row>
    <row r="15" spans="2:7" x14ac:dyDescent="0.25">
      <c r="B15" s="1" t="s">
        <v>26</v>
      </c>
      <c r="D15" s="3">
        <v>50</v>
      </c>
      <c r="E15" s="3">
        <v>40</v>
      </c>
      <c r="F15" s="3">
        <v>35</v>
      </c>
    </row>
    <row r="16" spans="2:7" x14ac:dyDescent="0.25">
      <c r="B16" s="1" t="s">
        <v>101</v>
      </c>
      <c r="F16" s="3">
        <v>150</v>
      </c>
    </row>
    <row r="17" spans="2:7" x14ac:dyDescent="0.25">
      <c r="B17" s="1" t="s">
        <v>25</v>
      </c>
      <c r="D17" s="3">
        <v>180</v>
      </c>
      <c r="E17" s="3">
        <v>160</v>
      </c>
      <c r="F17" s="3">
        <v>155</v>
      </c>
    </row>
    <row r="18" spans="2:7" s="2" customFormat="1" ht="20.25" x14ac:dyDescent="0.3">
      <c r="B18" s="1" t="s">
        <v>19</v>
      </c>
      <c r="D18" s="10">
        <f>D15+D16-D17</f>
        <v>-130</v>
      </c>
      <c r="E18" s="10">
        <f t="shared" ref="E18:F18" si="1">E15+E16-E17</f>
        <v>-120</v>
      </c>
      <c r="F18" s="10">
        <f t="shared" si="1"/>
        <v>30</v>
      </c>
      <c r="G18" s="1"/>
    </row>
    <row r="20" spans="2:7" x14ac:dyDescent="0.25">
      <c r="B20" s="1" t="s">
        <v>58</v>
      </c>
      <c r="D20" s="3">
        <f>D13+D18</f>
        <v>1040</v>
      </c>
      <c r="E20" s="3">
        <f t="shared" ref="E20:F20" si="2">E13+E18</f>
        <v>1090</v>
      </c>
      <c r="F20" s="3">
        <f t="shared" si="2"/>
        <v>650</v>
      </c>
    </row>
    <row r="22" spans="2:7" x14ac:dyDescent="0.25">
      <c r="B22" s="41" t="s">
        <v>386</v>
      </c>
      <c r="C22" s="41"/>
    </row>
    <row r="24" spans="2:7" x14ac:dyDescent="0.25">
      <c r="B24" s="6" t="s">
        <v>103</v>
      </c>
    </row>
    <row r="25" spans="2:7" x14ac:dyDescent="0.25">
      <c r="B25" s="6"/>
      <c r="D25" s="38" t="s">
        <v>40</v>
      </c>
      <c r="E25" s="38" t="s">
        <v>39</v>
      </c>
      <c r="F25" s="38" t="s">
        <v>99</v>
      </c>
    </row>
    <row r="26" spans="2:7" x14ac:dyDescent="0.25">
      <c r="B26" s="1" t="s">
        <v>34</v>
      </c>
      <c r="D26" s="40">
        <f>D4/$D$4</f>
        <v>1</v>
      </c>
      <c r="E26" s="40">
        <f>E4/$E$4</f>
        <v>1</v>
      </c>
      <c r="F26" s="40">
        <f>F4/$F$4</f>
        <v>1</v>
      </c>
    </row>
    <row r="27" spans="2:7" x14ac:dyDescent="0.25">
      <c r="D27" s="26"/>
      <c r="E27" s="26"/>
      <c r="F27" s="26"/>
    </row>
    <row r="28" spans="2:7" x14ac:dyDescent="0.25">
      <c r="B28" s="1" t="s">
        <v>100</v>
      </c>
      <c r="D28" s="26">
        <f t="shared" ref="D28:D33" si="3">D6/$D$4</f>
        <v>0.48</v>
      </c>
      <c r="E28" s="26">
        <f t="shared" ref="E28:E33" si="4">E6/$E$4</f>
        <v>0.48958333333333331</v>
      </c>
      <c r="F28" s="26">
        <f t="shared" ref="F28:F33" si="5">F6/$F$4</f>
        <v>0.5</v>
      </c>
    </row>
    <row r="29" spans="2:7" x14ac:dyDescent="0.25">
      <c r="B29" s="1" t="s">
        <v>27</v>
      </c>
      <c r="D29" s="26">
        <f t="shared" si="3"/>
        <v>0.21249999999999999</v>
      </c>
      <c r="E29" s="26">
        <f t="shared" si="4"/>
        <v>0.21666666666666667</v>
      </c>
      <c r="F29" s="26">
        <f t="shared" si="5"/>
        <v>0.22745098039215686</v>
      </c>
    </row>
    <row r="30" spans="2:7" x14ac:dyDescent="0.25">
      <c r="B30" s="1" t="s">
        <v>55</v>
      </c>
      <c r="D30" s="26">
        <f t="shared" si="3"/>
        <v>7.4999999999999997E-3</v>
      </c>
      <c r="E30" s="26">
        <f t="shared" si="4"/>
        <v>7.2916666666666668E-3</v>
      </c>
      <c r="F30" s="26">
        <f t="shared" si="5"/>
        <v>7.058823529411765E-3</v>
      </c>
    </row>
    <row r="31" spans="2:7" x14ac:dyDescent="0.25">
      <c r="B31" s="1" t="s">
        <v>35</v>
      </c>
      <c r="D31" s="26">
        <f t="shared" si="3"/>
        <v>0.24</v>
      </c>
      <c r="E31" s="26">
        <f t="shared" si="4"/>
        <v>0.23541666666666666</v>
      </c>
      <c r="F31" s="26">
        <f t="shared" si="5"/>
        <v>0.23529411764705882</v>
      </c>
    </row>
    <row r="32" spans="2:7" x14ac:dyDescent="0.25">
      <c r="B32" s="1" t="s">
        <v>36</v>
      </c>
      <c r="D32" s="26">
        <f t="shared" si="3"/>
        <v>1.5E-3</v>
      </c>
      <c r="E32" s="26">
        <f t="shared" si="4"/>
        <v>6.2500000000000001E-4</v>
      </c>
      <c r="F32" s="26">
        <f t="shared" si="5"/>
        <v>5.8823529411764705E-3</v>
      </c>
    </row>
    <row r="33" spans="2:8" s="2" customFormat="1" ht="20.25" x14ac:dyDescent="0.3">
      <c r="B33" s="1" t="s">
        <v>21</v>
      </c>
      <c r="D33" s="39">
        <f t="shared" si="3"/>
        <v>0.9415</v>
      </c>
      <c r="E33" s="39">
        <f t="shared" si="4"/>
        <v>0.94958333333333333</v>
      </c>
      <c r="F33" s="39">
        <f t="shared" si="5"/>
        <v>0.97568627450980394</v>
      </c>
      <c r="G33" s="1"/>
      <c r="H33" s="1"/>
    </row>
    <row r="34" spans="2:8" x14ac:dyDescent="0.25">
      <c r="D34" s="26"/>
      <c r="E34" s="26"/>
      <c r="F34" s="26"/>
    </row>
    <row r="35" spans="2:8" x14ac:dyDescent="0.25">
      <c r="B35" s="1" t="s">
        <v>5</v>
      </c>
      <c r="D35" s="26">
        <f>D13/$D$4</f>
        <v>5.8500000000000003E-2</v>
      </c>
      <c r="E35" s="26">
        <f>E13/$E$4</f>
        <v>5.0416666666666665E-2</v>
      </c>
      <c r="F35" s="26">
        <f>F13/$F$4</f>
        <v>2.4313725490196079E-2</v>
      </c>
    </row>
    <row r="36" spans="2:8" x14ac:dyDescent="0.25">
      <c r="D36" s="26"/>
      <c r="E36" s="26"/>
      <c r="F36" s="26"/>
    </row>
    <row r="37" spans="2:8" x14ac:dyDescent="0.25">
      <c r="B37" s="1" t="s">
        <v>26</v>
      </c>
      <c r="D37" s="26">
        <f>D15/$D$4</f>
        <v>2.5000000000000001E-3</v>
      </c>
      <c r="E37" s="26">
        <f>E15/$E$4</f>
        <v>1.6666666666666668E-3</v>
      </c>
      <c r="F37" s="26">
        <f>F15/$F$4</f>
        <v>1.3725490196078432E-3</v>
      </c>
    </row>
    <row r="38" spans="2:8" x14ac:dyDescent="0.25">
      <c r="B38" s="1" t="s">
        <v>101</v>
      </c>
      <c r="D38" s="26">
        <f>D16/$D$4</f>
        <v>0</v>
      </c>
      <c r="E38" s="26">
        <f>E16/$E$4</f>
        <v>0</v>
      </c>
      <c r="F38" s="26">
        <f>F16/$F$4</f>
        <v>5.8823529411764705E-3</v>
      </c>
    </row>
    <row r="39" spans="2:8" x14ac:dyDescent="0.25">
      <c r="B39" s="1" t="s">
        <v>25</v>
      </c>
      <c r="D39" s="26">
        <f>D17/$D$4</f>
        <v>8.9999999999999993E-3</v>
      </c>
      <c r="E39" s="26">
        <f>E17/$E$4</f>
        <v>6.6666666666666671E-3</v>
      </c>
      <c r="F39" s="26">
        <f>F17/$F$4</f>
        <v>6.0784313725490199E-3</v>
      </c>
    </row>
    <row r="40" spans="2:8" x14ac:dyDescent="0.25">
      <c r="D40" s="26"/>
      <c r="E40" s="26"/>
      <c r="F40" s="26"/>
    </row>
    <row r="41" spans="2:8" x14ac:dyDescent="0.25">
      <c r="B41" s="1" t="s">
        <v>58</v>
      </c>
      <c r="D41" s="26">
        <f>D20/$D$4</f>
        <v>5.1999999999999998E-2</v>
      </c>
      <c r="E41" s="26">
        <f>E20/$E$4</f>
        <v>4.5416666666666668E-2</v>
      </c>
      <c r="F41" s="26">
        <f>F20/$F$4</f>
        <v>2.5490196078431372E-2</v>
      </c>
    </row>
    <row r="47" spans="2:8" x14ac:dyDescent="0.25">
      <c r="B47" s="1" t="s">
        <v>114</v>
      </c>
    </row>
    <row r="48" spans="2:8" x14ac:dyDescent="0.25">
      <c r="B48" s="1" t="s">
        <v>139</v>
      </c>
    </row>
    <row r="49" spans="2:3" x14ac:dyDescent="0.25">
      <c r="B49" s="1" t="s">
        <v>141</v>
      </c>
    </row>
    <row r="50" spans="2:3" x14ac:dyDescent="0.25">
      <c r="B50" s="1" t="s">
        <v>140</v>
      </c>
    </row>
    <row r="52" spans="2:3" x14ac:dyDescent="0.25">
      <c r="B52" s="1" t="s">
        <v>105</v>
      </c>
    </row>
    <row r="53" spans="2:3" x14ac:dyDescent="0.25">
      <c r="B53" s="1" t="s">
        <v>106</v>
      </c>
    </row>
    <row r="55" spans="2:3" x14ac:dyDescent="0.25">
      <c r="B55" s="1" t="s">
        <v>107</v>
      </c>
    </row>
    <row r="56" spans="2:3" x14ac:dyDescent="0.25">
      <c r="B56" s="1">
        <v>1</v>
      </c>
      <c r="C56" s="1" t="s">
        <v>109</v>
      </c>
    </row>
    <row r="57" spans="2:3" x14ac:dyDescent="0.25">
      <c r="B57" s="1">
        <v>2</v>
      </c>
      <c r="C57" s="1" t="s">
        <v>110</v>
      </c>
    </row>
    <row r="58" spans="2:3" x14ac:dyDescent="0.25">
      <c r="B58" s="1">
        <v>3</v>
      </c>
      <c r="C58" s="1" t="s">
        <v>111</v>
      </c>
    </row>
    <row r="59" spans="2:3" x14ac:dyDescent="0.25">
      <c r="C59" s="1" t="s">
        <v>108</v>
      </c>
    </row>
    <row r="60" spans="2:3" x14ac:dyDescent="0.25">
      <c r="B60" s="1">
        <v>4</v>
      </c>
      <c r="C60" s="1" t="s">
        <v>112</v>
      </c>
    </row>
    <row r="61" spans="2:3" x14ac:dyDescent="0.25">
      <c r="C61" s="1" t="s">
        <v>113</v>
      </c>
    </row>
    <row r="63" spans="2:3" x14ac:dyDescent="0.25">
      <c r="B63" s="1" t="s">
        <v>115</v>
      </c>
    </row>
    <row r="64" spans="2:3" x14ac:dyDescent="0.25">
      <c r="B64" s="1" t="s">
        <v>116</v>
      </c>
    </row>
    <row r="66" spans="2:8" x14ac:dyDescent="0.25">
      <c r="B66" s="1" t="s">
        <v>117</v>
      </c>
    </row>
    <row r="67" spans="2:8" x14ac:dyDescent="0.25">
      <c r="B67" s="1" t="s">
        <v>118</v>
      </c>
    </row>
    <row r="69" spans="2:8" x14ac:dyDescent="0.25">
      <c r="B69" s="6" t="s">
        <v>104</v>
      </c>
    </row>
    <row r="70" spans="2:8" x14ac:dyDescent="0.25">
      <c r="D70" s="38" t="s">
        <v>40</v>
      </c>
      <c r="E70" s="38" t="s">
        <v>39</v>
      </c>
      <c r="F70" s="38" t="s">
        <v>99</v>
      </c>
    </row>
    <row r="71" spans="2:8" x14ac:dyDescent="0.25">
      <c r="B71" s="1" t="s">
        <v>34</v>
      </c>
      <c r="D71" s="40">
        <f>D4/D4</f>
        <v>1</v>
      </c>
      <c r="E71" s="40">
        <f>E4/D4</f>
        <v>1.2</v>
      </c>
      <c r="F71" s="40">
        <f>F4/D4</f>
        <v>1.2749999999999999</v>
      </c>
    </row>
    <row r="72" spans="2:8" x14ac:dyDescent="0.25">
      <c r="D72" s="26"/>
      <c r="E72" s="26"/>
      <c r="F72" s="26"/>
    </row>
    <row r="73" spans="2:8" x14ac:dyDescent="0.25">
      <c r="B73" s="1" t="s">
        <v>100</v>
      </c>
      <c r="D73" s="26">
        <f t="shared" ref="D73:D78" si="6">D6/D6</f>
        <v>1</v>
      </c>
      <c r="E73" s="26">
        <f t="shared" ref="E73:E78" si="7">E6/D6</f>
        <v>1.2239583333333333</v>
      </c>
      <c r="F73" s="26">
        <f t="shared" ref="F73:F78" si="8">F6/D6</f>
        <v>1.328125</v>
      </c>
    </row>
    <row r="74" spans="2:8" x14ac:dyDescent="0.25">
      <c r="B74" s="1" t="s">
        <v>27</v>
      </c>
      <c r="D74" s="26">
        <f t="shared" si="6"/>
        <v>1</v>
      </c>
      <c r="E74" s="26">
        <f t="shared" si="7"/>
        <v>1.223529411764706</v>
      </c>
      <c r="F74" s="26">
        <f t="shared" si="8"/>
        <v>1.3647058823529412</v>
      </c>
    </row>
    <row r="75" spans="2:8" x14ac:dyDescent="0.25">
      <c r="B75" s="1" t="s">
        <v>55</v>
      </c>
      <c r="D75" s="26">
        <f t="shared" si="6"/>
        <v>1</v>
      </c>
      <c r="E75" s="26">
        <f t="shared" si="7"/>
        <v>1.1666666666666667</v>
      </c>
      <c r="F75" s="26">
        <f t="shared" si="8"/>
        <v>1.2</v>
      </c>
    </row>
    <row r="76" spans="2:8" x14ac:dyDescent="0.25">
      <c r="B76" s="1" t="s">
        <v>35</v>
      </c>
      <c r="D76" s="26">
        <f t="shared" si="6"/>
        <v>1</v>
      </c>
      <c r="E76" s="26">
        <f t="shared" si="7"/>
        <v>1.1770833333333333</v>
      </c>
      <c r="F76" s="26">
        <f t="shared" si="8"/>
        <v>1.25</v>
      </c>
    </row>
    <row r="77" spans="2:8" x14ac:dyDescent="0.25">
      <c r="B77" s="1" t="s">
        <v>36</v>
      </c>
      <c r="D77" s="26">
        <f t="shared" si="6"/>
        <v>1</v>
      </c>
      <c r="E77" s="26">
        <f t="shared" si="7"/>
        <v>0.5</v>
      </c>
      <c r="F77" s="26">
        <f t="shared" si="8"/>
        <v>5</v>
      </c>
    </row>
    <row r="78" spans="2:8" s="2" customFormat="1" ht="20.25" x14ac:dyDescent="0.3">
      <c r="B78" s="1" t="s">
        <v>21</v>
      </c>
      <c r="D78" s="39">
        <f t="shared" si="6"/>
        <v>1</v>
      </c>
      <c r="E78" s="39">
        <f t="shared" si="7"/>
        <v>1.2103027084439724</v>
      </c>
      <c r="F78" s="39">
        <f t="shared" si="8"/>
        <v>1.3212958045671801</v>
      </c>
      <c r="G78" s="1"/>
      <c r="H78" s="1"/>
    </row>
    <row r="79" spans="2:8" x14ac:dyDescent="0.25">
      <c r="D79" s="26"/>
      <c r="E79" s="26"/>
      <c r="F79" s="26"/>
    </row>
    <row r="80" spans="2:8" x14ac:dyDescent="0.25">
      <c r="B80" s="1" t="s">
        <v>5</v>
      </c>
      <c r="D80" s="26">
        <f>D13/D13</f>
        <v>1</v>
      </c>
      <c r="E80" s="26">
        <f>E13/D13</f>
        <v>1.0341880341880343</v>
      </c>
      <c r="F80" s="26">
        <f>F13/D13</f>
        <v>0.52991452991452992</v>
      </c>
    </row>
    <row r="81" spans="1:6" x14ac:dyDescent="0.25">
      <c r="D81" s="26"/>
      <c r="E81" s="26"/>
      <c r="F81" s="26"/>
    </row>
    <row r="82" spans="1:6" x14ac:dyDescent="0.25">
      <c r="B82" s="1" t="s">
        <v>26</v>
      </c>
      <c r="D82" s="26">
        <f>D15/D15</f>
        <v>1</v>
      </c>
      <c r="E82" s="26">
        <f>E15/D15</f>
        <v>0.8</v>
      </c>
      <c r="F82" s="26">
        <f>F15/D15</f>
        <v>0.7</v>
      </c>
    </row>
    <row r="83" spans="1:6" ht="18.75" x14ac:dyDescent="0.25">
      <c r="B83" s="1" t="s">
        <v>101</v>
      </c>
      <c r="D83" s="26"/>
      <c r="E83" s="26"/>
      <c r="F83" s="26" t="s">
        <v>142</v>
      </c>
    </row>
    <row r="84" spans="1:6" x14ac:dyDescent="0.25">
      <c r="B84" s="1" t="s">
        <v>25</v>
      </c>
      <c r="D84" s="26">
        <f>D17/D17</f>
        <v>1</v>
      </c>
      <c r="E84" s="26">
        <f>E17/D17</f>
        <v>0.88888888888888884</v>
      </c>
      <c r="F84" s="26">
        <f>F17/D17</f>
        <v>0.86111111111111116</v>
      </c>
    </row>
    <row r="85" spans="1:6" x14ac:dyDescent="0.25">
      <c r="D85" s="26"/>
      <c r="E85" s="26"/>
      <c r="F85" s="26"/>
    </row>
    <row r="86" spans="1:6" x14ac:dyDescent="0.25">
      <c r="B86" s="1" t="s">
        <v>58</v>
      </c>
      <c r="D86" s="26">
        <f>D20/D20</f>
        <v>1</v>
      </c>
      <c r="E86" s="26">
        <f>E20/D20</f>
        <v>1.0480769230769231</v>
      </c>
      <c r="F86" s="26">
        <f>F20/D20</f>
        <v>0.625</v>
      </c>
    </row>
    <row r="88" spans="1:6" x14ac:dyDescent="0.25">
      <c r="B88" s="1" t="s">
        <v>119</v>
      </c>
    </row>
    <row r="89" spans="1:6" x14ac:dyDescent="0.25">
      <c r="B89" s="1" t="s">
        <v>120</v>
      </c>
    </row>
    <row r="90" spans="1:6" x14ac:dyDescent="0.25">
      <c r="B90" s="1" t="s">
        <v>121</v>
      </c>
    </row>
    <row r="92" spans="1:6" x14ac:dyDescent="0.25">
      <c r="B92" s="1" t="s">
        <v>122</v>
      </c>
    </row>
    <row r="93" spans="1:6" x14ac:dyDescent="0.25">
      <c r="B93" s="1" t="s">
        <v>123</v>
      </c>
    </row>
    <row r="94" spans="1:6" x14ac:dyDescent="0.25">
      <c r="B94" s="1" t="s">
        <v>124</v>
      </c>
    </row>
    <row r="95" spans="1:6" ht="18.75" x14ac:dyDescent="0.25">
      <c r="A95" s="53">
        <v>1</v>
      </c>
      <c r="B95" s="1" t="s">
        <v>125</v>
      </c>
    </row>
    <row r="96" spans="1:6" x14ac:dyDescent="0.25">
      <c r="B96" s="1" t="s">
        <v>126</v>
      </c>
    </row>
    <row r="97" spans="2:2" x14ac:dyDescent="0.25">
      <c r="B97" s="1" t="s">
        <v>127</v>
      </c>
    </row>
  </sheetData>
  <pageMargins left="0.70866141732283472" right="0.5118110236220472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54E78-449E-4A0E-9FE3-6269D55D73DF}">
  <dimension ref="A1:N503"/>
  <sheetViews>
    <sheetView showGridLines="0" showZeros="0" topLeftCell="A162" workbookViewId="0">
      <selection activeCell="J170" sqref="J170"/>
    </sheetView>
  </sheetViews>
  <sheetFormatPr baseColWidth="10" defaultRowHeight="12.75" x14ac:dyDescent="0.2"/>
  <cols>
    <col min="1" max="1" width="5.7109375" style="85" customWidth="1"/>
    <col min="2" max="2" width="6.5703125" style="85" customWidth="1"/>
    <col min="3" max="3" width="29.42578125" style="85" customWidth="1"/>
    <col min="4" max="6" width="8.7109375" style="85" customWidth="1"/>
    <col min="7" max="7" width="11.42578125" style="46"/>
    <col min="8" max="235" width="11.42578125" style="85"/>
    <col min="236" max="236" width="4.85546875" style="85" customWidth="1"/>
    <col min="237" max="237" width="6.5703125" style="85" customWidth="1"/>
    <col min="238" max="238" width="29.42578125" style="85" customWidth="1"/>
    <col min="239" max="239" width="7.5703125" style="85" customWidth="1"/>
    <col min="240" max="240" width="2.28515625" style="85" customWidth="1"/>
    <col min="241" max="241" width="11.42578125" style="85"/>
    <col min="242" max="242" width="2.28515625" style="85" customWidth="1"/>
    <col min="243" max="491" width="11.42578125" style="85"/>
    <col min="492" max="492" width="4.85546875" style="85" customWidth="1"/>
    <col min="493" max="493" width="6.5703125" style="85" customWidth="1"/>
    <col min="494" max="494" width="29.42578125" style="85" customWidth="1"/>
    <col min="495" max="495" width="7.5703125" style="85" customWidth="1"/>
    <col min="496" max="496" width="2.28515625" style="85" customWidth="1"/>
    <col min="497" max="497" width="11.42578125" style="85"/>
    <col min="498" max="498" width="2.28515625" style="85" customWidth="1"/>
    <col min="499" max="747" width="11.42578125" style="85"/>
    <col min="748" max="748" width="4.85546875" style="85" customWidth="1"/>
    <col min="749" max="749" width="6.5703125" style="85" customWidth="1"/>
    <col min="750" max="750" width="29.42578125" style="85" customWidth="1"/>
    <col min="751" max="751" width="7.5703125" style="85" customWidth="1"/>
    <col min="752" max="752" width="2.28515625" style="85" customWidth="1"/>
    <col min="753" max="753" width="11.42578125" style="85"/>
    <col min="754" max="754" width="2.28515625" style="85" customWidth="1"/>
    <col min="755" max="1003" width="11.42578125" style="85"/>
    <col min="1004" max="1004" width="4.85546875" style="85" customWidth="1"/>
    <col min="1005" max="1005" width="6.5703125" style="85" customWidth="1"/>
    <col min="1006" max="1006" width="29.42578125" style="85" customWidth="1"/>
    <col min="1007" max="1007" width="7.5703125" style="85" customWidth="1"/>
    <col min="1008" max="1008" width="2.28515625" style="85" customWidth="1"/>
    <col min="1009" max="1009" width="11.42578125" style="85"/>
    <col min="1010" max="1010" width="2.28515625" style="85" customWidth="1"/>
    <col min="1011" max="1259" width="11.42578125" style="85"/>
    <col min="1260" max="1260" width="4.85546875" style="85" customWidth="1"/>
    <col min="1261" max="1261" width="6.5703125" style="85" customWidth="1"/>
    <col min="1262" max="1262" width="29.42578125" style="85" customWidth="1"/>
    <col min="1263" max="1263" width="7.5703125" style="85" customWidth="1"/>
    <col min="1264" max="1264" width="2.28515625" style="85" customWidth="1"/>
    <col min="1265" max="1265" width="11.42578125" style="85"/>
    <col min="1266" max="1266" width="2.28515625" style="85" customWidth="1"/>
    <col min="1267" max="1515" width="11.42578125" style="85"/>
    <col min="1516" max="1516" width="4.85546875" style="85" customWidth="1"/>
    <col min="1517" max="1517" width="6.5703125" style="85" customWidth="1"/>
    <col min="1518" max="1518" width="29.42578125" style="85" customWidth="1"/>
    <col min="1519" max="1519" width="7.5703125" style="85" customWidth="1"/>
    <col min="1520" max="1520" width="2.28515625" style="85" customWidth="1"/>
    <col min="1521" max="1521" width="11.42578125" style="85"/>
    <col min="1522" max="1522" width="2.28515625" style="85" customWidth="1"/>
    <col min="1523" max="1771" width="11.42578125" style="85"/>
    <col min="1772" max="1772" width="4.85546875" style="85" customWidth="1"/>
    <col min="1773" max="1773" width="6.5703125" style="85" customWidth="1"/>
    <col min="1774" max="1774" width="29.42578125" style="85" customWidth="1"/>
    <col min="1775" max="1775" width="7.5703125" style="85" customWidth="1"/>
    <col min="1776" max="1776" width="2.28515625" style="85" customWidth="1"/>
    <col min="1777" max="1777" width="11.42578125" style="85"/>
    <col min="1778" max="1778" width="2.28515625" style="85" customWidth="1"/>
    <col min="1779" max="2027" width="11.42578125" style="85"/>
    <col min="2028" max="2028" width="4.85546875" style="85" customWidth="1"/>
    <col min="2029" max="2029" width="6.5703125" style="85" customWidth="1"/>
    <col min="2030" max="2030" width="29.42578125" style="85" customWidth="1"/>
    <col min="2031" max="2031" width="7.5703125" style="85" customWidth="1"/>
    <col min="2032" max="2032" width="2.28515625" style="85" customWidth="1"/>
    <col min="2033" max="2033" width="11.42578125" style="85"/>
    <col min="2034" max="2034" width="2.28515625" style="85" customWidth="1"/>
    <col min="2035" max="2283" width="11.42578125" style="85"/>
    <col min="2284" max="2284" width="4.85546875" style="85" customWidth="1"/>
    <col min="2285" max="2285" width="6.5703125" style="85" customWidth="1"/>
    <col min="2286" max="2286" width="29.42578125" style="85" customWidth="1"/>
    <col min="2287" max="2287" width="7.5703125" style="85" customWidth="1"/>
    <col min="2288" max="2288" width="2.28515625" style="85" customWidth="1"/>
    <col min="2289" max="2289" width="11.42578125" style="85"/>
    <col min="2290" max="2290" width="2.28515625" style="85" customWidth="1"/>
    <col min="2291" max="2539" width="11.42578125" style="85"/>
    <col min="2540" max="2540" width="4.85546875" style="85" customWidth="1"/>
    <col min="2541" max="2541" width="6.5703125" style="85" customWidth="1"/>
    <col min="2542" max="2542" width="29.42578125" style="85" customWidth="1"/>
    <col min="2543" max="2543" width="7.5703125" style="85" customWidth="1"/>
    <col min="2544" max="2544" width="2.28515625" style="85" customWidth="1"/>
    <col min="2545" max="2545" width="11.42578125" style="85"/>
    <col min="2546" max="2546" width="2.28515625" style="85" customWidth="1"/>
    <col min="2547" max="2795" width="11.42578125" style="85"/>
    <col min="2796" max="2796" width="4.85546875" style="85" customWidth="1"/>
    <col min="2797" max="2797" width="6.5703125" style="85" customWidth="1"/>
    <col min="2798" max="2798" width="29.42578125" style="85" customWidth="1"/>
    <col min="2799" max="2799" width="7.5703125" style="85" customWidth="1"/>
    <col min="2800" max="2800" width="2.28515625" style="85" customWidth="1"/>
    <col min="2801" max="2801" width="11.42578125" style="85"/>
    <col min="2802" max="2802" width="2.28515625" style="85" customWidth="1"/>
    <col min="2803" max="3051" width="11.42578125" style="85"/>
    <col min="3052" max="3052" width="4.85546875" style="85" customWidth="1"/>
    <col min="3053" max="3053" width="6.5703125" style="85" customWidth="1"/>
    <col min="3054" max="3054" width="29.42578125" style="85" customWidth="1"/>
    <col min="3055" max="3055" width="7.5703125" style="85" customWidth="1"/>
    <col min="3056" max="3056" width="2.28515625" style="85" customWidth="1"/>
    <col min="3057" max="3057" width="11.42578125" style="85"/>
    <col min="3058" max="3058" width="2.28515625" style="85" customWidth="1"/>
    <col min="3059" max="3307" width="11.42578125" style="85"/>
    <col min="3308" max="3308" width="4.85546875" style="85" customWidth="1"/>
    <col min="3309" max="3309" width="6.5703125" style="85" customWidth="1"/>
    <col min="3310" max="3310" width="29.42578125" style="85" customWidth="1"/>
    <col min="3311" max="3311" width="7.5703125" style="85" customWidth="1"/>
    <col min="3312" max="3312" width="2.28515625" style="85" customWidth="1"/>
    <col min="3313" max="3313" width="11.42578125" style="85"/>
    <col min="3314" max="3314" width="2.28515625" style="85" customWidth="1"/>
    <col min="3315" max="3563" width="11.42578125" style="85"/>
    <col min="3564" max="3564" width="4.85546875" style="85" customWidth="1"/>
    <col min="3565" max="3565" width="6.5703125" style="85" customWidth="1"/>
    <col min="3566" max="3566" width="29.42578125" style="85" customWidth="1"/>
    <col min="3567" max="3567" width="7.5703125" style="85" customWidth="1"/>
    <col min="3568" max="3568" width="2.28515625" style="85" customWidth="1"/>
    <col min="3569" max="3569" width="11.42578125" style="85"/>
    <col min="3570" max="3570" width="2.28515625" style="85" customWidth="1"/>
    <col min="3571" max="3819" width="11.42578125" style="85"/>
    <col min="3820" max="3820" width="4.85546875" style="85" customWidth="1"/>
    <col min="3821" max="3821" width="6.5703125" style="85" customWidth="1"/>
    <col min="3822" max="3822" width="29.42578125" style="85" customWidth="1"/>
    <col min="3823" max="3823" width="7.5703125" style="85" customWidth="1"/>
    <col min="3824" max="3824" width="2.28515625" style="85" customWidth="1"/>
    <col min="3825" max="3825" width="11.42578125" style="85"/>
    <col min="3826" max="3826" width="2.28515625" style="85" customWidth="1"/>
    <col min="3827" max="4075" width="11.42578125" style="85"/>
    <col min="4076" max="4076" width="4.85546875" style="85" customWidth="1"/>
    <col min="4077" max="4077" width="6.5703125" style="85" customWidth="1"/>
    <col min="4078" max="4078" width="29.42578125" style="85" customWidth="1"/>
    <col min="4079" max="4079" width="7.5703125" style="85" customWidth="1"/>
    <col min="4080" max="4080" width="2.28515625" style="85" customWidth="1"/>
    <col min="4081" max="4081" width="11.42578125" style="85"/>
    <col min="4082" max="4082" width="2.28515625" style="85" customWidth="1"/>
    <col min="4083" max="4331" width="11.42578125" style="85"/>
    <col min="4332" max="4332" width="4.85546875" style="85" customWidth="1"/>
    <col min="4333" max="4333" width="6.5703125" style="85" customWidth="1"/>
    <col min="4334" max="4334" width="29.42578125" style="85" customWidth="1"/>
    <col min="4335" max="4335" width="7.5703125" style="85" customWidth="1"/>
    <col min="4336" max="4336" width="2.28515625" style="85" customWidth="1"/>
    <col min="4337" max="4337" width="11.42578125" style="85"/>
    <col min="4338" max="4338" width="2.28515625" style="85" customWidth="1"/>
    <col min="4339" max="4587" width="11.42578125" style="85"/>
    <col min="4588" max="4588" width="4.85546875" style="85" customWidth="1"/>
    <col min="4589" max="4589" width="6.5703125" style="85" customWidth="1"/>
    <col min="4590" max="4590" width="29.42578125" style="85" customWidth="1"/>
    <col min="4591" max="4591" width="7.5703125" style="85" customWidth="1"/>
    <col min="4592" max="4592" width="2.28515625" style="85" customWidth="1"/>
    <col min="4593" max="4593" width="11.42578125" style="85"/>
    <col min="4594" max="4594" width="2.28515625" style="85" customWidth="1"/>
    <col min="4595" max="4843" width="11.42578125" style="85"/>
    <col min="4844" max="4844" width="4.85546875" style="85" customWidth="1"/>
    <col min="4845" max="4845" width="6.5703125" style="85" customWidth="1"/>
    <col min="4846" max="4846" width="29.42578125" style="85" customWidth="1"/>
    <col min="4847" max="4847" width="7.5703125" style="85" customWidth="1"/>
    <col min="4848" max="4848" width="2.28515625" style="85" customWidth="1"/>
    <col min="4849" max="4849" width="11.42578125" style="85"/>
    <col min="4850" max="4850" width="2.28515625" style="85" customWidth="1"/>
    <col min="4851" max="5099" width="11.42578125" style="85"/>
    <col min="5100" max="5100" width="4.85546875" style="85" customWidth="1"/>
    <col min="5101" max="5101" width="6.5703125" style="85" customWidth="1"/>
    <col min="5102" max="5102" width="29.42578125" style="85" customWidth="1"/>
    <col min="5103" max="5103" width="7.5703125" style="85" customWidth="1"/>
    <col min="5104" max="5104" width="2.28515625" style="85" customWidth="1"/>
    <col min="5105" max="5105" width="11.42578125" style="85"/>
    <col min="5106" max="5106" width="2.28515625" style="85" customWidth="1"/>
    <col min="5107" max="5355" width="11.42578125" style="85"/>
    <col min="5356" max="5356" width="4.85546875" style="85" customWidth="1"/>
    <col min="5357" max="5357" width="6.5703125" style="85" customWidth="1"/>
    <col min="5358" max="5358" width="29.42578125" style="85" customWidth="1"/>
    <col min="5359" max="5359" width="7.5703125" style="85" customWidth="1"/>
    <col min="5360" max="5360" width="2.28515625" style="85" customWidth="1"/>
    <col min="5361" max="5361" width="11.42578125" style="85"/>
    <col min="5362" max="5362" width="2.28515625" style="85" customWidth="1"/>
    <col min="5363" max="5611" width="11.42578125" style="85"/>
    <col min="5612" max="5612" width="4.85546875" style="85" customWidth="1"/>
    <col min="5613" max="5613" width="6.5703125" style="85" customWidth="1"/>
    <col min="5614" max="5614" width="29.42578125" style="85" customWidth="1"/>
    <col min="5615" max="5615" width="7.5703125" style="85" customWidth="1"/>
    <col min="5616" max="5616" width="2.28515625" style="85" customWidth="1"/>
    <col min="5617" max="5617" width="11.42578125" style="85"/>
    <col min="5618" max="5618" width="2.28515625" style="85" customWidth="1"/>
    <col min="5619" max="5867" width="11.42578125" style="85"/>
    <col min="5868" max="5868" width="4.85546875" style="85" customWidth="1"/>
    <col min="5869" max="5869" width="6.5703125" style="85" customWidth="1"/>
    <col min="5870" max="5870" width="29.42578125" style="85" customWidth="1"/>
    <col min="5871" max="5871" width="7.5703125" style="85" customWidth="1"/>
    <col min="5872" max="5872" width="2.28515625" style="85" customWidth="1"/>
    <col min="5873" max="5873" width="11.42578125" style="85"/>
    <col min="5874" max="5874" width="2.28515625" style="85" customWidth="1"/>
    <col min="5875" max="6123" width="11.42578125" style="85"/>
    <col min="6124" max="6124" width="4.85546875" style="85" customWidth="1"/>
    <col min="6125" max="6125" width="6.5703125" style="85" customWidth="1"/>
    <col min="6126" max="6126" width="29.42578125" style="85" customWidth="1"/>
    <col min="6127" max="6127" width="7.5703125" style="85" customWidth="1"/>
    <col min="6128" max="6128" width="2.28515625" style="85" customWidth="1"/>
    <col min="6129" max="6129" width="11.42578125" style="85"/>
    <col min="6130" max="6130" width="2.28515625" style="85" customWidth="1"/>
    <col min="6131" max="6379" width="11.42578125" style="85"/>
    <col min="6380" max="6380" width="4.85546875" style="85" customWidth="1"/>
    <col min="6381" max="6381" width="6.5703125" style="85" customWidth="1"/>
    <col min="6382" max="6382" width="29.42578125" style="85" customWidth="1"/>
    <col min="6383" max="6383" width="7.5703125" style="85" customWidth="1"/>
    <col min="6384" max="6384" width="2.28515625" style="85" customWidth="1"/>
    <col min="6385" max="6385" width="11.42578125" style="85"/>
    <col min="6386" max="6386" width="2.28515625" style="85" customWidth="1"/>
    <col min="6387" max="6635" width="11.42578125" style="85"/>
    <col min="6636" max="6636" width="4.85546875" style="85" customWidth="1"/>
    <col min="6637" max="6637" width="6.5703125" style="85" customWidth="1"/>
    <col min="6638" max="6638" width="29.42578125" style="85" customWidth="1"/>
    <col min="6639" max="6639" width="7.5703125" style="85" customWidth="1"/>
    <col min="6640" max="6640" width="2.28515625" style="85" customWidth="1"/>
    <col min="6641" max="6641" width="11.42578125" style="85"/>
    <col min="6642" max="6642" width="2.28515625" style="85" customWidth="1"/>
    <col min="6643" max="6891" width="11.42578125" style="85"/>
    <col min="6892" max="6892" width="4.85546875" style="85" customWidth="1"/>
    <col min="6893" max="6893" width="6.5703125" style="85" customWidth="1"/>
    <col min="6894" max="6894" width="29.42578125" style="85" customWidth="1"/>
    <col min="6895" max="6895" width="7.5703125" style="85" customWidth="1"/>
    <col min="6896" max="6896" width="2.28515625" style="85" customWidth="1"/>
    <col min="6897" max="6897" width="11.42578125" style="85"/>
    <col min="6898" max="6898" width="2.28515625" style="85" customWidth="1"/>
    <col min="6899" max="7147" width="11.42578125" style="85"/>
    <col min="7148" max="7148" width="4.85546875" style="85" customWidth="1"/>
    <col min="7149" max="7149" width="6.5703125" style="85" customWidth="1"/>
    <col min="7150" max="7150" width="29.42578125" style="85" customWidth="1"/>
    <col min="7151" max="7151" width="7.5703125" style="85" customWidth="1"/>
    <col min="7152" max="7152" width="2.28515625" style="85" customWidth="1"/>
    <col min="7153" max="7153" width="11.42578125" style="85"/>
    <col min="7154" max="7154" width="2.28515625" style="85" customWidth="1"/>
    <col min="7155" max="7403" width="11.42578125" style="85"/>
    <col min="7404" max="7404" width="4.85546875" style="85" customWidth="1"/>
    <col min="7405" max="7405" width="6.5703125" style="85" customWidth="1"/>
    <col min="7406" max="7406" width="29.42578125" style="85" customWidth="1"/>
    <col min="7407" max="7407" width="7.5703125" style="85" customWidth="1"/>
    <col min="7408" max="7408" width="2.28515625" style="85" customWidth="1"/>
    <col min="7409" max="7409" width="11.42578125" style="85"/>
    <col min="7410" max="7410" width="2.28515625" style="85" customWidth="1"/>
    <col min="7411" max="7659" width="11.42578125" style="85"/>
    <col min="7660" max="7660" width="4.85546875" style="85" customWidth="1"/>
    <col min="7661" max="7661" width="6.5703125" style="85" customWidth="1"/>
    <col min="7662" max="7662" width="29.42578125" style="85" customWidth="1"/>
    <col min="7663" max="7663" width="7.5703125" style="85" customWidth="1"/>
    <col min="7664" max="7664" width="2.28515625" style="85" customWidth="1"/>
    <col min="7665" max="7665" width="11.42578125" style="85"/>
    <col min="7666" max="7666" width="2.28515625" style="85" customWidth="1"/>
    <col min="7667" max="7915" width="11.42578125" style="85"/>
    <col min="7916" max="7916" width="4.85546875" style="85" customWidth="1"/>
    <col min="7917" max="7917" width="6.5703125" style="85" customWidth="1"/>
    <col min="7918" max="7918" width="29.42578125" style="85" customWidth="1"/>
    <col min="7919" max="7919" width="7.5703125" style="85" customWidth="1"/>
    <col min="7920" max="7920" width="2.28515625" style="85" customWidth="1"/>
    <col min="7921" max="7921" width="11.42578125" style="85"/>
    <col min="7922" max="7922" width="2.28515625" style="85" customWidth="1"/>
    <col min="7923" max="8171" width="11.42578125" style="85"/>
    <col min="8172" max="8172" width="4.85546875" style="85" customWidth="1"/>
    <col min="8173" max="8173" width="6.5703125" style="85" customWidth="1"/>
    <col min="8174" max="8174" width="29.42578125" style="85" customWidth="1"/>
    <col min="8175" max="8175" width="7.5703125" style="85" customWidth="1"/>
    <col min="8176" max="8176" width="2.28515625" style="85" customWidth="1"/>
    <col min="8177" max="8177" width="11.42578125" style="85"/>
    <col min="8178" max="8178" width="2.28515625" style="85" customWidth="1"/>
    <col min="8179" max="8427" width="11.42578125" style="85"/>
    <col min="8428" max="8428" width="4.85546875" style="85" customWidth="1"/>
    <col min="8429" max="8429" width="6.5703125" style="85" customWidth="1"/>
    <col min="8430" max="8430" width="29.42578125" style="85" customWidth="1"/>
    <col min="8431" max="8431" width="7.5703125" style="85" customWidth="1"/>
    <col min="8432" max="8432" width="2.28515625" style="85" customWidth="1"/>
    <col min="8433" max="8433" width="11.42578125" style="85"/>
    <col min="8434" max="8434" width="2.28515625" style="85" customWidth="1"/>
    <col min="8435" max="8683" width="11.42578125" style="85"/>
    <col min="8684" max="8684" width="4.85546875" style="85" customWidth="1"/>
    <col min="8685" max="8685" width="6.5703125" style="85" customWidth="1"/>
    <col min="8686" max="8686" width="29.42578125" style="85" customWidth="1"/>
    <col min="8687" max="8687" width="7.5703125" style="85" customWidth="1"/>
    <col min="8688" max="8688" width="2.28515625" style="85" customWidth="1"/>
    <col min="8689" max="8689" width="11.42578125" style="85"/>
    <col min="8690" max="8690" width="2.28515625" style="85" customWidth="1"/>
    <col min="8691" max="8939" width="11.42578125" style="85"/>
    <col min="8940" max="8940" width="4.85546875" style="85" customWidth="1"/>
    <col min="8941" max="8941" width="6.5703125" style="85" customWidth="1"/>
    <col min="8942" max="8942" width="29.42578125" style="85" customWidth="1"/>
    <col min="8943" max="8943" width="7.5703125" style="85" customWidth="1"/>
    <col min="8944" max="8944" width="2.28515625" style="85" customWidth="1"/>
    <col min="8945" max="8945" width="11.42578125" style="85"/>
    <col min="8946" max="8946" width="2.28515625" style="85" customWidth="1"/>
    <col min="8947" max="9195" width="11.42578125" style="85"/>
    <col min="9196" max="9196" width="4.85546875" style="85" customWidth="1"/>
    <col min="9197" max="9197" width="6.5703125" style="85" customWidth="1"/>
    <col min="9198" max="9198" width="29.42578125" style="85" customWidth="1"/>
    <col min="9199" max="9199" width="7.5703125" style="85" customWidth="1"/>
    <col min="9200" max="9200" width="2.28515625" style="85" customWidth="1"/>
    <col min="9201" max="9201" width="11.42578125" style="85"/>
    <col min="9202" max="9202" width="2.28515625" style="85" customWidth="1"/>
    <col min="9203" max="9451" width="11.42578125" style="85"/>
    <col min="9452" max="9452" width="4.85546875" style="85" customWidth="1"/>
    <col min="9453" max="9453" width="6.5703125" style="85" customWidth="1"/>
    <col min="9454" max="9454" width="29.42578125" style="85" customWidth="1"/>
    <col min="9455" max="9455" width="7.5703125" style="85" customWidth="1"/>
    <col min="9456" max="9456" width="2.28515625" style="85" customWidth="1"/>
    <col min="9457" max="9457" width="11.42578125" style="85"/>
    <col min="9458" max="9458" width="2.28515625" style="85" customWidth="1"/>
    <col min="9459" max="9707" width="11.42578125" style="85"/>
    <col min="9708" max="9708" width="4.85546875" style="85" customWidth="1"/>
    <col min="9709" max="9709" width="6.5703125" style="85" customWidth="1"/>
    <col min="9710" max="9710" width="29.42578125" style="85" customWidth="1"/>
    <col min="9711" max="9711" width="7.5703125" style="85" customWidth="1"/>
    <col min="9712" max="9712" width="2.28515625" style="85" customWidth="1"/>
    <col min="9713" max="9713" width="11.42578125" style="85"/>
    <col min="9714" max="9714" width="2.28515625" style="85" customWidth="1"/>
    <col min="9715" max="9963" width="11.42578125" style="85"/>
    <col min="9964" max="9964" width="4.85546875" style="85" customWidth="1"/>
    <col min="9965" max="9965" width="6.5703125" style="85" customWidth="1"/>
    <col min="9966" max="9966" width="29.42578125" style="85" customWidth="1"/>
    <col min="9967" max="9967" width="7.5703125" style="85" customWidth="1"/>
    <col min="9968" max="9968" width="2.28515625" style="85" customWidth="1"/>
    <col min="9969" max="9969" width="11.42578125" style="85"/>
    <col min="9970" max="9970" width="2.28515625" style="85" customWidth="1"/>
    <col min="9971" max="10219" width="11.42578125" style="85"/>
    <col min="10220" max="10220" width="4.85546875" style="85" customWidth="1"/>
    <col min="10221" max="10221" width="6.5703125" style="85" customWidth="1"/>
    <col min="10222" max="10222" width="29.42578125" style="85" customWidth="1"/>
    <col min="10223" max="10223" width="7.5703125" style="85" customWidth="1"/>
    <col min="10224" max="10224" width="2.28515625" style="85" customWidth="1"/>
    <col min="10225" max="10225" width="11.42578125" style="85"/>
    <col min="10226" max="10226" width="2.28515625" style="85" customWidth="1"/>
    <col min="10227" max="10475" width="11.42578125" style="85"/>
    <col min="10476" max="10476" width="4.85546875" style="85" customWidth="1"/>
    <col min="10477" max="10477" width="6.5703125" style="85" customWidth="1"/>
    <col min="10478" max="10478" width="29.42578125" style="85" customWidth="1"/>
    <col min="10479" max="10479" width="7.5703125" style="85" customWidth="1"/>
    <col min="10480" max="10480" width="2.28515625" style="85" customWidth="1"/>
    <col min="10481" max="10481" width="11.42578125" style="85"/>
    <col min="10482" max="10482" width="2.28515625" style="85" customWidth="1"/>
    <col min="10483" max="10731" width="11.42578125" style="85"/>
    <col min="10732" max="10732" width="4.85546875" style="85" customWidth="1"/>
    <col min="10733" max="10733" width="6.5703125" style="85" customWidth="1"/>
    <col min="10734" max="10734" width="29.42578125" style="85" customWidth="1"/>
    <col min="10735" max="10735" width="7.5703125" style="85" customWidth="1"/>
    <col min="10736" max="10736" width="2.28515625" style="85" customWidth="1"/>
    <col min="10737" max="10737" width="11.42578125" style="85"/>
    <col min="10738" max="10738" width="2.28515625" style="85" customWidth="1"/>
    <col min="10739" max="10987" width="11.42578125" style="85"/>
    <col min="10988" max="10988" width="4.85546875" style="85" customWidth="1"/>
    <col min="10989" max="10989" width="6.5703125" style="85" customWidth="1"/>
    <col min="10990" max="10990" width="29.42578125" style="85" customWidth="1"/>
    <col min="10991" max="10991" width="7.5703125" style="85" customWidth="1"/>
    <col min="10992" max="10992" width="2.28515625" style="85" customWidth="1"/>
    <col min="10993" max="10993" width="11.42578125" style="85"/>
    <col min="10994" max="10994" width="2.28515625" style="85" customWidth="1"/>
    <col min="10995" max="11243" width="11.42578125" style="85"/>
    <col min="11244" max="11244" width="4.85546875" style="85" customWidth="1"/>
    <col min="11245" max="11245" width="6.5703125" style="85" customWidth="1"/>
    <col min="11246" max="11246" width="29.42578125" style="85" customWidth="1"/>
    <col min="11247" max="11247" width="7.5703125" style="85" customWidth="1"/>
    <col min="11248" max="11248" width="2.28515625" style="85" customWidth="1"/>
    <col min="11249" max="11249" width="11.42578125" style="85"/>
    <col min="11250" max="11250" width="2.28515625" style="85" customWidth="1"/>
    <col min="11251" max="11499" width="11.42578125" style="85"/>
    <col min="11500" max="11500" width="4.85546875" style="85" customWidth="1"/>
    <col min="11501" max="11501" width="6.5703125" style="85" customWidth="1"/>
    <col min="11502" max="11502" width="29.42578125" style="85" customWidth="1"/>
    <col min="11503" max="11503" width="7.5703125" style="85" customWidth="1"/>
    <col min="11504" max="11504" width="2.28515625" style="85" customWidth="1"/>
    <col min="11505" max="11505" width="11.42578125" style="85"/>
    <col min="11506" max="11506" width="2.28515625" style="85" customWidth="1"/>
    <col min="11507" max="11755" width="11.42578125" style="85"/>
    <col min="11756" max="11756" width="4.85546875" style="85" customWidth="1"/>
    <col min="11757" max="11757" width="6.5703125" style="85" customWidth="1"/>
    <col min="11758" max="11758" width="29.42578125" style="85" customWidth="1"/>
    <col min="11759" max="11759" width="7.5703125" style="85" customWidth="1"/>
    <col min="11760" max="11760" width="2.28515625" style="85" customWidth="1"/>
    <col min="11761" max="11761" width="11.42578125" style="85"/>
    <col min="11762" max="11762" width="2.28515625" style="85" customWidth="1"/>
    <col min="11763" max="12011" width="11.42578125" style="85"/>
    <col min="12012" max="12012" width="4.85546875" style="85" customWidth="1"/>
    <col min="12013" max="12013" width="6.5703125" style="85" customWidth="1"/>
    <col min="12014" max="12014" width="29.42578125" style="85" customWidth="1"/>
    <col min="12015" max="12015" width="7.5703125" style="85" customWidth="1"/>
    <col min="12016" max="12016" width="2.28515625" style="85" customWidth="1"/>
    <col min="12017" max="12017" width="11.42578125" style="85"/>
    <col min="12018" max="12018" width="2.28515625" style="85" customWidth="1"/>
    <col min="12019" max="12267" width="11.42578125" style="85"/>
    <col min="12268" max="12268" width="4.85546875" style="85" customWidth="1"/>
    <col min="12269" max="12269" width="6.5703125" style="85" customWidth="1"/>
    <col min="12270" max="12270" width="29.42578125" style="85" customWidth="1"/>
    <col min="12271" max="12271" width="7.5703125" style="85" customWidth="1"/>
    <col min="12272" max="12272" width="2.28515625" style="85" customWidth="1"/>
    <col min="12273" max="12273" width="11.42578125" style="85"/>
    <col min="12274" max="12274" width="2.28515625" style="85" customWidth="1"/>
    <col min="12275" max="12523" width="11.42578125" style="85"/>
    <col min="12524" max="12524" width="4.85546875" style="85" customWidth="1"/>
    <col min="12525" max="12525" width="6.5703125" style="85" customWidth="1"/>
    <col min="12526" max="12526" width="29.42578125" style="85" customWidth="1"/>
    <col min="12527" max="12527" width="7.5703125" style="85" customWidth="1"/>
    <col min="12528" max="12528" width="2.28515625" style="85" customWidth="1"/>
    <col min="12529" max="12529" width="11.42578125" style="85"/>
    <col min="12530" max="12530" width="2.28515625" style="85" customWidth="1"/>
    <col min="12531" max="12779" width="11.42578125" style="85"/>
    <col min="12780" max="12780" width="4.85546875" style="85" customWidth="1"/>
    <col min="12781" max="12781" width="6.5703125" style="85" customWidth="1"/>
    <col min="12782" max="12782" width="29.42578125" style="85" customWidth="1"/>
    <col min="12783" max="12783" width="7.5703125" style="85" customWidth="1"/>
    <col min="12784" max="12784" width="2.28515625" style="85" customWidth="1"/>
    <col min="12785" max="12785" width="11.42578125" style="85"/>
    <col min="12786" max="12786" width="2.28515625" style="85" customWidth="1"/>
    <col min="12787" max="13035" width="11.42578125" style="85"/>
    <col min="13036" max="13036" width="4.85546875" style="85" customWidth="1"/>
    <col min="13037" max="13037" width="6.5703125" style="85" customWidth="1"/>
    <col min="13038" max="13038" width="29.42578125" style="85" customWidth="1"/>
    <col min="13039" max="13039" width="7.5703125" style="85" customWidth="1"/>
    <col min="13040" max="13040" width="2.28515625" style="85" customWidth="1"/>
    <col min="13041" max="13041" width="11.42578125" style="85"/>
    <col min="13042" max="13042" width="2.28515625" style="85" customWidth="1"/>
    <col min="13043" max="13291" width="11.42578125" style="85"/>
    <col min="13292" max="13292" width="4.85546875" style="85" customWidth="1"/>
    <col min="13293" max="13293" width="6.5703125" style="85" customWidth="1"/>
    <col min="13294" max="13294" width="29.42578125" style="85" customWidth="1"/>
    <col min="13295" max="13295" width="7.5703125" style="85" customWidth="1"/>
    <col min="13296" max="13296" width="2.28515625" style="85" customWidth="1"/>
    <col min="13297" max="13297" width="11.42578125" style="85"/>
    <col min="13298" max="13298" width="2.28515625" style="85" customWidth="1"/>
    <col min="13299" max="13547" width="11.42578125" style="85"/>
    <col min="13548" max="13548" width="4.85546875" style="85" customWidth="1"/>
    <col min="13549" max="13549" width="6.5703125" style="85" customWidth="1"/>
    <col min="13550" max="13550" width="29.42578125" style="85" customWidth="1"/>
    <col min="13551" max="13551" width="7.5703125" style="85" customWidth="1"/>
    <col min="13552" max="13552" width="2.28515625" style="85" customWidth="1"/>
    <col min="13553" max="13553" width="11.42578125" style="85"/>
    <col min="13554" max="13554" width="2.28515625" style="85" customWidth="1"/>
    <col min="13555" max="13803" width="11.42578125" style="85"/>
    <col min="13804" max="13804" width="4.85546875" style="85" customWidth="1"/>
    <col min="13805" max="13805" width="6.5703125" style="85" customWidth="1"/>
    <col min="13806" max="13806" width="29.42578125" style="85" customWidth="1"/>
    <col min="13807" max="13807" width="7.5703125" style="85" customWidth="1"/>
    <col min="13808" max="13808" width="2.28515625" style="85" customWidth="1"/>
    <col min="13809" max="13809" width="11.42578125" style="85"/>
    <col min="13810" max="13810" width="2.28515625" style="85" customWidth="1"/>
    <col min="13811" max="14059" width="11.42578125" style="85"/>
    <col min="14060" max="14060" width="4.85546875" style="85" customWidth="1"/>
    <col min="14061" max="14061" width="6.5703125" style="85" customWidth="1"/>
    <col min="14062" max="14062" width="29.42578125" style="85" customWidth="1"/>
    <col min="14063" max="14063" width="7.5703125" style="85" customWidth="1"/>
    <col min="14064" max="14064" width="2.28515625" style="85" customWidth="1"/>
    <col min="14065" max="14065" width="11.42578125" style="85"/>
    <col min="14066" max="14066" width="2.28515625" style="85" customWidth="1"/>
    <col min="14067" max="14315" width="11.42578125" style="85"/>
    <col min="14316" max="14316" width="4.85546875" style="85" customWidth="1"/>
    <col min="14317" max="14317" width="6.5703125" style="85" customWidth="1"/>
    <col min="14318" max="14318" width="29.42578125" style="85" customWidth="1"/>
    <col min="14319" max="14319" width="7.5703125" style="85" customWidth="1"/>
    <col min="14320" max="14320" width="2.28515625" style="85" customWidth="1"/>
    <col min="14321" max="14321" width="11.42578125" style="85"/>
    <col min="14322" max="14322" width="2.28515625" style="85" customWidth="1"/>
    <col min="14323" max="14571" width="11.42578125" style="85"/>
    <col min="14572" max="14572" width="4.85546875" style="85" customWidth="1"/>
    <col min="14573" max="14573" width="6.5703125" style="85" customWidth="1"/>
    <col min="14574" max="14574" width="29.42578125" style="85" customWidth="1"/>
    <col min="14575" max="14575" width="7.5703125" style="85" customWidth="1"/>
    <col min="14576" max="14576" width="2.28515625" style="85" customWidth="1"/>
    <col min="14577" max="14577" width="11.42578125" style="85"/>
    <col min="14578" max="14578" width="2.28515625" style="85" customWidth="1"/>
    <col min="14579" max="14827" width="11.42578125" style="85"/>
    <col min="14828" max="14828" width="4.85546875" style="85" customWidth="1"/>
    <col min="14829" max="14829" width="6.5703125" style="85" customWidth="1"/>
    <col min="14830" max="14830" width="29.42578125" style="85" customWidth="1"/>
    <col min="14831" max="14831" width="7.5703125" style="85" customWidth="1"/>
    <col min="14832" max="14832" width="2.28515625" style="85" customWidth="1"/>
    <col min="14833" max="14833" width="11.42578125" style="85"/>
    <col min="14834" max="14834" width="2.28515625" style="85" customWidth="1"/>
    <col min="14835" max="15083" width="11.42578125" style="85"/>
    <col min="15084" max="15084" width="4.85546875" style="85" customWidth="1"/>
    <col min="15085" max="15085" width="6.5703125" style="85" customWidth="1"/>
    <col min="15086" max="15086" width="29.42578125" style="85" customWidth="1"/>
    <col min="15087" max="15087" width="7.5703125" style="85" customWidth="1"/>
    <col min="15088" max="15088" width="2.28515625" style="85" customWidth="1"/>
    <col min="15089" max="15089" width="11.42578125" style="85"/>
    <col min="15090" max="15090" width="2.28515625" style="85" customWidth="1"/>
    <col min="15091" max="15339" width="11.42578125" style="85"/>
    <col min="15340" max="15340" width="4.85546875" style="85" customWidth="1"/>
    <col min="15341" max="15341" width="6.5703125" style="85" customWidth="1"/>
    <col min="15342" max="15342" width="29.42578125" style="85" customWidth="1"/>
    <col min="15343" max="15343" width="7.5703125" style="85" customWidth="1"/>
    <col min="15344" max="15344" width="2.28515625" style="85" customWidth="1"/>
    <col min="15345" max="15345" width="11.42578125" style="85"/>
    <col min="15346" max="15346" width="2.28515625" style="85" customWidth="1"/>
    <col min="15347" max="15595" width="11.42578125" style="85"/>
    <col min="15596" max="15596" width="4.85546875" style="85" customWidth="1"/>
    <col min="15597" max="15597" width="6.5703125" style="85" customWidth="1"/>
    <col min="15598" max="15598" width="29.42578125" style="85" customWidth="1"/>
    <col min="15599" max="15599" width="7.5703125" style="85" customWidth="1"/>
    <col min="15600" max="15600" width="2.28515625" style="85" customWidth="1"/>
    <col min="15601" max="15601" width="11.42578125" style="85"/>
    <col min="15602" max="15602" width="2.28515625" style="85" customWidth="1"/>
    <col min="15603" max="15851" width="11.42578125" style="85"/>
    <col min="15852" max="15852" width="4.85546875" style="85" customWidth="1"/>
    <col min="15853" max="15853" width="6.5703125" style="85" customWidth="1"/>
    <col min="15854" max="15854" width="29.42578125" style="85" customWidth="1"/>
    <col min="15855" max="15855" width="7.5703125" style="85" customWidth="1"/>
    <col min="15856" max="15856" width="2.28515625" style="85" customWidth="1"/>
    <col min="15857" max="15857" width="11.42578125" style="85"/>
    <col min="15858" max="15858" width="2.28515625" style="85" customWidth="1"/>
    <col min="15859" max="16107" width="11.42578125" style="85"/>
    <col min="16108" max="16108" width="4.85546875" style="85" customWidth="1"/>
    <col min="16109" max="16109" width="6.5703125" style="85" customWidth="1"/>
    <col min="16110" max="16110" width="29.42578125" style="85" customWidth="1"/>
    <col min="16111" max="16111" width="7.5703125" style="85" customWidth="1"/>
    <col min="16112" max="16112" width="2.28515625" style="85" customWidth="1"/>
    <col min="16113" max="16113" width="11.42578125" style="85"/>
    <col min="16114" max="16114" width="2.28515625" style="85" customWidth="1"/>
    <col min="16115" max="16384" width="11.42578125" style="85"/>
  </cols>
  <sheetData>
    <row r="1" spans="1:14" s="83" customFormat="1" ht="15" x14ac:dyDescent="0.25">
      <c r="A1" s="82" t="s">
        <v>328</v>
      </c>
    </row>
    <row r="2" spans="1:14" s="83" customFormat="1" ht="15" x14ac:dyDescent="0.25">
      <c r="D2" s="84"/>
      <c r="E2" s="84"/>
    </row>
    <row r="3" spans="1:14" s="83" customFormat="1" ht="15.75" x14ac:dyDescent="0.25">
      <c r="A3" s="15"/>
      <c r="B3" s="14" t="s">
        <v>102</v>
      </c>
      <c r="C3" s="14"/>
      <c r="D3" s="29" t="s">
        <v>99</v>
      </c>
      <c r="E3" s="29" t="s">
        <v>39</v>
      </c>
      <c r="F3" s="16" t="s">
        <v>40</v>
      </c>
      <c r="G3" s="15"/>
      <c r="H3" s="15"/>
      <c r="I3" s="15"/>
      <c r="J3" s="15"/>
      <c r="K3" s="15"/>
      <c r="L3" s="15"/>
      <c r="M3" s="15"/>
      <c r="N3" s="15"/>
    </row>
    <row r="4" spans="1:14" s="83" customFormat="1" ht="15.75" x14ac:dyDescent="0.25">
      <c r="A4" s="15"/>
      <c r="B4" s="15" t="s">
        <v>1</v>
      </c>
      <c r="C4" s="15"/>
      <c r="D4" s="44">
        <v>40853</v>
      </c>
      <c r="E4" s="44">
        <v>43024</v>
      </c>
      <c r="F4" s="18">
        <v>43585</v>
      </c>
      <c r="G4" s="15"/>
      <c r="H4" s="15"/>
      <c r="I4" s="15"/>
      <c r="J4" s="15"/>
      <c r="K4" s="15"/>
      <c r="L4" s="15"/>
      <c r="M4" s="15"/>
      <c r="N4" s="15"/>
    </row>
    <row r="5" spans="1:14" s="25" customFormat="1" ht="20.25" x14ac:dyDescent="0.3">
      <c r="A5" s="15"/>
      <c r="B5" s="15" t="s">
        <v>18</v>
      </c>
      <c r="C5" s="15"/>
      <c r="D5" s="19">
        <f>SUM(D4:D4)</f>
        <v>40853</v>
      </c>
      <c r="E5" s="19">
        <f>SUM(E4:E4)</f>
        <v>43024</v>
      </c>
      <c r="F5" s="19">
        <f>SUM(F4:F4)</f>
        <v>43585</v>
      </c>
      <c r="G5" s="15"/>
      <c r="H5" s="15"/>
      <c r="I5" s="15"/>
      <c r="J5" s="15"/>
      <c r="K5" s="15"/>
      <c r="L5" s="15"/>
      <c r="M5" s="15"/>
      <c r="N5" s="15"/>
    </row>
    <row r="6" spans="1:14" s="83" customFormat="1" ht="15.75" x14ac:dyDescent="0.25">
      <c r="A6" s="15"/>
      <c r="B6" s="15"/>
      <c r="C6" s="15"/>
      <c r="D6" s="18"/>
      <c r="E6" s="18"/>
      <c r="F6" s="18"/>
      <c r="G6" s="15"/>
      <c r="H6" s="15"/>
      <c r="I6" s="15"/>
      <c r="J6" s="15"/>
      <c r="K6" s="15"/>
      <c r="L6" s="15"/>
      <c r="M6" s="15"/>
      <c r="N6" s="15"/>
    </row>
    <row r="7" spans="1:14" s="83" customFormat="1" ht="15.75" x14ac:dyDescent="0.25">
      <c r="A7" s="15"/>
      <c r="B7" s="15" t="s">
        <v>2</v>
      </c>
      <c r="C7" s="15"/>
      <c r="D7" s="18">
        <v>13680</v>
      </c>
      <c r="E7" s="18">
        <v>14620</v>
      </c>
      <c r="F7" s="18">
        <v>14883</v>
      </c>
      <c r="G7" s="15"/>
      <c r="H7" s="15"/>
      <c r="I7" s="15"/>
      <c r="J7" s="15"/>
      <c r="K7" s="15"/>
      <c r="L7" s="15"/>
      <c r="M7" s="15"/>
      <c r="N7" s="15"/>
    </row>
    <row r="8" spans="1:14" s="83" customFormat="1" ht="15.75" x14ac:dyDescent="0.25">
      <c r="A8" s="15"/>
      <c r="B8" s="15" t="s">
        <v>27</v>
      </c>
      <c r="C8" s="15"/>
      <c r="D8" s="18">
        <v>15725</v>
      </c>
      <c r="E8" s="18">
        <v>16674</v>
      </c>
      <c r="F8" s="18">
        <v>17521</v>
      </c>
      <c r="G8" s="15"/>
      <c r="H8" s="15"/>
      <c r="I8" s="15"/>
      <c r="J8" s="15"/>
      <c r="K8" s="15"/>
      <c r="L8" s="15"/>
      <c r="M8" s="15"/>
      <c r="N8" s="15"/>
    </row>
    <row r="9" spans="1:14" s="83" customFormat="1" ht="15.75" x14ac:dyDescent="0.25">
      <c r="A9" s="15"/>
      <c r="B9" s="15" t="s">
        <v>3</v>
      </c>
      <c r="C9" s="15"/>
      <c r="D9" s="18">
        <v>742</v>
      </c>
      <c r="E9" s="18">
        <v>1065</v>
      </c>
      <c r="F9" s="18">
        <v>1291</v>
      </c>
      <c r="G9" s="15"/>
      <c r="H9" s="15"/>
      <c r="I9" s="15"/>
      <c r="J9" s="15"/>
      <c r="K9" s="15"/>
      <c r="L9" s="15"/>
      <c r="M9" s="15"/>
      <c r="N9" s="15"/>
    </row>
    <row r="10" spans="1:14" s="83" customFormat="1" ht="15.75" x14ac:dyDescent="0.25">
      <c r="A10" s="15"/>
      <c r="B10" s="15" t="s">
        <v>4</v>
      </c>
      <c r="C10" s="15"/>
      <c r="D10" s="43">
        <v>7907</v>
      </c>
      <c r="E10" s="43">
        <v>8541</v>
      </c>
      <c r="F10" s="43">
        <v>8963</v>
      </c>
      <c r="G10" s="15"/>
      <c r="H10" s="15"/>
      <c r="I10" s="15"/>
      <c r="J10" s="15"/>
      <c r="K10" s="15"/>
      <c r="L10" s="15"/>
      <c r="M10" s="15"/>
      <c r="N10" s="15"/>
    </row>
    <row r="11" spans="1:14" s="25" customFormat="1" ht="20.25" x14ac:dyDescent="0.3">
      <c r="A11" s="15"/>
      <c r="B11" s="15" t="s">
        <v>21</v>
      </c>
      <c r="C11" s="15"/>
      <c r="D11" s="43">
        <f>SUM(D7:D10)</f>
        <v>38054</v>
      </c>
      <c r="E11" s="43">
        <f>SUM(E7:E10)</f>
        <v>40900</v>
      </c>
      <c r="F11" s="43">
        <f>SUM(F7:F10)</f>
        <v>42658</v>
      </c>
      <c r="G11" s="15"/>
      <c r="H11" s="15"/>
      <c r="I11" s="15"/>
      <c r="J11" s="15"/>
      <c r="K11" s="15"/>
      <c r="L11" s="15"/>
      <c r="M11" s="15"/>
      <c r="N11" s="15"/>
    </row>
    <row r="12" spans="1:14" s="25" customFormat="1" ht="20.25" x14ac:dyDescent="0.3">
      <c r="A12" s="15"/>
      <c r="B12" s="14" t="s">
        <v>5</v>
      </c>
      <c r="C12" s="15"/>
      <c r="D12" s="19">
        <f>D5-D11</f>
        <v>2799</v>
      </c>
      <c r="E12" s="19">
        <f>E5-E11</f>
        <v>2124</v>
      </c>
      <c r="F12" s="19">
        <f>F5-F11</f>
        <v>927</v>
      </c>
      <c r="G12" s="15"/>
      <c r="H12" s="15"/>
      <c r="I12" s="15"/>
      <c r="J12" s="15"/>
      <c r="K12" s="15"/>
      <c r="L12" s="15"/>
      <c r="M12" s="15"/>
      <c r="N12" s="15"/>
    </row>
    <row r="13" spans="1:14" s="83" customFormat="1" ht="15.75" x14ac:dyDescent="0.25">
      <c r="A13" s="15"/>
      <c r="B13" s="15"/>
      <c r="C13" s="15"/>
      <c r="D13" s="18"/>
      <c r="E13" s="18"/>
      <c r="F13" s="18"/>
      <c r="G13" s="15"/>
      <c r="H13" s="15"/>
      <c r="I13" s="15"/>
      <c r="J13" s="15"/>
      <c r="K13" s="15"/>
      <c r="L13" s="15"/>
      <c r="M13" s="15"/>
      <c r="N13" s="15"/>
    </row>
    <row r="14" spans="1:14" s="83" customFormat="1" ht="15.75" x14ac:dyDescent="0.25">
      <c r="A14" s="15"/>
      <c r="B14" s="15" t="s">
        <v>37</v>
      </c>
      <c r="C14" s="15"/>
      <c r="D14" s="18">
        <v>65</v>
      </c>
      <c r="E14" s="18">
        <v>33</v>
      </c>
      <c r="F14" s="18">
        <v>21</v>
      </c>
      <c r="G14" s="15"/>
      <c r="H14" s="15"/>
      <c r="I14" s="15"/>
      <c r="J14" s="15"/>
      <c r="K14" s="15"/>
      <c r="L14" s="15"/>
      <c r="M14" s="15"/>
      <c r="N14" s="15"/>
    </row>
    <row r="15" spans="1:14" s="83" customFormat="1" ht="15.75" x14ac:dyDescent="0.25">
      <c r="A15" s="15"/>
      <c r="B15" s="15" t="s">
        <v>25</v>
      </c>
      <c r="C15" s="15"/>
      <c r="D15" s="18">
        <v>10</v>
      </c>
      <c r="E15" s="18">
        <v>3</v>
      </c>
      <c r="F15" s="18">
        <v>69</v>
      </c>
      <c r="G15" s="15"/>
      <c r="H15" s="15"/>
      <c r="I15" s="15"/>
      <c r="J15" s="15"/>
      <c r="K15" s="15"/>
      <c r="L15" s="15"/>
      <c r="M15" s="15"/>
      <c r="N15" s="15"/>
    </row>
    <row r="16" spans="1:14" s="25" customFormat="1" ht="20.25" x14ac:dyDescent="0.3">
      <c r="A16" s="15"/>
      <c r="B16" s="15" t="s">
        <v>19</v>
      </c>
      <c r="C16" s="15"/>
      <c r="D16" s="19">
        <f>D14-D15</f>
        <v>55</v>
      </c>
      <c r="E16" s="19">
        <f>E14-E15</f>
        <v>30</v>
      </c>
      <c r="F16" s="19">
        <f>F14-F15</f>
        <v>-48</v>
      </c>
      <c r="G16" s="15"/>
      <c r="H16" s="15"/>
      <c r="I16" s="15"/>
      <c r="J16" s="15"/>
      <c r="K16" s="15"/>
      <c r="L16" s="15"/>
      <c r="M16" s="15"/>
      <c r="N16" s="15"/>
    </row>
    <row r="17" spans="1:14" s="83" customFormat="1" ht="15.75" x14ac:dyDescent="0.25">
      <c r="A17" s="15"/>
      <c r="B17" s="15"/>
      <c r="C17" s="15"/>
      <c r="D17" s="18"/>
      <c r="E17" s="18"/>
      <c r="F17" s="18"/>
      <c r="G17" s="15"/>
      <c r="H17" s="15"/>
      <c r="I17" s="15"/>
      <c r="J17" s="15"/>
      <c r="K17" s="15"/>
      <c r="L17" s="15"/>
      <c r="M17" s="15"/>
      <c r="N17" s="15"/>
    </row>
    <row r="18" spans="1:14" s="83" customFormat="1" ht="15.75" x14ac:dyDescent="0.25">
      <c r="A18" s="15"/>
      <c r="B18" s="14" t="s">
        <v>24</v>
      </c>
      <c r="C18" s="15"/>
      <c r="D18" s="18">
        <f>D12+D16</f>
        <v>2854</v>
      </c>
      <c r="E18" s="18">
        <f>E12+E16</f>
        <v>2154</v>
      </c>
      <c r="F18" s="18">
        <f>F12+F16</f>
        <v>879</v>
      </c>
      <c r="G18" s="15"/>
      <c r="H18" s="15"/>
      <c r="I18" s="15"/>
      <c r="J18" s="15"/>
      <c r="K18" s="15"/>
      <c r="L18" s="15"/>
      <c r="M18" s="15"/>
      <c r="N18" s="15"/>
    </row>
    <row r="19" spans="1:14" s="83" customFormat="1" ht="15.75" x14ac:dyDescent="0.25">
      <c r="A19" s="15"/>
      <c r="B19" s="28"/>
      <c r="C19" s="15"/>
      <c r="D19" s="18"/>
      <c r="E19" s="18"/>
      <c r="F19" s="18"/>
      <c r="G19" s="15"/>
      <c r="H19" s="15"/>
      <c r="I19" s="15"/>
      <c r="J19" s="15"/>
      <c r="K19" s="15"/>
      <c r="L19" s="15"/>
      <c r="M19" s="15"/>
      <c r="N19" s="15"/>
    </row>
    <row r="20" spans="1:14" s="83" customFormat="1" ht="15.75" x14ac:dyDescent="0.25">
      <c r="A20" s="15"/>
      <c r="B20" s="15" t="s">
        <v>20</v>
      </c>
      <c r="C20" s="15"/>
      <c r="D20" s="18">
        <v>630</v>
      </c>
      <c r="E20" s="18">
        <v>475</v>
      </c>
      <c r="F20" s="18">
        <v>195</v>
      </c>
      <c r="G20" s="15"/>
      <c r="H20" s="15"/>
      <c r="I20" s="15"/>
      <c r="J20" s="15"/>
      <c r="K20" s="15"/>
      <c r="L20" s="15"/>
      <c r="M20" s="15"/>
      <c r="N20" s="15"/>
    </row>
    <row r="21" spans="1:14" s="83" customFormat="1" ht="15.75" x14ac:dyDescent="0.25">
      <c r="A21" s="15"/>
      <c r="B21" s="15"/>
      <c r="C21" s="15"/>
      <c r="D21" s="18"/>
      <c r="E21" s="18"/>
      <c r="F21" s="18"/>
      <c r="G21" s="15"/>
      <c r="H21" s="15"/>
      <c r="I21" s="15"/>
      <c r="J21" s="15"/>
      <c r="K21" s="15"/>
      <c r="L21" s="15"/>
      <c r="M21" s="15"/>
      <c r="N21" s="15"/>
    </row>
    <row r="22" spans="1:14" s="83" customFormat="1" ht="15.75" x14ac:dyDescent="0.25">
      <c r="A22" s="15"/>
      <c r="B22" s="14" t="s">
        <v>6</v>
      </c>
      <c r="C22" s="15"/>
      <c r="D22" s="43">
        <f>D18-D20</f>
        <v>2224</v>
      </c>
      <c r="E22" s="43">
        <f>E18-E20</f>
        <v>1679</v>
      </c>
      <c r="F22" s="43">
        <f>F18-F20</f>
        <v>684</v>
      </c>
      <c r="G22" s="15"/>
      <c r="H22" s="15"/>
      <c r="I22" s="15"/>
      <c r="J22" s="15"/>
      <c r="K22" s="15"/>
      <c r="L22" s="15"/>
      <c r="M22" s="15"/>
      <c r="N22" s="15"/>
    </row>
    <row r="23" spans="1:14" s="83" customFormat="1" ht="15.75" x14ac:dyDescent="0.25">
      <c r="A23" s="15"/>
      <c r="D23" s="84"/>
      <c r="E23" s="84"/>
      <c r="F23" s="84"/>
      <c r="G23" s="46"/>
    </row>
    <row r="24" spans="1:14" s="83" customFormat="1" ht="15.75" x14ac:dyDescent="0.25">
      <c r="A24" s="15"/>
      <c r="B24" s="28" t="s">
        <v>7</v>
      </c>
      <c r="C24" s="15"/>
      <c r="D24" s="18"/>
      <c r="E24" s="18"/>
      <c r="F24" s="18"/>
      <c r="G24" s="15"/>
    </row>
    <row r="25" spans="1:14" s="83" customFormat="1" ht="15.75" x14ac:dyDescent="0.25">
      <c r="A25" s="15"/>
      <c r="B25" s="28" t="s">
        <v>8</v>
      </c>
      <c r="C25" s="15"/>
      <c r="D25" s="18"/>
      <c r="E25" s="18"/>
      <c r="F25" s="18"/>
      <c r="G25" s="15"/>
    </row>
    <row r="26" spans="1:14" s="83" customFormat="1" ht="15.75" x14ac:dyDescent="0.25">
      <c r="A26" s="15"/>
      <c r="B26" s="15" t="s">
        <v>9</v>
      </c>
      <c r="C26" s="15"/>
      <c r="D26" s="18">
        <v>2000</v>
      </c>
      <c r="E26" s="18">
        <v>1500</v>
      </c>
      <c r="F26" s="18">
        <v>500</v>
      </c>
      <c r="G26" s="15"/>
      <c r="H26" s="15"/>
      <c r="I26" s="15"/>
      <c r="J26" s="15"/>
      <c r="K26" s="15"/>
      <c r="L26" s="15"/>
      <c r="M26" s="15"/>
      <c r="N26" s="15"/>
    </row>
    <row r="27" spans="1:14" s="83" customFormat="1" ht="15.75" x14ac:dyDescent="0.25">
      <c r="A27" s="15"/>
      <c r="B27" s="15" t="s">
        <v>298</v>
      </c>
      <c r="C27" s="15"/>
      <c r="D27" s="18">
        <f>D28-D26</f>
        <v>224</v>
      </c>
      <c r="E27" s="18">
        <f t="shared" ref="E27:F27" si="0">E28-E26</f>
        <v>179</v>
      </c>
      <c r="F27" s="18">
        <f t="shared" si="0"/>
        <v>184</v>
      </c>
      <c r="G27" s="15"/>
      <c r="H27" s="15"/>
      <c r="I27" s="15"/>
      <c r="J27" s="15"/>
      <c r="K27" s="15"/>
      <c r="L27" s="15"/>
      <c r="M27" s="15"/>
      <c r="N27" s="15"/>
    </row>
    <row r="28" spans="1:14" s="25" customFormat="1" ht="20.25" x14ac:dyDescent="0.3">
      <c r="A28" s="15"/>
      <c r="B28" s="15" t="s">
        <v>10</v>
      </c>
      <c r="C28" s="15"/>
      <c r="D28" s="19">
        <f>D22</f>
        <v>2224</v>
      </c>
      <c r="E28" s="19">
        <f t="shared" ref="E28:F28" si="1">E22</f>
        <v>1679</v>
      </c>
      <c r="F28" s="19">
        <f t="shared" si="1"/>
        <v>684</v>
      </c>
      <c r="G28" s="15"/>
      <c r="H28" s="15"/>
      <c r="I28" s="15"/>
      <c r="J28" s="15"/>
      <c r="K28" s="15"/>
      <c r="L28" s="15"/>
      <c r="M28" s="15"/>
      <c r="N28" s="15"/>
    </row>
    <row r="29" spans="1:14" s="83" customFormat="1" ht="15.75" x14ac:dyDescent="0.25">
      <c r="A29" s="15"/>
      <c r="D29" s="84"/>
      <c r="E29" s="84"/>
    </row>
    <row r="30" spans="1:14" s="83" customFormat="1" ht="15.75" x14ac:dyDescent="0.25">
      <c r="A30" s="15"/>
      <c r="D30" s="84"/>
      <c r="E30" s="84"/>
    </row>
    <row r="31" spans="1:14" s="14" customFormat="1" ht="15.75" x14ac:dyDescent="0.25">
      <c r="B31" s="14" t="s">
        <v>38</v>
      </c>
      <c r="D31" s="29" t="s">
        <v>99</v>
      </c>
      <c r="E31" s="29" t="s">
        <v>39</v>
      </c>
      <c r="F31" s="16" t="s">
        <v>40</v>
      </c>
    </row>
    <row r="32" spans="1:14" ht="15" x14ac:dyDescent="0.25">
      <c r="B32" s="82" t="s">
        <v>11</v>
      </c>
      <c r="C32" s="83"/>
      <c r="D32" s="84"/>
      <c r="E32" s="84"/>
    </row>
    <row r="33" spans="2:7" s="86" customFormat="1" ht="15.75" x14ac:dyDescent="0.25">
      <c r="B33" s="15" t="s">
        <v>12</v>
      </c>
      <c r="C33" s="15"/>
      <c r="D33" s="18">
        <v>2117</v>
      </c>
      <c r="E33" s="18">
        <v>2338</v>
      </c>
      <c r="F33" s="18">
        <v>2890</v>
      </c>
      <c r="G33" s="15"/>
    </row>
    <row r="34" spans="2:7" s="86" customFormat="1" ht="15.75" x14ac:dyDescent="0.25">
      <c r="B34" s="15" t="s">
        <v>47</v>
      </c>
      <c r="C34" s="15"/>
      <c r="D34" s="18">
        <v>1691</v>
      </c>
      <c r="E34" s="18">
        <v>1442</v>
      </c>
      <c r="F34" s="18">
        <v>1144</v>
      </c>
      <c r="G34" s="15"/>
    </row>
    <row r="35" spans="2:7" s="86" customFormat="1" ht="15.75" x14ac:dyDescent="0.25">
      <c r="B35" s="15" t="s">
        <v>43</v>
      </c>
      <c r="C35" s="15"/>
      <c r="D35" s="18">
        <v>4249</v>
      </c>
      <c r="E35" s="18">
        <v>4455</v>
      </c>
      <c r="F35" s="18">
        <v>3355</v>
      </c>
      <c r="G35" s="15"/>
    </row>
    <row r="36" spans="2:7" s="25" customFormat="1" ht="20.25" x14ac:dyDescent="0.3">
      <c r="B36" s="14" t="s">
        <v>31</v>
      </c>
      <c r="C36" s="15"/>
      <c r="D36" s="19">
        <f>SUM(D33:D35)</f>
        <v>8057</v>
      </c>
      <c r="E36" s="19">
        <f>SUM(E33:E35)</f>
        <v>8235</v>
      </c>
      <c r="F36" s="19">
        <f>SUM(F33:F35)</f>
        <v>7389</v>
      </c>
      <c r="G36" s="83"/>
    </row>
    <row r="37" spans="2:7" ht="15" x14ac:dyDescent="0.25">
      <c r="B37" s="83"/>
      <c r="C37" s="83"/>
      <c r="D37" s="84"/>
      <c r="E37" s="84"/>
      <c r="F37" s="84"/>
    </row>
    <row r="38" spans="2:7" ht="15" x14ac:dyDescent="0.25">
      <c r="B38" s="82" t="s">
        <v>14</v>
      </c>
      <c r="C38" s="83"/>
      <c r="D38" s="84"/>
      <c r="E38" s="84"/>
      <c r="F38" s="84"/>
    </row>
    <row r="39" spans="2:7" s="86" customFormat="1" ht="15.75" x14ac:dyDescent="0.25">
      <c r="B39" s="15" t="s">
        <v>15</v>
      </c>
      <c r="C39" s="15"/>
      <c r="D39" s="18">
        <f>E39+D27</f>
        <v>1564</v>
      </c>
      <c r="E39" s="18">
        <f>F39+E27</f>
        <v>1340</v>
      </c>
      <c r="F39" s="18">
        <v>1161</v>
      </c>
      <c r="G39" s="15"/>
    </row>
    <row r="40" spans="2:7" ht="15.75" x14ac:dyDescent="0.25">
      <c r="B40" s="83" t="s">
        <v>22</v>
      </c>
      <c r="C40" s="83"/>
      <c r="D40" s="18">
        <v>144</v>
      </c>
      <c r="E40" s="18">
        <v>16</v>
      </c>
      <c r="F40" s="18">
        <v>192</v>
      </c>
    </row>
    <row r="41" spans="2:7" ht="15.75" x14ac:dyDescent="0.25">
      <c r="B41" s="83" t="s">
        <v>17</v>
      </c>
      <c r="C41" s="83"/>
      <c r="D41" s="18">
        <v>63</v>
      </c>
      <c r="E41" s="18">
        <v>207</v>
      </c>
      <c r="F41" s="18">
        <v>450</v>
      </c>
      <c r="G41" s="83"/>
    </row>
    <row r="42" spans="2:7" ht="15.75" x14ac:dyDescent="0.25">
      <c r="B42" s="83" t="s">
        <v>23</v>
      </c>
      <c r="C42" s="83"/>
      <c r="D42" s="18">
        <v>2000</v>
      </c>
      <c r="E42" s="18">
        <v>1500</v>
      </c>
      <c r="F42" s="18">
        <v>500</v>
      </c>
      <c r="G42" s="83"/>
    </row>
    <row r="43" spans="2:7" ht="15.75" x14ac:dyDescent="0.25">
      <c r="B43" s="83" t="s">
        <v>329</v>
      </c>
      <c r="C43" s="83"/>
      <c r="D43" s="18">
        <v>4286</v>
      </c>
      <c r="E43" s="18">
        <v>5172</v>
      </c>
      <c r="F43" s="18">
        <v>5086</v>
      </c>
      <c r="G43" s="83"/>
    </row>
    <row r="44" spans="2:7" s="87" customFormat="1" ht="20.25" x14ac:dyDescent="0.3">
      <c r="B44" s="15" t="s">
        <v>33</v>
      </c>
      <c r="C44" s="14"/>
      <c r="D44" s="19">
        <f>SUM(D39:D43)</f>
        <v>8057</v>
      </c>
      <c r="E44" s="19">
        <f>SUM(E39:E43)</f>
        <v>8235</v>
      </c>
      <c r="F44" s="19">
        <f>SUM(F39:F43)</f>
        <v>7389</v>
      </c>
      <c r="G44" s="14"/>
    </row>
    <row r="45" spans="2:7" s="83" customFormat="1" ht="15" x14ac:dyDescent="0.25"/>
    <row r="46" spans="2:7" s="86" customFormat="1" ht="15" x14ac:dyDescent="0.2"/>
    <row r="47" spans="2:7" s="86" customFormat="1" ht="15" x14ac:dyDescent="0.2"/>
    <row r="48" spans="2:7" s="15" customFormat="1" ht="15.75" x14ac:dyDescent="0.25"/>
    <row r="49" spans="1:7" s="15" customFormat="1" ht="15.75" x14ac:dyDescent="0.25">
      <c r="A49" s="15" t="s">
        <v>44</v>
      </c>
      <c r="B49" s="15" t="s">
        <v>332</v>
      </c>
    </row>
    <row r="50" spans="1:7" s="15" customFormat="1" ht="15.75" x14ac:dyDescent="0.25"/>
    <row r="51" spans="1:7" s="15" customFormat="1" ht="15.75" x14ac:dyDescent="0.25">
      <c r="D51" s="16" t="s">
        <v>99</v>
      </c>
      <c r="E51" s="16" t="s">
        <v>39</v>
      </c>
      <c r="F51" s="16" t="s">
        <v>40</v>
      </c>
    </row>
    <row r="52" spans="1:7" s="15" customFormat="1" ht="15.75" x14ac:dyDescent="0.25">
      <c r="B52" s="15" t="s">
        <v>58</v>
      </c>
      <c r="D52" s="18">
        <f>D18</f>
        <v>2854</v>
      </c>
      <c r="E52" s="18">
        <f>E18</f>
        <v>2154</v>
      </c>
      <c r="F52" s="18">
        <f>F18</f>
        <v>879</v>
      </c>
      <c r="G52" s="18"/>
    </row>
    <row r="53" spans="1:7" s="15" customFormat="1" ht="15.75" x14ac:dyDescent="0.25">
      <c r="B53" s="15" t="s">
        <v>25</v>
      </c>
      <c r="D53" s="43">
        <f>D15</f>
        <v>10</v>
      </c>
      <c r="E53" s="43">
        <f>E15</f>
        <v>3</v>
      </c>
      <c r="F53" s="43">
        <f>F15</f>
        <v>69</v>
      </c>
    </row>
    <row r="54" spans="1:7" s="25" customFormat="1" ht="20.25" x14ac:dyDescent="0.3">
      <c r="B54" s="15" t="s">
        <v>333</v>
      </c>
      <c r="C54" s="15"/>
      <c r="D54" s="19">
        <f>SUM(D52:D53)</f>
        <v>2864</v>
      </c>
      <c r="E54" s="19">
        <f t="shared" ref="E54:F54" si="2">SUM(E52:E53)</f>
        <v>2157</v>
      </c>
      <c r="F54" s="19">
        <f t="shared" si="2"/>
        <v>948</v>
      </c>
      <c r="G54" s="15"/>
    </row>
    <row r="55" spans="1:7" s="15" customFormat="1" ht="15.75" x14ac:dyDescent="0.25"/>
    <row r="56" spans="1:7" s="15" customFormat="1" ht="15.75" x14ac:dyDescent="0.25">
      <c r="B56" s="15" t="s">
        <v>62</v>
      </c>
      <c r="D56" s="18">
        <f>(D36+E36)/2</f>
        <v>8146</v>
      </c>
      <c r="E56" s="18">
        <f>(E36+F36)/2</f>
        <v>7812</v>
      </c>
      <c r="F56" s="18">
        <v>7000</v>
      </c>
    </row>
    <row r="57" spans="1:7" s="15" customFormat="1" ht="15.75" x14ac:dyDescent="0.25"/>
    <row r="58" spans="1:7" s="15" customFormat="1" ht="15.75" x14ac:dyDescent="0.25">
      <c r="B58" s="15" t="s">
        <v>283</v>
      </c>
      <c r="D58" s="88">
        <f>D54/D56</f>
        <v>0.35158359931254601</v>
      </c>
      <c r="E58" s="89">
        <f t="shared" ref="E58" si="3">E54/E56</f>
        <v>0.27611367127496161</v>
      </c>
      <c r="F58" s="89">
        <f>F54/F56</f>
        <v>0.13542857142857143</v>
      </c>
    </row>
    <row r="59" spans="1:7" s="15" customFormat="1" ht="15.75" x14ac:dyDescent="0.25"/>
    <row r="60" spans="1:7" s="15" customFormat="1" ht="15.75" x14ac:dyDescent="0.25"/>
    <row r="61" spans="1:7" s="15" customFormat="1" ht="15.75" x14ac:dyDescent="0.25">
      <c r="B61" s="15" t="s">
        <v>334</v>
      </c>
      <c r="D61" s="18">
        <f>D52</f>
        <v>2854</v>
      </c>
      <c r="E61" s="18">
        <f t="shared" ref="E61:F61" si="4">E52</f>
        <v>2154</v>
      </c>
      <c r="F61" s="18">
        <f t="shared" si="4"/>
        <v>879</v>
      </c>
    </row>
    <row r="62" spans="1:7" s="15" customFormat="1" ht="15.75" x14ac:dyDescent="0.25"/>
    <row r="63" spans="1:7" s="15" customFormat="1" ht="15.75" x14ac:dyDescent="0.25">
      <c r="B63" s="15" t="s">
        <v>63</v>
      </c>
      <c r="D63" s="18">
        <f>(D39+E39)/2</f>
        <v>1452</v>
      </c>
      <c r="E63" s="18">
        <f>(E39+F39)/2</f>
        <v>1250.5</v>
      </c>
      <c r="F63" s="18">
        <v>1105</v>
      </c>
    </row>
    <row r="64" spans="1:7" s="15" customFormat="1" ht="15.75" x14ac:dyDescent="0.25"/>
    <row r="65" spans="2:6" s="15" customFormat="1" ht="15.75" x14ac:dyDescent="0.25">
      <c r="B65" s="15" t="s">
        <v>335</v>
      </c>
      <c r="D65" s="90">
        <f>D61/D63</f>
        <v>1.9655647382920109</v>
      </c>
      <c r="E65" s="90">
        <f t="shared" ref="E65:F65" si="5">E61/E63</f>
        <v>1.7225109956017592</v>
      </c>
      <c r="F65" s="91">
        <f t="shared" si="5"/>
        <v>0.7954751131221719</v>
      </c>
    </row>
    <row r="66" spans="2:6" s="15" customFormat="1" ht="15.75" x14ac:dyDescent="0.25"/>
    <row r="67" spans="2:6" s="15" customFormat="1" ht="15.75" x14ac:dyDescent="0.25">
      <c r="B67" s="15" t="s">
        <v>284</v>
      </c>
    </row>
    <row r="68" spans="2:6" s="15" customFormat="1" ht="15.75" x14ac:dyDescent="0.25">
      <c r="B68" s="15" t="s">
        <v>400</v>
      </c>
    </row>
    <row r="69" spans="2:6" s="15" customFormat="1" ht="15.75" x14ac:dyDescent="0.25">
      <c r="B69" s="15" t="s">
        <v>336</v>
      </c>
    </row>
    <row r="70" spans="2:6" s="15" customFormat="1" ht="15.75" x14ac:dyDescent="0.25">
      <c r="B70" s="15" t="s">
        <v>337</v>
      </c>
    </row>
    <row r="71" spans="2:6" s="15" customFormat="1" ht="15.75" x14ac:dyDescent="0.25">
      <c r="B71" s="15" t="s">
        <v>285</v>
      </c>
    </row>
    <row r="72" spans="2:6" s="15" customFormat="1" ht="15.75" x14ac:dyDescent="0.25">
      <c r="B72" s="15" t="s">
        <v>315</v>
      </c>
    </row>
    <row r="73" spans="2:6" s="15" customFormat="1" ht="15.75" x14ac:dyDescent="0.25"/>
    <row r="74" spans="2:6" s="15" customFormat="1" ht="15.75" x14ac:dyDescent="0.25">
      <c r="B74" s="15" t="s">
        <v>286</v>
      </c>
    </row>
    <row r="75" spans="2:6" s="15" customFormat="1" ht="15.75" x14ac:dyDescent="0.25">
      <c r="B75" s="15" t="s">
        <v>287</v>
      </c>
    </row>
    <row r="76" spans="2:6" s="15" customFormat="1" ht="15.75" x14ac:dyDescent="0.25">
      <c r="B76" s="15" t="s">
        <v>288</v>
      </c>
    </row>
    <row r="77" spans="2:6" s="15" customFormat="1" ht="15.75" x14ac:dyDescent="0.25"/>
    <row r="78" spans="2:6" s="15" customFormat="1" ht="15.75" x14ac:dyDescent="0.25">
      <c r="B78" s="15" t="s">
        <v>289</v>
      </c>
    </row>
    <row r="79" spans="2:6" s="15" customFormat="1" ht="15.75" x14ac:dyDescent="0.25"/>
    <row r="80" spans="2:6" s="15" customFormat="1" ht="15.75" x14ac:dyDescent="0.25">
      <c r="B80" s="15" t="s">
        <v>68</v>
      </c>
      <c r="D80" s="90">
        <f>D54/D5</f>
        <v>7.0105010647932828E-2</v>
      </c>
      <c r="E80" s="90">
        <f>E54/E5</f>
        <v>5.013480847898847E-2</v>
      </c>
      <c r="F80" s="90">
        <f>F54/F5</f>
        <v>2.1750602271423655E-2</v>
      </c>
    </row>
    <row r="81" spans="2:6" s="15" customFormat="1" ht="15.75" x14ac:dyDescent="0.25">
      <c r="B81" s="15" t="s">
        <v>69</v>
      </c>
      <c r="D81" s="27">
        <f>D5/D56</f>
        <v>5.0150994353056717</v>
      </c>
      <c r="E81" s="27">
        <f>E5/E56</f>
        <v>5.5074244751664105</v>
      </c>
      <c r="F81" s="27">
        <f>F5/F56</f>
        <v>6.2264285714285714</v>
      </c>
    </row>
    <row r="82" spans="2:6" s="15" customFormat="1" ht="15.75" x14ac:dyDescent="0.25"/>
    <row r="83" spans="2:6" s="15" customFormat="1" ht="15.75" x14ac:dyDescent="0.25">
      <c r="B83" s="15" t="s">
        <v>330</v>
      </c>
    </row>
    <row r="84" spans="2:6" s="15" customFormat="1" ht="15.75" x14ac:dyDescent="0.25">
      <c r="B84" s="15" t="s">
        <v>331</v>
      </c>
    </row>
    <row r="85" spans="2:6" s="15" customFormat="1" ht="15.75" x14ac:dyDescent="0.25">
      <c r="B85" s="15" t="s">
        <v>290</v>
      </c>
    </row>
    <row r="86" spans="2:6" s="15" customFormat="1" ht="15.75" x14ac:dyDescent="0.25"/>
    <row r="87" spans="2:6" s="15" customFormat="1" ht="15.75" x14ac:dyDescent="0.25">
      <c r="B87" s="15" t="s">
        <v>338</v>
      </c>
    </row>
    <row r="88" spans="2:6" s="15" customFormat="1" ht="15.75" x14ac:dyDescent="0.25"/>
    <row r="89" spans="2:6" s="15" customFormat="1" ht="15.75" x14ac:dyDescent="0.25">
      <c r="B89" s="15" t="s">
        <v>291</v>
      </c>
    </row>
    <row r="90" spans="2:6" s="15" customFormat="1" ht="15.75" x14ac:dyDescent="0.25"/>
    <row r="91" spans="2:6" s="15" customFormat="1" ht="15.75" x14ac:dyDescent="0.25">
      <c r="D91" s="16" t="s">
        <v>99</v>
      </c>
      <c r="E91" s="16" t="s">
        <v>39</v>
      </c>
      <c r="F91" s="16" t="s">
        <v>40</v>
      </c>
    </row>
    <row r="92" spans="2:6" s="15" customFormat="1" ht="15.75" x14ac:dyDescent="0.25">
      <c r="B92" s="15" t="s">
        <v>18</v>
      </c>
      <c r="D92" s="88">
        <f>D5/$D$5</f>
        <v>1</v>
      </c>
      <c r="E92" s="88">
        <f>E5/$E$5</f>
        <v>1</v>
      </c>
      <c r="F92" s="88">
        <f>F5/$F$5</f>
        <v>1</v>
      </c>
    </row>
    <row r="93" spans="2:6" s="15" customFormat="1" ht="15.75" x14ac:dyDescent="0.25">
      <c r="B93" s="15" t="s">
        <v>2</v>
      </c>
      <c r="D93" s="90">
        <f t="shared" ref="D93:D98" si="6">D7/$D$5</f>
        <v>0.33485912907252835</v>
      </c>
      <c r="E93" s="90">
        <f t="shared" ref="E93:E98" si="7">E7/$E$5</f>
        <v>0.33981033841576797</v>
      </c>
      <c r="F93" s="90">
        <f t="shared" ref="F93:F98" si="8">F7/$F$5</f>
        <v>0.34147068945738213</v>
      </c>
    </row>
    <row r="94" spans="2:6" s="15" customFormat="1" ht="15.75" x14ac:dyDescent="0.25">
      <c r="B94" s="15" t="s">
        <v>27</v>
      </c>
      <c r="D94" s="90">
        <f t="shared" si="6"/>
        <v>0.38491665238782952</v>
      </c>
      <c r="E94" s="90">
        <f t="shared" si="7"/>
        <v>0.3875511342506508</v>
      </c>
      <c r="F94" s="90">
        <f t="shared" si="8"/>
        <v>0.40199609957554205</v>
      </c>
    </row>
    <row r="95" spans="2:6" s="15" customFormat="1" ht="15.75" x14ac:dyDescent="0.25">
      <c r="B95" s="15" t="s">
        <v>3</v>
      </c>
      <c r="D95" s="90">
        <f t="shared" si="6"/>
        <v>1.8162680831273099E-2</v>
      </c>
      <c r="E95" s="90">
        <f t="shared" si="7"/>
        <v>2.4753625883227964E-2</v>
      </c>
      <c r="F95" s="90">
        <f t="shared" si="8"/>
        <v>2.9620282207181371E-2</v>
      </c>
    </row>
    <row r="96" spans="2:6" s="15" customFormat="1" ht="15.75" x14ac:dyDescent="0.25">
      <c r="B96" s="15" t="s">
        <v>4</v>
      </c>
      <c r="D96" s="90">
        <f t="shared" si="6"/>
        <v>0.19354759748366093</v>
      </c>
      <c r="E96" s="90">
        <f t="shared" si="7"/>
        <v>0.19851710673112682</v>
      </c>
      <c r="F96" s="90">
        <f t="shared" si="8"/>
        <v>0.20564414362739475</v>
      </c>
    </row>
    <row r="97" spans="1:7" s="25" customFormat="1" ht="20.25" x14ac:dyDescent="0.3">
      <c r="B97" s="15" t="s">
        <v>21</v>
      </c>
      <c r="C97" s="15"/>
      <c r="D97" s="92">
        <f t="shared" si="6"/>
        <v>0.93148605977529186</v>
      </c>
      <c r="E97" s="92">
        <f t="shared" si="7"/>
        <v>0.95063220528077352</v>
      </c>
      <c r="F97" s="92">
        <f t="shared" si="8"/>
        <v>0.97873121486750025</v>
      </c>
      <c r="G97" s="15"/>
    </row>
    <row r="98" spans="1:7" s="25" customFormat="1" ht="20.25" x14ac:dyDescent="0.3">
      <c r="B98" s="14" t="s">
        <v>5</v>
      </c>
      <c r="C98" s="15"/>
      <c r="D98" s="92">
        <f t="shared" si="6"/>
        <v>6.8513940224708095E-2</v>
      </c>
      <c r="E98" s="92">
        <f t="shared" si="7"/>
        <v>4.9367794719226477E-2</v>
      </c>
      <c r="F98" s="92">
        <f t="shared" si="8"/>
        <v>2.1268785132499714E-2</v>
      </c>
      <c r="G98" s="15"/>
    </row>
    <row r="99" spans="1:7" s="15" customFormat="1" ht="15.75" x14ac:dyDescent="0.25"/>
    <row r="100" spans="1:7" s="15" customFormat="1" ht="15.75" x14ac:dyDescent="0.25">
      <c r="B100" s="15" t="s">
        <v>339</v>
      </c>
    </row>
    <row r="101" spans="1:7" s="15" customFormat="1" ht="15.75" x14ac:dyDescent="0.25">
      <c r="B101" s="15" t="s">
        <v>316</v>
      </c>
    </row>
    <row r="102" spans="1:7" s="15" customFormat="1" ht="15.75" x14ac:dyDescent="0.25">
      <c r="B102" s="15" t="s">
        <v>340</v>
      </c>
    </row>
    <row r="103" spans="1:7" s="15" customFormat="1" ht="15.75" x14ac:dyDescent="0.25">
      <c r="B103" s="15" t="s">
        <v>292</v>
      </c>
    </row>
    <row r="104" spans="1:7" s="15" customFormat="1" ht="15.75" x14ac:dyDescent="0.25">
      <c r="B104" s="15" t="s">
        <v>293</v>
      </c>
    </row>
    <row r="105" spans="1:7" s="15" customFormat="1" ht="15.75" x14ac:dyDescent="0.25">
      <c r="B105" s="15" t="s">
        <v>294</v>
      </c>
    </row>
    <row r="106" spans="1:7" s="15" customFormat="1" ht="15.75" x14ac:dyDescent="0.25">
      <c r="B106" s="15" t="s">
        <v>295</v>
      </c>
    </row>
    <row r="107" spans="1:7" s="15" customFormat="1" ht="15.75" x14ac:dyDescent="0.25">
      <c r="B107" s="15" t="s">
        <v>296</v>
      </c>
    </row>
    <row r="108" spans="1:7" s="15" customFormat="1" ht="15.75" x14ac:dyDescent="0.25">
      <c r="B108" s="15" t="s">
        <v>297</v>
      </c>
    </row>
    <row r="109" spans="1:7" s="15" customFormat="1" ht="15.75" x14ac:dyDescent="0.25"/>
    <row r="110" spans="1:7" s="15" customFormat="1" ht="15.75" x14ac:dyDescent="0.25">
      <c r="A110" s="15" t="s">
        <v>46</v>
      </c>
      <c r="B110" s="15" t="s">
        <v>401</v>
      </c>
    </row>
    <row r="111" spans="1:7" s="15" customFormat="1" ht="15.75" x14ac:dyDescent="0.25">
      <c r="B111" s="15" t="s">
        <v>341</v>
      </c>
    </row>
    <row r="112" spans="1:7" s="15" customFormat="1" ht="15.75" x14ac:dyDescent="0.25">
      <c r="B112" s="15" t="s">
        <v>342</v>
      </c>
    </row>
    <row r="113" spans="2:6" s="15" customFormat="1" ht="15.75" x14ac:dyDescent="0.25">
      <c r="B113" s="15" t="s">
        <v>343</v>
      </c>
    </row>
    <row r="114" spans="2:6" s="15" customFormat="1" ht="15.75" x14ac:dyDescent="0.25">
      <c r="B114" s="15" t="s">
        <v>344</v>
      </c>
    </row>
    <row r="115" spans="2:6" s="15" customFormat="1" ht="15.75" x14ac:dyDescent="0.25"/>
    <row r="116" spans="2:6" s="15" customFormat="1" ht="15.75" x14ac:dyDescent="0.25">
      <c r="B116" s="15" t="s">
        <v>345</v>
      </c>
    </row>
    <row r="117" spans="2:6" s="15" customFormat="1" ht="15.75" x14ac:dyDescent="0.25"/>
    <row r="118" spans="2:6" s="15" customFormat="1" ht="15.75" x14ac:dyDescent="0.25">
      <c r="B118" s="15" t="s">
        <v>346</v>
      </c>
      <c r="F118" s="40">
        <f>D61/2542</f>
        <v>1.1227380015735642</v>
      </c>
    </row>
    <row r="119" spans="2:6" s="15" customFormat="1" ht="15.75" x14ac:dyDescent="0.25"/>
    <row r="120" spans="2:6" s="15" customFormat="1" ht="15.75" x14ac:dyDescent="0.25">
      <c r="B120" s="15" t="s">
        <v>347</v>
      </c>
    </row>
    <row r="121" spans="2:6" s="15" customFormat="1" ht="15.75" x14ac:dyDescent="0.25">
      <c r="B121" s="15" t="s">
        <v>348</v>
      </c>
    </row>
    <row r="122" spans="2:6" s="15" customFormat="1" ht="15.75" x14ac:dyDescent="0.25"/>
    <row r="123" spans="2:6" s="15" customFormat="1" ht="15.75" x14ac:dyDescent="0.25">
      <c r="B123" s="15" t="s">
        <v>349</v>
      </c>
    </row>
    <row r="124" spans="2:6" s="15" customFormat="1" ht="15.75" x14ac:dyDescent="0.25">
      <c r="B124" s="15" t="s">
        <v>350</v>
      </c>
    </row>
    <row r="125" spans="2:6" s="15" customFormat="1" ht="15.75" x14ac:dyDescent="0.25">
      <c r="B125" s="15" t="s">
        <v>351</v>
      </c>
    </row>
    <row r="126" spans="2:6" s="15" customFormat="1" ht="15.75" x14ac:dyDescent="0.25">
      <c r="B126" s="15" t="s">
        <v>352</v>
      </c>
    </row>
    <row r="127" spans="2:6" s="15" customFormat="1" ht="15.75" x14ac:dyDescent="0.25">
      <c r="B127" s="15" t="s">
        <v>353</v>
      </c>
    </row>
    <row r="128" spans="2:6" s="15" customFormat="1" ht="15.75" x14ac:dyDescent="0.25"/>
    <row r="129" spans="1:6" s="15" customFormat="1" ht="15.75" x14ac:dyDescent="0.25">
      <c r="A129" s="15" t="s">
        <v>65</v>
      </c>
      <c r="B129" s="15" t="s">
        <v>13</v>
      </c>
      <c r="D129" s="18">
        <f>D34+D35</f>
        <v>5940</v>
      </c>
      <c r="E129" s="18">
        <f>E34+E35</f>
        <v>5897</v>
      </c>
      <c r="F129" s="18">
        <f>F34+F35</f>
        <v>4499</v>
      </c>
    </row>
    <row r="130" spans="1:6" s="15" customFormat="1" ht="15.75" x14ac:dyDescent="0.25">
      <c r="B130" s="15" t="s">
        <v>43</v>
      </c>
      <c r="D130" s="18">
        <f>D35</f>
        <v>4249</v>
      </c>
      <c r="E130" s="18">
        <f>E35</f>
        <v>4455</v>
      </c>
      <c r="F130" s="18">
        <f>F35</f>
        <v>3355</v>
      </c>
    </row>
    <row r="131" spans="1:6" s="15" customFormat="1" ht="15.75" x14ac:dyDescent="0.25">
      <c r="B131" s="15" t="s">
        <v>32</v>
      </c>
      <c r="D131" s="18">
        <f>D42+D43</f>
        <v>6286</v>
      </c>
      <c r="E131" s="18">
        <f>E42+E43</f>
        <v>6672</v>
      </c>
      <c r="F131" s="18">
        <f>F42+F43</f>
        <v>5586</v>
      </c>
    </row>
    <row r="132" spans="1:6" s="15" customFormat="1" ht="15.75" x14ac:dyDescent="0.25"/>
    <row r="133" spans="1:6" s="15" customFormat="1" ht="15.75" x14ac:dyDescent="0.25">
      <c r="B133" s="15" t="s">
        <v>49</v>
      </c>
      <c r="D133" s="27">
        <f>D129/D131</f>
        <v>0.94495704740693609</v>
      </c>
      <c r="E133" s="27">
        <f t="shared" ref="E133:F133" si="9">E129/E131</f>
        <v>0.88384292565947242</v>
      </c>
      <c r="F133" s="27">
        <f t="shared" si="9"/>
        <v>0.80540637307554597</v>
      </c>
    </row>
    <row r="134" spans="1:6" s="15" customFormat="1" ht="15.75" x14ac:dyDescent="0.25">
      <c r="B134" s="15" t="s">
        <v>50</v>
      </c>
      <c r="D134" s="27">
        <f>D130/D131</f>
        <v>0.67594654788418707</v>
      </c>
      <c r="E134" s="27">
        <f t="shared" ref="E134:F134" si="10">E130/E131</f>
        <v>0.66771582733812951</v>
      </c>
      <c r="F134" s="27">
        <f t="shared" si="10"/>
        <v>0.60060866451843897</v>
      </c>
    </row>
    <row r="135" spans="1:6" s="15" customFormat="1" ht="15.75" x14ac:dyDescent="0.25">
      <c r="B135" s="15" t="s">
        <v>45</v>
      </c>
      <c r="D135" s="18">
        <f>D129-D131</f>
        <v>-346</v>
      </c>
      <c r="E135" s="18">
        <f t="shared" ref="E135:F135" si="11">E129-E131</f>
        <v>-775</v>
      </c>
      <c r="F135" s="18">
        <f t="shared" si="11"/>
        <v>-1087</v>
      </c>
    </row>
    <row r="136" spans="1:6" s="15" customFormat="1" ht="15.75" x14ac:dyDescent="0.25"/>
    <row r="137" spans="1:6" s="15" customFormat="1" ht="15.75" x14ac:dyDescent="0.25">
      <c r="B137" s="15" t="s">
        <v>317</v>
      </c>
      <c r="D137" s="26">
        <f>D135/D4</f>
        <v>-8.4693902528578079E-3</v>
      </c>
      <c r="E137" s="26">
        <f>E135/E4</f>
        <v>-1.8013201933804388E-2</v>
      </c>
      <c r="F137" s="26">
        <f>F135/F4</f>
        <v>-2.4939772857634507E-2</v>
      </c>
    </row>
    <row r="138" spans="1:6" s="15" customFormat="1" ht="15.75" x14ac:dyDescent="0.25"/>
    <row r="139" spans="1:6" s="15" customFormat="1" ht="15.75" x14ac:dyDescent="0.25">
      <c r="B139" s="15" t="s">
        <v>51</v>
      </c>
      <c r="D139" s="18">
        <v>1749</v>
      </c>
      <c r="E139" s="18">
        <v>1523</v>
      </c>
    </row>
    <row r="140" spans="1:6" s="15" customFormat="1" ht="15.75" x14ac:dyDescent="0.25">
      <c r="B140" s="15" t="s">
        <v>318</v>
      </c>
    </row>
    <row r="141" spans="1:6" s="15" customFormat="1" ht="15.75" x14ac:dyDescent="0.25"/>
    <row r="142" spans="1:6" s="15" customFormat="1" ht="15.75" x14ac:dyDescent="0.25">
      <c r="B142" s="15" t="s">
        <v>319</v>
      </c>
      <c r="D142" s="26">
        <f>D139/D4</f>
        <v>4.2812033388000881E-2</v>
      </c>
      <c r="E142" s="26">
        <f>E139/E4</f>
        <v>3.5398847155076234E-2</v>
      </c>
    </row>
    <row r="143" spans="1:6" s="15" customFormat="1" ht="15.75" x14ac:dyDescent="0.25"/>
    <row r="144" spans="1:6" s="15" customFormat="1" ht="15.75" x14ac:dyDescent="0.25">
      <c r="B144" s="15" t="s">
        <v>320</v>
      </c>
    </row>
    <row r="145" spans="2:2" s="15" customFormat="1" ht="15.75" x14ac:dyDescent="0.25">
      <c r="B145" s="15" t="s">
        <v>354</v>
      </c>
    </row>
    <row r="146" spans="2:2" s="15" customFormat="1" ht="15.75" x14ac:dyDescent="0.25">
      <c r="B146" s="15" t="s">
        <v>321</v>
      </c>
    </row>
    <row r="147" spans="2:2" s="15" customFormat="1" ht="15.75" x14ac:dyDescent="0.25">
      <c r="B147" s="15" t="s">
        <v>355</v>
      </c>
    </row>
    <row r="148" spans="2:2" s="15" customFormat="1" ht="15.75" x14ac:dyDescent="0.25">
      <c r="B148" s="15" t="s">
        <v>356</v>
      </c>
    </row>
    <row r="149" spans="2:2" s="15" customFormat="1" ht="15.75" x14ac:dyDescent="0.25"/>
    <row r="150" spans="2:2" s="15" customFormat="1" ht="15.75" x14ac:dyDescent="0.25">
      <c r="B150" s="15" t="s">
        <v>357</v>
      </c>
    </row>
    <row r="151" spans="2:2" s="15" customFormat="1" ht="15.75" x14ac:dyDescent="0.25">
      <c r="B151" s="15" t="s">
        <v>358</v>
      </c>
    </row>
    <row r="152" spans="2:2" s="15" customFormat="1" ht="15.75" x14ac:dyDescent="0.25">
      <c r="B152" s="15" t="s">
        <v>359</v>
      </c>
    </row>
    <row r="153" spans="2:2" s="15" customFormat="1" ht="15.75" x14ac:dyDescent="0.25">
      <c r="B153" s="15" t="s">
        <v>360</v>
      </c>
    </row>
    <row r="154" spans="2:2" s="15" customFormat="1" ht="15.75" x14ac:dyDescent="0.25"/>
    <row r="155" spans="2:2" s="15" customFormat="1" ht="15.75" x14ac:dyDescent="0.25">
      <c r="B155" s="17" t="s">
        <v>361</v>
      </c>
    </row>
    <row r="156" spans="2:2" s="15" customFormat="1" ht="15.75" x14ac:dyDescent="0.25">
      <c r="B156" s="15" t="s">
        <v>362</v>
      </c>
    </row>
    <row r="157" spans="2:2" s="15" customFormat="1" ht="15.75" x14ac:dyDescent="0.25">
      <c r="B157" s="15" t="s">
        <v>363</v>
      </c>
    </row>
    <row r="158" spans="2:2" s="15" customFormat="1" ht="15.75" x14ac:dyDescent="0.25">
      <c r="B158" s="15" t="s">
        <v>364</v>
      </c>
    </row>
    <row r="159" spans="2:2" s="15" customFormat="1" ht="15.75" x14ac:dyDescent="0.25">
      <c r="B159" s="15" t="s">
        <v>365</v>
      </c>
    </row>
    <row r="160" spans="2:2" s="15" customFormat="1" ht="15.75" x14ac:dyDescent="0.25"/>
    <row r="161" spans="1:3" s="15" customFormat="1" ht="15.75" x14ac:dyDescent="0.25">
      <c r="A161" s="15" t="s">
        <v>67</v>
      </c>
      <c r="B161" s="15" t="s">
        <v>366</v>
      </c>
    </row>
    <row r="162" spans="1:3" s="15" customFormat="1" ht="15.75" x14ac:dyDescent="0.25">
      <c r="B162" s="15" t="s">
        <v>367</v>
      </c>
    </row>
    <row r="163" spans="1:3" s="15" customFormat="1" ht="15.75" x14ac:dyDescent="0.25">
      <c r="B163" s="15" t="s">
        <v>368</v>
      </c>
    </row>
    <row r="164" spans="1:3" s="15" customFormat="1" ht="15.75" x14ac:dyDescent="0.25">
      <c r="B164" s="15" t="s">
        <v>369</v>
      </c>
    </row>
    <row r="165" spans="1:3" s="15" customFormat="1" ht="15.75" x14ac:dyDescent="0.25">
      <c r="B165" s="15" t="s">
        <v>370</v>
      </c>
    </row>
    <row r="166" spans="1:3" s="15" customFormat="1" ht="15.75" x14ac:dyDescent="0.25">
      <c r="B166" s="15" t="s">
        <v>371</v>
      </c>
    </row>
    <row r="167" spans="1:3" s="15" customFormat="1" ht="15.75" x14ac:dyDescent="0.25">
      <c r="B167" s="15" t="s">
        <v>402</v>
      </c>
    </row>
    <row r="168" spans="1:3" s="15" customFormat="1" ht="15.75" x14ac:dyDescent="0.25"/>
    <row r="169" spans="1:3" s="15" customFormat="1" ht="15.75" x14ac:dyDescent="0.25">
      <c r="A169" s="15" t="s">
        <v>150</v>
      </c>
      <c r="B169" s="45">
        <v>1</v>
      </c>
      <c r="C169" s="15" t="s">
        <v>372</v>
      </c>
    </row>
    <row r="170" spans="1:3" s="15" customFormat="1" ht="15.75" x14ac:dyDescent="0.25">
      <c r="B170" s="45">
        <v>2</v>
      </c>
      <c r="C170" s="15" t="s">
        <v>373</v>
      </c>
    </row>
    <row r="171" spans="1:3" s="15" customFormat="1" ht="15.75" x14ac:dyDescent="0.25">
      <c r="B171" s="45"/>
      <c r="C171" s="15" t="s">
        <v>374</v>
      </c>
    </row>
    <row r="172" spans="1:3" s="15" customFormat="1" ht="15.75" x14ac:dyDescent="0.25">
      <c r="B172" s="45"/>
      <c r="C172" s="15" t="s">
        <v>375</v>
      </c>
    </row>
    <row r="173" spans="1:3" s="15" customFormat="1" ht="15.75" x14ac:dyDescent="0.25">
      <c r="C173" s="15" t="s">
        <v>376</v>
      </c>
    </row>
    <row r="174" spans="1:3" s="15" customFormat="1" ht="15.75" x14ac:dyDescent="0.25">
      <c r="B174" s="45">
        <v>3</v>
      </c>
      <c r="C174" s="15" t="s">
        <v>377</v>
      </c>
    </row>
    <row r="175" spans="1:3" s="15" customFormat="1" ht="15.75" x14ac:dyDescent="0.25">
      <c r="C175" s="93" t="s">
        <v>378</v>
      </c>
    </row>
    <row r="176" spans="1:3" s="15" customFormat="1" ht="15.75" x14ac:dyDescent="0.25">
      <c r="C176" s="15" t="s">
        <v>379</v>
      </c>
    </row>
    <row r="177" spans="3:6" s="15" customFormat="1" ht="15.75" x14ac:dyDescent="0.25">
      <c r="C177" s="15" t="s">
        <v>380</v>
      </c>
    </row>
    <row r="178" spans="3:6" s="15" customFormat="1" ht="15.75" x14ac:dyDescent="0.25">
      <c r="C178" s="15" t="s">
        <v>381</v>
      </c>
      <c r="F178" s="40">
        <f>2664/8046</f>
        <v>0.33109619686800895</v>
      </c>
    </row>
    <row r="179" spans="3:6" s="15" customFormat="1" ht="15.75" x14ac:dyDescent="0.25">
      <c r="C179" s="15" t="s">
        <v>382</v>
      </c>
    </row>
    <row r="180" spans="3:6" s="15" customFormat="1" ht="15.75" x14ac:dyDescent="0.25"/>
    <row r="181" spans="3:6" s="15" customFormat="1" ht="15.75" x14ac:dyDescent="0.25"/>
    <row r="182" spans="3:6" s="15" customFormat="1" ht="15.75" x14ac:dyDescent="0.25"/>
    <row r="183" spans="3:6" s="15" customFormat="1" ht="15.75" x14ac:dyDescent="0.25"/>
    <row r="184" spans="3:6" s="15" customFormat="1" ht="15.75" x14ac:dyDescent="0.25"/>
    <row r="185" spans="3:6" s="15" customFormat="1" ht="15.75" x14ac:dyDescent="0.25"/>
    <row r="186" spans="3:6" s="15" customFormat="1" ht="15.75" x14ac:dyDescent="0.25"/>
    <row r="187" spans="3:6" s="15" customFormat="1" ht="15.75" x14ac:dyDescent="0.25"/>
    <row r="188" spans="3:6" s="15" customFormat="1" ht="15.75" x14ac:dyDescent="0.25"/>
    <row r="189" spans="3:6" s="15" customFormat="1" ht="15.75" x14ac:dyDescent="0.25"/>
    <row r="190" spans="3:6" s="15" customFormat="1" ht="15.75" x14ac:dyDescent="0.25"/>
    <row r="191" spans="3:6" s="15" customFormat="1" ht="15.75" x14ac:dyDescent="0.25"/>
    <row r="192" spans="3:6" s="15" customFormat="1" ht="15.75" x14ac:dyDescent="0.25"/>
    <row r="193" s="15" customFormat="1" ht="15.75" x14ac:dyDescent="0.25"/>
    <row r="194" s="15" customFormat="1" ht="15.75" x14ac:dyDescent="0.25"/>
    <row r="195" s="15" customFormat="1" ht="15.75" x14ac:dyDescent="0.25"/>
    <row r="196" s="15" customFormat="1" ht="15.75" x14ac:dyDescent="0.25"/>
    <row r="197" s="15" customFormat="1" ht="15.75" x14ac:dyDescent="0.25"/>
    <row r="198" s="15" customFormat="1" ht="15.75" x14ac:dyDescent="0.25"/>
    <row r="199" s="15" customFormat="1" ht="15.75" x14ac:dyDescent="0.25"/>
    <row r="200" s="15" customFormat="1" ht="15.75" x14ac:dyDescent="0.25"/>
    <row r="201" s="15" customFormat="1" ht="15.75" x14ac:dyDescent="0.25"/>
    <row r="202" s="15" customFormat="1" ht="15.75" x14ac:dyDescent="0.25"/>
    <row r="203" s="15" customFormat="1" ht="15.75" x14ac:dyDescent="0.25"/>
    <row r="204" s="15" customFormat="1" ht="15.75" x14ac:dyDescent="0.25"/>
    <row r="205" s="15" customFormat="1" ht="15.75" x14ac:dyDescent="0.25"/>
    <row r="206" s="15" customFormat="1" ht="15.75" x14ac:dyDescent="0.25"/>
    <row r="207" s="15" customFormat="1" ht="15.75" x14ac:dyDescent="0.25"/>
    <row r="208" s="15" customFormat="1" ht="15.75" x14ac:dyDescent="0.25"/>
    <row r="209" s="15" customFormat="1" ht="15.75" x14ac:dyDescent="0.25"/>
    <row r="210" s="15" customFormat="1" ht="15.75" x14ac:dyDescent="0.25"/>
    <row r="211" s="15" customFormat="1" ht="15.75" x14ac:dyDescent="0.25"/>
    <row r="212" s="15" customFormat="1" ht="15.75" x14ac:dyDescent="0.25"/>
    <row r="213" s="15" customFormat="1" ht="15.75" x14ac:dyDescent="0.25"/>
    <row r="214" s="15" customFormat="1" ht="15.75" x14ac:dyDescent="0.25"/>
    <row r="215" s="15" customFormat="1" ht="15.75" x14ac:dyDescent="0.25"/>
    <row r="216" s="15" customFormat="1" ht="15.75" x14ac:dyDescent="0.25"/>
    <row r="217" s="15" customFormat="1" ht="15.75" x14ac:dyDescent="0.25"/>
    <row r="218" s="15" customFormat="1" ht="15.75" x14ac:dyDescent="0.25"/>
    <row r="219" s="15" customFormat="1" ht="15.75" x14ac:dyDescent="0.25"/>
    <row r="220" s="15" customFormat="1" ht="15.75" x14ac:dyDescent="0.25"/>
    <row r="221" s="15" customFormat="1" ht="15.75" x14ac:dyDescent="0.25"/>
    <row r="222" s="15" customFormat="1" ht="15.75" x14ac:dyDescent="0.25"/>
    <row r="223" s="15" customFormat="1" ht="15.75" x14ac:dyDescent="0.25"/>
    <row r="224" s="15" customFormat="1" ht="15.75" x14ac:dyDescent="0.25"/>
    <row r="225" s="15" customFormat="1" ht="15.75" x14ac:dyDescent="0.25"/>
    <row r="226" s="15" customFormat="1" ht="15.75" x14ac:dyDescent="0.25"/>
    <row r="227" s="15" customFormat="1" ht="15.75" x14ac:dyDescent="0.25"/>
    <row r="228" s="15" customFormat="1" ht="15.75" x14ac:dyDescent="0.25"/>
    <row r="229" s="15" customFormat="1" ht="15.75" x14ac:dyDescent="0.25"/>
    <row r="230" s="15" customFormat="1" ht="15.75" x14ac:dyDescent="0.25"/>
    <row r="231" s="15" customFormat="1" ht="15.75" x14ac:dyDescent="0.25"/>
    <row r="232" s="15" customFormat="1" ht="15.75" x14ac:dyDescent="0.25"/>
    <row r="233" s="15" customFormat="1" ht="15.75" x14ac:dyDescent="0.25"/>
    <row r="234" s="15" customFormat="1" ht="15.75" x14ac:dyDescent="0.25"/>
    <row r="235" s="15" customFormat="1" ht="15.75" x14ac:dyDescent="0.25"/>
    <row r="236" s="15" customFormat="1" ht="15.75" x14ac:dyDescent="0.25"/>
    <row r="237" s="15" customFormat="1" ht="15.75" x14ac:dyDescent="0.25"/>
    <row r="238" s="15" customFormat="1" ht="15.75" x14ac:dyDescent="0.25"/>
    <row r="239" s="15" customFormat="1" ht="15.75" x14ac:dyDescent="0.25"/>
    <row r="240" s="15" customFormat="1" ht="15.75" x14ac:dyDescent="0.25"/>
    <row r="241" s="15" customFormat="1" ht="15.75" x14ac:dyDescent="0.25"/>
    <row r="242" s="15" customFormat="1" ht="15.75" x14ac:dyDescent="0.25"/>
    <row r="243" s="15" customFormat="1" ht="15.75" x14ac:dyDescent="0.25"/>
    <row r="244" s="15" customFormat="1" ht="15.75" x14ac:dyDescent="0.25"/>
    <row r="245" s="15" customFormat="1" ht="15.75" x14ac:dyDescent="0.25"/>
    <row r="246" s="15" customFormat="1" ht="15.75" x14ac:dyDescent="0.25"/>
    <row r="247" s="15" customFormat="1" ht="15.75" x14ac:dyDescent="0.25"/>
    <row r="248" s="15" customFormat="1" ht="15.75" x14ac:dyDescent="0.25"/>
    <row r="249" s="15" customFormat="1" ht="15.75" x14ac:dyDescent="0.25"/>
    <row r="250" s="15" customFormat="1" ht="15.75" x14ac:dyDescent="0.25"/>
    <row r="251" s="15" customFormat="1" ht="15.75" x14ac:dyDescent="0.25"/>
    <row r="252" s="15" customFormat="1" ht="15.75" x14ac:dyDescent="0.25"/>
    <row r="253" s="15" customFormat="1" ht="15.75" x14ac:dyDescent="0.25"/>
    <row r="254" s="15" customFormat="1" ht="15.75" x14ac:dyDescent="0.25"/>
    <row r="255" s="15" customFormat="1" ht="15.75" x14ac:dyDescent="0.25"/>
    <row r="256" s="15" customFormat="1" ht="15.75" x14ac:dyDescent="0.25"/>
    <row r="257" s="15" customFormat="1" ht="15.75" x14ac:dyDescent="0.25"/>
    <row r="258" s="15" customFormat="1" ht="15.75" x14ac:dyDescent="0.25"/>
    <row r="259" s="15" customFormat="1" ht="15.75" x14ac:dyDescent="0.25"/>
    <row r="260" s="15" customFormat="1" ht="15.75" x14ac:dyDescent="0.25"/>
    <row r="261" s="15" customFormat="1" ht="15.75" x14ac:dyDescent="0.25"/>
    <row r="262" s="15" customFormat="1" ht="15.75" x14ac:dyDescent="0.25"/>
    <row r="263" s="15" customFormat="1" ht="15.75" x14ac:dyDescent="0.25"/>
    <row r="264" s="15" customFormat="1" ht="15.75" x14ac:dyDescent="0.25"/>
    <row r="265" s="15" customFormat="1" ht="15.75" x14ac:dyDescent="0.25"/>
    <row r="266" s="15" customFormat="1" ht="15.75" x14ac:dyDescent="0.25"/>
    <row r="267" s="15" customFormat="1" ht="15.75" x14ac:dyDescent="0.25"/>
    <row r="268" s="15" customFormat="1" ht="15.75" x14ac:dyDescent="0.25"/>
    <row r="269" s="15" customFormat="1" ht="15.75" x14ac:dyDescent="0.25"/>
    <row r="270" s="15" customFormat="1" ht="15.75" x14ac:dyDescent="0.25"/>
    <row r="271" s="15" customFormat="1" ht="15.75" x14ac:dyDescent="0.25"/>
    <row r="272" s="15" customFormat="1" ht="15.75" x14ac:dyDescent="0.25"/>
    <row r="273" s="15" customFormat="1" ht="15.75" x14ac:dyDescent="0.25"/>
    <row r="274" s="15" customFormat="1" ht="15.75" x14ac:dyDescent="0.25"/>
    <row r="275" s="15" customFormat="1" ht="15.75" x14ac:dyDescent="0.25"/>
    <row r="276" s="15" customFormat="1" ht="15.75" x14ac:dyDescent="0.25"/>
    <row r="277" s="15" customFormat="1" ht="15.75" x14ac:dyDescent="0.25"/>
    <row r="278" s="15" customFormat="1" ht="15.75" x14ac:dyDescent="0.25"/>
    <row r="279" s="15" customFormat="1" ht="15.75" x14ac:dyDescent="0.25"/>
    <row r="280" s="15" customFormat="1" ht="15.75" x14ac:dyDescent="0.25"/>
    <row r="281" s="15" customFormat="1" ht="15.75" x14ac:dyDescent="0.25"/>
    <row r="282" s="15" customFormat="1" ht="15.75" x14ac:dyDescent="0.25"/>
    <row r="283" s="15" customFormat="1" ht="15.75" x14ac:dyDescent="0.25"/>
    <row r="284" s="15" customFormat="1" ht="15.75" x14ac:dyDescent="0.25"/>
    <row r="285" s="15" customFormat="1" ht="15.75" x14ac:dyDescent="0.25"/>
    <row r="286" s="15" customFormat="1" ht="15.75" x14ac:dyDescent="0.25"/>
    <row r="287" s="15" customFormat="1" ht="15.75" x14ac:dyDescent="0.25"/>
    <row r="288" s="15" customFormat="1" ht="15.75" x14ac:dyDescent="0.25"/>
    <row r="289" s="15" customFormat="1" ht="15.75" x14ac:dyDescent="0.25"/>
    <row r="290" s="15" customFormat="1" ht="15.75" x14ac:dyDescent="0.25"/>
    <row r="291" s="15" customFormat="1" ht="15.75" x14ac:dyDescent="0.25"/>
    <row r="292" s="15" customFormat="1" ht="15.75" x14ac:dyDescent="0.25"/>
    <row r="293" s="15" customFormat="1" ht="15.75" x14ac:dyDescent="0.25"/>
    <row r="294" s="15" customFormat="1" ht="15.75" x14ac:dyDescent="0.25"/>
    <row r="295" s="15" customFormat="1" ht="15.75" x14ac:dyDescent="0.25"/>
    <row r="296" s="15" customFormat="1" ht="15.75" x14ac:dyDescent="0.25"/>
    <row r="297" s="15" customFormat="1" ht="15.75" x14ac:dyDescent="0.25"/>
    <row r="298" s="15" customFormat="1" ht="15.75" x14ac:dyDescent="0.25"/>
    <row r="299" s="15" customFormat="1" ht="15.75" x14ac:dyDescent="0.25"/>
    <row r="300" s="15" customFormat="1" ht="15.75" x14ac:dyDescent="0.25"/>
    <row r="301" s="15" customFormat="1" ht="15.75" x14ac:dyDescent="0.25"/>
    <row r="302" s="15" customFormat="1" ht="15.75" x14ac:dyDescent="0.25"/>
    <row r="303" s="15" customFormat="1" ht="15.75" x14ac:dyDescent="0.25"/>
    <row r="304" s="15" customFormat="1" ht="15.75" x14ac:dyDescent="0.25"/>
    <row r="305" s="15" customFormat="1" ht="15.75" x14ac:dyDescent="0.25"/>
    <row r="306" s="15" customFormat="1" ht="15.75" x14ac:dyDescent="0.25"/>
    <row r="307" s="15" customFormat="1" ht="15.75" x14ac:dyDescent="0.25"/>
    <row r="308" s="15" customFormat="1" ht="15.75" x14ac:dyDescent="0.25"/>
    <row r="309" s="15" customFormat="1" ht="15.75" x14ac:dyDescent="0.25"/>
    <row r="310" s="15" customFormat="1" ht="15.75" x14ac:dyDescent="0.25"/>
    <row r="311" s="15" customFormat="1" ht="15.75" x14ac:dyDescent="0.25"/>
    <row r="312" s="15" customFormat="1" ht="15.75" x14ac:dyDescent="0.25"/>
    <row r="313" s="15" customFormat="1" ht="15.75" x14ac:dyDescent="0.25"/>
    <row r="314" s="15" customFormat="1" ht="15.75" x14ac:dyDescent="0.25"/>
    <row r="315" s="15" customFormat="1" ht="15.75" x14ac:dyDescent="0.25"/>
    <row r="316" s="15" customFormat="1" ht="15.75" x14ac:dyDescent="0.25"/>
    <row r="317" s="15" customFormat="1" ht="15.75" x14ac:dyDescent="0.25"/>
    <row r="318" s="15" customFormat="1" ht="15.75" x14ac:dyDescent="0.25"/>
    <row r="319" s="15" customFormat="1" ht="15.75" x14ac:dyDescent="0.25"/>
    <row r="320" s="15" customFormat="1" ht="15.75" x14ac:dyDescent="0.25"/>
    <row r="321" s="15" customFormat="1" ht="15.75" x14ac:dyDescent="0.25"/>
    <row r="322" s="15" customFormat="1" ht="15.75" x14ac:dyDescent="0.25"/>
    <row r="323" s="15" customFormat="1" ht="15.75" x14ac:dyDescent="0.25"/>
    <row r="324" s="15" customFormat="1" ht="15.75" x14ac:dyDescent="0.25"/>
    <row r="325" s="15" customFormat="1" ht="15.75" x14ac:dyDescent="0.25"/>
    <row r="326" s="15" customFormat="1" ht="15.75" x14ac:dyDescent="0.25"/>
    <row r="327" s="15" customFormat="1" ht="15.75" x14ac:dyDescent="0.25"/>
    <row r="328" s="15" customFormat="1" ht="15.75" x14ac:dyDescent="0.25"/>
    <row r="329" s="15" customFormat="1" ht="15.75" x14ac:dyDescent="0.25"/>
    <row r="330" s="15" customFormat="1" ht="15.75" x14ac:dyDescent="0.25"/>
    <row r="331" s="15" customFormat="1" ht="15.75" x14ac:dyDescent="0.25"/>
    <row r="332" s="15" customFormat="1" ht="15.75" x14ac:dyDescent="0.25"/>
    <row r="333" s="15" customFormat="1" ht="15.75" x14ac:dyDescent="0.25"/>
    <row r="334" s="15" customFormat="1" ht="15.75" x14ac:dyDescent="0.25"/>
    <row r="335" s="15" customFormat="1" ht="15.75" x14ac:dyDescent="0.25"/>
    <row r="336" s="15" customFormat="1" ht="15.75" x14ac:dyDescent="0.25"/>
    <row r="337" s="15" customFormat="1" ht="15.75" x14ac:dyDescent="0.25"/>
    <row r="338" s="15" customFormat="1" ht="15.75" x14ac:dyDescent="0.25"/>
    <row r="339" s="15" customFormat="1" ht="15.75" x14ac:dyDescent="0.25"/>
    <row r="340" s="15" customFormat="1" ht="15.75" x14ac:dyDescent="0.25"/>
    <row r="341" s="15" customFormat="1" ht="15.75" x14ac:dyDescent="0.25"/>
    <row r="342" s="15" customFormat="1" ht="15.75" x14ac:dyDescent="0.25"/>
    <row r="343" s="15" customFormat="1" ht="15.75" x14ac:dyDescent="0.25"/>
    <row r="344" s="15" customFormat="1" ht="15.75" x14ac:dyDescent="0.25"/>
    <row r="345" s="15" customFormat="1" ht="15.75" x14ac:dyDescent="0.25"/>
    <row r="346" s="15" customFormat="1" ht="15.75" x14ac:dyDescent="0.25"/>
    <row r="347" s="15" customFormat="1" ht="15.75" x14ac:dyDescent="0.25"/>
    <row r="348" s="15" customFormat="1" ht="15.75" x14ac:dyDescent="0.25"/>
    <row r="349" s="15" customFormat="1" ht="15.75" x14ac:dyDescent="0.25"/>
    <row r="350" s="15" customFormat="1" ht="15.75" x14ac:dyDescent="0.25"/>
    <row r="351" s="15" customFormat="1" ht="15.75" x14ac:dyDescent="0.25"/>
    <row r="352" s="15" customFormat="1" ht="15.75" x14ac:dyDescent="0.25"/>
    <row r="353" s="15" customFormat="1" ht="15.75" x14ac:dyDescent="0.25"/>
    <row r="354" s="15" customFormat="1" ht="15.75" x14ac:dyDescent="0.25"/>
    <row r="355" s="15" customFormat="1" ht="15.75" x14ac:dyDescent="0.25"/>
    <row r="356" s="15" customFormat="1" ht="15.75" x14ac:dyDescent="0.25"/>
    <row r="357" s="15" customFormat="1" ht="15.75" x14ac:dyDescent="0.25"/>
    <row r="358" s="15" customFormat="1" ht="15.75" x14ac:dyDescent="0.25"/>
    <row r="359" s="15" customFormat="1" ht="15.75" x14ac:dyDescent="0.25"/>
    <row r="360" s="15" customFormat="1" ht="15.75" x14ac:dyDescent="0.25"/>
    <row r="361" s="15" customFormat="1" ht="15.75" x14ac:dyDescent="0.25"/>
    <row r="362" s="15" customFormat="1" ht="15.75" x14ac:dyDescent="0.25"/>
    <row r="363" s="15" customFormat="1" ht="15.75" x14ac:dyDescent="0.25"/>
    <row r="364" s="15" customFormat="1" ht="15.75" x14ac:dyDescent="0.25"/>
    <row r="365" s="15" customFormat="1" ht="15.75" x14ac:dyDescent="0.25"/>
    <row r="366" s="15" customFormat="1" ht="15.75" x14ac:dyDescent="0.25"/>
    <row r="367" s="15" customFormat="1" ht="15.75" x14ac:dyDescent="0.25"/>
    <row r="368" s="15" customFormat="1" ht="15.75" x14ac:dyDescent="0.25"/>
    <row r="369" s="15" customFormat="1" ht="15.75" x14ac:dyDescent="0.25"/>
    <row r="370" s="15" customFormat="1" ht="15.75" x14ac:dyDescent="0.25"/>
    <row r="371" s="15" customFormat="1" ht="15.75" x14ac:dyDescent="0.25"/>
    <row r="372" s="15" customFormat="1" ht="15.75" x14ac:dyDescent="0.25"/>
    <row r="373" s="15" customFormat="1" ht="15.75" x14ac:dyDescent="0.25"/>
    <row r="374" s="15" customFormat="1" ht="15.75" x14ac:dyDescent="0.25"/>
    <row r="375" s="15" customFormat="1" ht="15.75" x14ac:dyDescent="0.25"/>
    <row r="376" s="15" customFormat="1" ht="15.75" x14ac:dyDescent="0.25"/>
    <row r="377" s="15" customFormat="1" ht="15.75" x14ac:dyDescent="0.25"/>
    <row r="378" s="15" customFormat="1" ht="15.75" x14ac:dyDescent="0.25"/>
    <row r="379" s="15" customFormat="1" ht="15.75" x14ac:dyDescent="0.25"/>
    <row r="380" s="15" customFormat="1" ht="15.75" x14ac:dyDescent="0.25"/>
    <row r="381" s="15" customFormat="1" ht="15.75" x14ac:dyDescent="0.25"/>
    <row r="382" s="15" customFormat="1" ht="15.75" x14ac:dyDescent="0.25"/>
    <row r="383" s="15" customFormat="1" ht="15.75" x14ac:dyDescent="0.25"/>
    <row r="384" s="15" customFormat="1" ht="15.75" x14ac:dyDescent="0.25"/>
    <row r="385" s="15" customFormat="1" ht="15.75" x14ac:dyDescent="0.25"/>
    <row r="386" s="15" customFormat="1" ht="15.75" x14ac:dyDescent="0.25"/>
    <row r="387" s="15" customFormat="1" ht="15.75" x14ac:dyDescent="0.25"/>
    <row r="388" s="15" customFormat="1" ht="15.75" x14ac:dyDescent="0.25"/>
    <row r="389" s="15" customFormat="1" ht="15.75" x14ac:dyDescent="0.25"/>
    <row r="390" s="15" customFormat="1" ht="15.75" x14ac:dyDescent="0.25"/>
    <row r="391" s="15" customFormat="1" ht="15.75" x14ac:dyDescent="0.25"/>
    <row r="392" s="15" customFormat="1" ht="15.75" x14ac:dyDescent="0.25"/>
    <row r="393" s="15" customFormat="1" ht="15.75" x14ac:dyDescent="0.25"/>
    <row r="394" s="15" customFormat="1" ht="15.75" x14ac:dyDescent="0.25"/>
    <row r="395" s="15" customFormat="1" ht="15.75" x14ac:dyDescent="0.25"/>
    <row r="396" s="15" customFormat="1" ht="15.75" x14ac:dyDescent="0.25"/>
    <row r="397" s="15" customFormat="1" ht="15.75" x14ac:dyDescent="0.25"/>
    <row r="398" s="15" customFormat="1" ht="15.75" x14ac:dyDescent="0.25"/>
    <row r="399" s="15" customFormat="1" ht="15.75" x14ac:dyDescent="0.25"/>
    <row r="400" s="15" customFormat="1" ht="15.75" x14ac:dyDescent="0.25"/>
    <row r="401" s="15" customFormat="1" ht="15.75" x14ac:dyDescent="0.25"/>
    <row r="402" s="15" customFormat="1" ht="15.75" x14ac:dyDescent="0.25"/>
    <row r="403" s="15" customFormat="1" ht="15.75" x14ac:dyDescent="0.25"/>
    <row r="404" s="15" customFormat="1" ht="15.75" x14ac:dyDescent="0.25"/>
    <row r="405" s="15" customFormat="1" ht="15.75" x14ac:dyDescent="0.25"/>
    <row r="406" s="15" customFormat="1" ht="15.75" x14ac:dyDescent="0.25"/>
    <row r="407" s="15" customFormat="1" ht="15.75" x14ac:dyDescent="0.25"/>
    <row r="408" s="15" customFormat="1" ht="15.75" x14ac:dyDescent="0.25"/>
    <row r="409" s="15" customFormat="1" ht="15.75" x14ac:dyDescent="0.25"/>
    <row r="410" s="15" customFormat="1" ht="15.75" x14ac:dyDescent="0.25"/>
    <row r="411" s="15" customFormat="1" ht="15.75" x14ac:dyDescent="0.25"/>
    <row r="412" s="15" customFormat="1" ht="15.75" x14ac:dyDescent="0.25"/>
    <row r="413" s="15" customFormat="1" ht="15.75" x14ac:dyDescent="0.25"/>
    <row r="414" s="15" customFormat="1" ht="15.75" x14ac:dyDescent="0.25"/>
    <row r="415" s="15" customFormat="1" ht="15.75" x14ac:dyDescent="0.25"/>
    <row r="416" s="15" customFormat="1" ht="15.75" x14ac:dyDescent="0.25"/>
    <row r="417" s="15" customFormat="1" ht="15.75" x14ac:dyDescent="0.25"/>
    <row r="418" s="15" customFormat="1" ht="15.75" x14ac:dyDescent="0.25"/>
    <row r="419" s="15" customFormat="1" ht="15.75" x14ac:dyDescent="0.25"/>
    <row r="420" s="15" customFormat="1" ht="15.75" x14ac:dyDescent="0.25"/>
    <row r="421" s="15" customFormat="1" ht="15.75" x14ac:dyDescent="0.25"/>
    <row r="422" s="15" customFormat="1" ht="15.75" x14ac:dyDescent="0.25"/>
    <row r="423" s="15" customFormat="1" ht="15.75" x14ac:dyDescent="0.25"/>
    <row r="424" s="15" customFormat="1" ht="15.75" x14ac:dyDescent="0.25"/>
    <row r="425" s="15" customFormat="1" ht="15.75" x14ac:dyDescent="0.25"/>
    <row r="426" s="15" customFormat="1" ht="15.75" x14ac:dyDescent="0.25"/>
    <row r="427" s="15" customFormat="1" ht="15.75" x14ac:dyDescent="0.25"/>
    <row r="428" s="15" customFormat="1" ht="15.75" x14ac:dyDescent="0.25"/>
    <row r="429" s="15" customFormat="1" ht="15.75" x14ac:dyDescent="0.25"/>
    <row r="430" s="15" customFormat="1" ht="15.75" x14ac:dyDescent="0.25"/>
    <row r="431" s="15" customFormat="1" ht="15.75" x14ac:dyDescent="0.25"/>
    <row r="432" s="15" customFormat="1" ht="15.75" x14ac:dyDescent="0.25"/>
    <row r="433" s="15" customFormat="1" ht="15.75" x14ac:dyDescent="0.25"/>
    <row r="434" s="15" customFormat="1" ht="15.75" x14ac:dyDescent="0.25"/>
    <row r="435" s="15" customFormat="1" ht="15.75" x14ac:dyDescent="0.25"/>
    <row r="436" s="15" customFormat="1" ht="15.75" x14ac:dyDescent="0.25"/>
    <row r="437" s="15" customFormat="1" ht="15.75" x14ac:dyDescent="0.25"/>
    <row r="438" s="15" customFormat="1" ht="15.75" x14ac:dyDescent="0.25"/>
    <row r="439" s="15" customFormat="1" ht="15.75" x14ac:dyDescent="0.25"/>
    <row r="440" s="15" customFormat="1" ht="15.75" x14ac:dyDescent="0.25"/>
    <row r="441" s="15" customFormat="1" ht="15.75" x14ac:dyDescent="0.25"/>
    <row r="442" s="15" customFormat="1" ht="15.75" x14ac:dyDescent="0.25"/>
    <row r="443" s="15" customFormat="1" ht="15.75" x14ac:dyDescent="0.25"/>
    <row r="444" s="15" customFormat="1" ht="15.75" x14ac:dyDescent="0.25"/>
    <row r="445" s="15" customFormat="1" ht="15.75" x14ac:dyDescent="0.25"/>
    <row r="446" s="15" customFormat="1" ht="15.75" x14ac:dyDescent="0.25"/>
    <row r="447" s="15" customFormat="1" ht="15.75" x14ac:dyDescent="0.25"/>
    <row r="448" s="15" customFormat="1" ht="15.75" x14ac:dyDescent="0.25"/>
    <row r="449" s="15" customFormat="1" ht="15.75" x14ac:dyDescent="0.25"/>
    <row r="450" s="15" customFormat="1" ht="15.75" x14ac:dyDescent="0.25"/>
    <row r="451" s="15" customFormat="1" ht="15.75" x14ac:dyDescent="0.25"/>
    <row r="452" s="15" customFormat="1" ht="15.75" x14ac:dyDescent="0.25"/>
    <row r="453" s="15" customFormat="1" ht="15.75" x14ac:dyDescent="0.25"/>
    <row r="454" s="15" customFormat="1" ht="15.75" x14ac:dyDescent="0.25"/>
    <row r="455" s="15" customFormat="1" ht="15.75" x14ac:dyDescent="0.25"/>
    <row r="456" s="15" customFormat="1" ht="15.75" x14ac:dyDescent="0.25"/>
    <row r="457" s="15" customFormat="1" ht="15.75" x14ac:dyDescent="0.25"/>
    <row r="458" s="15" customFormat="1" ht="15.75" x14ac:dyDescent="0.25"/>
    <row r="459" s="15" customFormat="1" ht="15.75" x14ac:dyDescent="0.25"/>
    <row r="460" s="15" customFormat="1" ht="15.75" x14ac:dyDescent="0.25"/>
    <row r="461" s="15" customFormat="1" ht="15.75" x14ac:dyDescent="0.25"/>
    <row r="462" s="15" customFormat="1" ht="15.75" x14ac:dyDescent="0.25"/>
    <row r="463" s="15" customFormat="1" ht="15.75" x14ac:dyDescent="0.25"/>
    <row r="464" s="15" customFormat="1" ht="15.75" x14ac:dyDescent="0.25"/>
    <row r="465" s="15" customFormat="1" ht="15.75" x14ac:dyDescent="0.25"/>
    <row r="466" s="15" customFormat="1" ht="15.75" x14ac:dyDescent="0.25"/>
    <row r="467" s="15" customFormat="1" ht="15.75" x14ac:dyDescent="0.25"/>
    <row r="468" s="15" customFormat="1" ht="15.75" x14ac:dyDescent="0.25"/>
    <row r="469" s="15" customFormat="1" ht="15.75" x14ac:dyDescent="0.25"/>
    <row r="470" s="15" customFormat="1" ht="15.75" x14ac:dyDescent="0.25"/>
    <row r="471" s="15" customFormat="1" ht="15.75" x14ac:dyDescent="0.25"/>
    <row r="472" s="15" customFormat="1" ht="15.75" x14ac:dyDescent="0.25"/>
    <row r="473" s="15" customFormat="1" ht="15.75" x14ac:dyDescent="0.25"/>
    <row r="474" s="15" customFormat="1" ht="15.75" x14ac:dyDescent="0.25"/>
    <row r="475" s="15" customFormat="1" ht="15.75" x14ac:dyDescent="0.25"/>
    <row r="476" s="15" customFormat="1" ht="15.75" x14ac:dyDescent="0.25"/>
    <row r="477" s="15" customFormat="1" ht="15.75" x14ac:dyDescent="0.25"/>
    <row r="478" s="15" customFormat="1" ht="15.75" x14ac:dyDescent="0.25"/>
    <row r="479" s="15" customFormat="1" ht="15.75" x14ac:dyDescent="0.25"/>
    <row r="480" s="15" customFormat="1" ht="15.75" x14ac:dyDescent="0.25"/>
    <row r="481" s="15" customFormat="1" ht="15.75" x14ac:dyDescent="0.25"/>
    <row r="482" s="15" customFormat="1" ht="15.75" x14ac:dyDescent="0.25"/>
    <row r="483" s="15" customFormat="1" ht="15.75" x14ac:dyDescent="0.25"/>
    <row r="484" s="15" customFormat="1" ht="15.75" x14ac:dyDescent="0.25"/>
    <row r="485" s="15" customFormat="1" ht="15.75" x14ac:dyDescent="0.25"/>
    <row r="486" s="15" customFormat="1" ht="15.75" x14ac:dyDescent="0.25"/>
    <row r="487" s="15" customFormat="1" ht="15.75" x14ac:dyDescent="0.25"/>
    <row r="488" s="15" customFormat="1" ht="15.75" x14ac:dyDescent="0.25"/>
    <row r="489" s="15" customFormat="1" ht="15.75" x14ac:dyDescent="0.25"/>
    <row r="490" s="15" customFormat="1" ht="15.75" x14ac:dyDescent="0.25"/>
    <row r="491" s="15" customFormat="1" ht="15.75" x14ac:dyDescent="0.25"/>
    <row r="492" s="15" customFormat="1" ht="15.75" x14ac:dyDescent="0.25"/>
    <row r="493" s="15" customFormat="1" ht="15.75" x14ac:dyDescent="0.25"/>
    <row r="494" s="15" customFormat="1" ht="15.75" x14ac:dyDescent="0.25"/>
    <row r="495" s="15" customFormat="1" ht="15.75" x14ac:dyDescent="0.25"/>
    <row r="496" s="15" customFormat="1" ht="15.75" x14ac:dyDescent="0.25"/>
    <row r="497" s="15" customFormat="1" ht="15.75" x14ac:dyDescent="0.25"/>
    <row r="498" s="15" customFormat="1" ht="15.75" x14ac:dyDescent="0.25"/>
    <row r="499" s="15" customFormat="1" ht="15.75" x14ac:dyDescent="0.25"/>
    <row r="500" s="15" customFormat="1" ht="15.75" x14ac:dyDescent="0.25"/>
    <row r="501" s="15" customFormat="1" ht="15.75" x14ac:dyDescent="0.25"/>
    <row r="502" s="15" customFormat="1" ht="15.75" x14ac:dyDescent="0.25"/>
    <row r="503" s="15" customFormat="1" ht="15.75" x14ac:dyDescent="0.25"/>
  </sheetData>
  <pageMargins left="0.78740157480314965" right="0.78740157480314965" top="0.59055118110236227" bottom="0.59055118110236227" header="0.51181102362204722" footer="0.51181102362204722"/>
  <pageSetup paperSize="9" orientation="portrait" horizontalDpi="1200" verticalDpi="1200" r:id="rId1"/>
  <headerFooter alignWithMargins="0">
    <oddFooter>&amp;CSide 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1A2B4-AE22-408C-8DE2-B985108C60ED}">
  <dimension ref="A2:K23"/>
  <sheetViews>
    <sheetView showGridLines="0" topLeftCell="A5" workbookViewId="0">
      <selection activeCell="H16" sqref="H16"/>
    </sheetView>
  </sheetViews>
  <sheetFormatPr baseColWidth="10" defaultRowHeight="15.75" x14ac:dyDescent="0.25"/>
  <cols>
    <col min="1" max="1" width="48.85546875" style="15" bestFit="1" customWidth="1"/>
    <col min="2" max="2" width="8.7109375" style="15" customWidth="1"/>
    <col min="3" max="3" width="8.7109375" style="18" customWidth="1"/>
    <col min="4" max="16384" width="11.42578125" style="15"/>
  </cols>
  <sheetData>
    <row r="2" spans="1:11" x14ac:dyDescent="0.25">
      <c r="A2" s="94" t="s">
        <v>299</v>
      </c>
      <c r="B2" s="95" t="s">
        <v>99</v>
      </c>
      <c r="C2" s="96" t="s">
        <v>39</v>
      </c>
    </row>
    <row r="3" spans="1:11" x14ac:dyDescent="0.25">
      <c r="A3" s="97" t="s">
        <v>24</v>
      </c>
      <c r="B3" s="98">
        <v>2854</v>
      </c>
      <c r="C3" s="98">
        <v>2154</v>
      </c>
    </row>
    <row r="4" spans="1:11" x14ac:dyDescent="0.25">
      <c r="A4" s="99" t="s">
        <v>300</v>
      </c>
      <c r="B4" s="100">
        <v>-651</v>
      </c>
      <c r="C4" s="100">
        <v>-196</v>
      </c>
    </row>
    <row r="5" spans="1:11" x14ac:dyDescent="0.25">
      <c r="A5" s="99" t="s">
        <v>301</v>
      </c>
      <c r="B5" s="100">
        <v>742</v>
      </c>
      <c r="C5" s="100">
        <v>1065</v>
      </c>
    </row>
    <row r="6" spans="1:11" x14ac:dyDescent="0.25">
      <c r="A6" s="99" t="s">
        <v>302</v>
      </c>
      <c r="B6" s="100">
        <v>-249</v>
      </c>
      <c r="C6" s="100">
        <v>-298</v>
      </c>
    </row>
    <row r="7" spans="1:11" x14ac:dyDescent="0.25">
      <c r="A7" s="99" t="s">
        <v>303</v>
      </c>
      <c r="B7" s="100">
        <v>432</v>
      </c>
      <c r="C7" s="100">
        <v>-582</v>
      </c>
    </row>
    <row r="8" spans="1:11" x14ac:dyDescent="0.25">
      <c r="A8" s="99" t="s">
        <v>304</v>
      </c>
      <c r="B8" s="100">
        <v>-129</v>
      </c>
      <c r="C8" s="100">
        <v>-183</v>
      </c>
    </row>
    <row r="9" spans="1:11" x14ac:dyDescent="0.25">
      <c r="A9" s="101" t="s">
        <v>305</v>
      </c>
      <c r="B9" s="100">
        <v>-608</v>
      </c>
      <c r="C9" s="102">
        <v>-186</v>
      </c>
    </row>
    <row r="10" spans="1:11" s="25" customFormat="1" ht="20.25" x14ac:dyDescent="0.3">
      <c r="A10" s="103" t="s">
        <v>306</v>
      </c>
      <c r="B10" s="20">
        <v>2391</v>
      </c>
      <c r="C10" s="20">
        <v>1774</v>
      </c>
      <c r="D10" s="15"/>
      <c r="E10" s="15"/>
      <c r="F10" s="15"/>
      <c r="G10" s="15"/>
      <c r="H10" s="15"/>
      <c r="I10" s="15"/>
      <c r="J10" s="15"/>
      <c r="K10" s="15"/>
    </row>
    <row r="11" spans="1:11" x14ac:dyDescent="0.25">
      <c r="A11" s="104"/>
      <c r="B11" s="105"/>
      <c r="C11" s="106"/>
    </row>
    <row r="12" spans="1:11" x14ac:dyDescent="0.25">
      <c r="A12" s="107" t="s">
        <v>307</v>
      </c>
      <c r="B12" s="108"/>
      <c r="C12" s="109"/>
    </row>
    <row r="13" spans="1:11" x14ac:dyDescent="0.25">
      <c r="A13" s="110" t="s">
        <v>308</v>
      </c>
      <c r="B13" s="111">
        <v>-521</v>
      </c>
      <c r="C13" s="81">
        <v>-513</v>
      </c>
    </row>
    <row r="14" spans="1:11" s="25" customFormat="1" ht="20.25" x14ac:dyDescent="0.3">
      <c r="A14" s="103" t="s">
        <v>309</v>
      </c>
      <c r="B14" s="20">
        <v>-521</v>
      </c>
      <c r="C14" s="20">
        <v>-513</v>
      </c>
      <c r="D14" s="15"/>
      <c r="E14" s="15"/>
      <c r="F14" s="15"/>
      <c r="G14" s="15"/>
      <c r="H14" s="15"/>
      <c r="I14" s="15"/>
      <c r="J14" s="15"/>
      <c r="K14" s="15"/>
    </row>
    <row r="15" spans="1:11" x14ac:dyDescent="0.25">
      <c r="A15" s="104"/>
      <c r="B15" s="105"/>
      <c r="C15" s="106"/>
    </row>
    <row r="16" spans="1:11" x14ac:dyDescent="0.25">
      <c r="A16" s="107" t="s">
        <v>310</v>
      </c>
      <c r="B16" s="108"/>
      <c r="C16" s="109"/>
    </row>
    <row r="17" spans="1:11" x14ac:dyDescent="0.25">
      <c r="A17" s="97" t="s">
        <v>311</v>
      </c>
      <c r="B17" s="111">
        <v>-144</v>
      </c>
      <c r="C17" s="98">
        <v>-243</v>
      </c>
    </row>
    <row r="18" spans="1:11" x14ac:dyDescent="0.25">
      <c r="A18" s="101" t="s">
        <v>312</v>
      </c>
      <c r="B18" s="111">
        <v>-1500</v>
      </c>
      <c r="C18" s="102">
        <v>-500</v>
      </c>
    </row>
    <row r="19" spans="1:11" s="25" customFormat="1" ht="20.25" x14ac:dyDescent="0.3">
      <c r="A19" s="103" t="s">
        <v>313</v>
      </c>
      <c r="B19" s="81">
        <v>-1644</v>
      </c>
      <c r="C19" s="20">
        <v>-743</v>
      </c>
      <c r="D19" s="15"/>
      <c r="E19" s="15"/>
      <c r="F19" s="15"/>
      <c r="G19" s="15"/>
      <c r="H19" s="15"/>
      <c r="I19" s="15"/>
      <c r="J19" s="15"/>
      <c r="K19" s="15"/>
    </row>
    <row r="20" spans="1:11" x14ac:dyDescent="0.25">
      <c r="A20" s="104"/>
      <c r="B20" s="112"/>
      <c r="C20" s="113"/>
    </row>
    <row r="21" spans="1:11" x14ac:dyDescent="0.25">
      <c r="A21" s="99" t="s">
        <v>383</v>
      </c>
      <c r="B21" s="111">
        <v>226</v>
      </c>
      <c r="C21" s="98">
        <v>518</v>
      </c>
    </row>
    <row r="22" spans="1:11" x14ac:dyDescent="0.25">
      <c r="A22" s="101" t="s">
        <v>314</v>
      </c>
      <c r="B22" s="21">
        <v>1523</v>
      </c>
      <c r="C22" s="102">
        <v>1005</v>
      </c>
    </row>
    <row r="23" spans="1:11" s="25" customFormat="1" ht="20.25" x14ac:dyDescent="0.3">
      <c r="A23" s="110" t="s">
        <v>384</v>
      </c>
      <c r="B23" s="20">
        <v>1749</v>
      </c>
      <c r="C23" s="20">
        <v>1523</v>
      </c>
      <c r="D23" s="15"/>
      <c r="E23" s="15"/>
      <c r="F23" s="15"/>
      <c r="G23" s="15"/>
      <c r="H23" s="15"/>
      <c r="I23" s="15"/>
      <c r="J23" s="15"/>
      <c r="K23" s="1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8"/>
  <sheetViews>
    <sheetView showGridLines="0" topLeftCell="A30" workbookViewId="0">
      <selection activeCell="K43" sqref="K43"/>
    </sheetView>
  </sheetViews>
  <sheetFormatPr baseColWidth="10" defaultRowHeight="15.75" x14ac:dyDescent="0.25"/>
  <cols>
    <col min="1" max="1" width="4" style="1" customWidth="1"/>
    <col min="2" max="2" width="34.28515625" style="1" bestFit="1" customWidth="1"/>
    <col min="3" max="3" width="9.28515625" style="3" customWidth="1"/>
    <col min="4" max="5" width="11.42578125" style="3"/>
    <col min="6" max="16384" width="11.42578125" style="1"/>
  </cols>
  <sheetData>
    <row r="1" spans="1:9" x14ac:dyDescent="0.25">
      <c r="A1" s="6" t="s">
        <v>387</v>
      </c>
    </row>
    <row r="2" spans="1:9" x14ac:dyDescent="0.25">
      <c r="A2" s="6"/>
    </row>
    <row r="3" spans="1:9" x14ac:dyDescent="0.25">
      <c r="A3" s="6"/>
      <c r="B3" s="1" t="s">
        <v>55</v>
      </c>
      <c r="C3" s="3">
        <v>125</v>
      </c>
    </row>
    <row r="4" spans="1:9" x14ac:dyDescent="0.25">
      <c r="A4" s="6"/>
      <c r="B4" s="1" t="s">
        <v>221</v>
      </c>
      <c r="C4" s="3">
        <v>1250</v>
      </c>
    </row>
    <row r="5" spans="1:9" x14ac:dyDescent="0.25">
      <c r="A5" s="6"/>
      <c r="B5" s="1" t="s">
        <v>53</v>
      </c>
      <c r="C5" s="3">
        <v>2500</v>
      </c>
    </row>
    <row r="6" spans="1:9" x14ac:dyDescent="0.25">
      <c r="A6" s="6"/>
      <c r="B6" s="1" t="s">
        <v>54</v>
      </c>
      <c r="C6" s="3">
        <v>35</v>
      </c>
    </row>
    <row r="7" spans="1:9" x14ac:dyDescent="0.25">
      <c r="A7" s="6"/>
      <c r="B7" s="1" t="s">
        <v>25</v>
      </c>
      <c r="C7" s="3">
        <v>25</v>
      </c>
    </row>
    <row r="8" spans="1:9" x14ac:dyDescent="0.25">
      <c r="A8" s="6"/>
      <c r="B8" s="1" t="s">
        <v>403</v>
      </c>
      <c r="C8" s="3">
        <v>425</v>
      </c>
    </row>
    <row r="9" spans="1:9" x14ac:dyDescent="0.25">
      <c r="A9" s="6"/>
      <c r="B9" s="1" t="s">
        <v>404</v>
      </c>
      <c r="C9" s="3">
        <v>60</v>
      </c>
    </row>
    <row r="10" spans="1:9" x14ac:dyDescent="0.25">
      <c r="A10" s="6"/>
      <c r="B10" s="1" t="s">
        <v>56</v>
      </c>
      <c r="C10" s="3">
        <v>250</v>
      </c>
    </row>
    <row r="11" spans="1:9" x14ac:dyDescent="0.25">
      <c r="A11" s="6"/>
      <c r="B11" s="1" t="s">
        <v>59</v>
      </c>
      <c r="C11" s="3">
        <v>90</v>
      </c>
    </row>
    <row r="12" spans="1:9" x14ac:dyDescent="0.25">
      <c r="A12" s="6"/>
    </row>
    <row r="14" spans="1:9" x14ac:dyDescent="0.25">
      <c r="A14" s="1" t="s">
        <v>44</v>
      </c>
      <c r="B14" s="1" t="s">
        <v>53</v>
      </c>
      <c r="C14" s="3">
        <f>C5</f>
        <v>2500</v>
      </c>
    </row>
    <row r="15" spans="1:9" x14ac:dyDescent="0.25">
      <c r="B15" s="1" t="s">
        <v>54</v>
      </c>
      <c r="C15" s="3">
        <f>C6</f>
        <v>35</v>
      </c>
    </row>
    <row r="16" spans="1:9" s="2" customFormat="1" ht="20.25" x14ac:dyDescent="0.3">
      <c r="B16" s="1" t="s">
        <v>18</v>
      </c>
      <c r="C16" s="10">
        <f>SUM(C14:C15)</f>
        <v>2535</v>
      </c>
      <c r="D16" s="3"/>
      <c r="E16" s="3"/>
      <c r="F16" s="1"/>
      <c r="G16" s="1"/>
      <c r="H16" s="1"/>
      <c r="I16" s="1"/>
    </row>
    <row r="18" spans="1:15" x14ac:dyDescent="0.25">
      <c r="B18" s="1" t="s">
        <v>2</v>
      </c>
      <c r="C18" s="3">
        <f>C4</f>
        <v>1250</v>
      </c>
    </row>
    <row r="19" spans="1:15" x14ac:dyDescent="0.25">
      <c r="B19" s="1" t="s">
        <v>57</v>
      </c>
      <c r="C19" s="3">
        <f>C8+C9</f>
        <v>485</v>
      </c>
    </row>
    <row r="20" spans="1:15" x14ac:dyDescent="0.25">
      <c r="B20" s="1" t="s">
        <v>55</v>
      </c>
      <c r="C20" s="3">
        <f>C3</f>
        <v>125</v>
      </c>
    </row>
    <row r="21" spans="1:15" x14ac:dyDescent="0.25">
      <c r="B21" s="1" t="s">
        <v>56</v>
      </c>
      <c r="C21" s="3">
        <f>C10</f>
        <v>250</v>
      </c>
    </row>
    <row r="22" spans="1:15" s="2" customFormat="1" ht="20.25" x14ac:dyDescent="0.3">
      <c r="B22" s="1" t="s">
        <v>21</v>
      </c>
      <c r="C22" s="10">
        <f>SUM(C18:C21)</f>
        <v>2110</v>
      </c>
      <c r="D22" s="3"/>
      <c r="E22" s="3"/>
      <c r="F22" s="1"/>
      <c r="G22" s="1"/>
      <c r="H22" s="1"/>
    </row>
    <row r="24" spans="1:15" x14ac:dyDescent="0.25">
      <c r="B24" s="1" t="s">
        <v>5</v>
      </c>
      <c r="C24" s="3">
        <f>C16-C22</f>
        <v>425</v>
      </c>
    </row>
    <row r="26" spans="1:15" x14ac:dyDescent="0.25">
      <c r="B26" s="1" t="s">
        <v>25</v>
      </c>
      <c r="C26" s="3">
        <f>C7</f>
        <v>25</v>
      </c>
    </row>
    <row r="27" spans="1:15" s="2" customFormat="1" ht="20.25" x14ac:dyDescent="0.3">
      <c r="A27" s="1"/>
      <c r="B27" s="1" t="s">
        <v>388</v>
      </c>
      <c r="C27" s="10">
        <f>-C26</f>
        <v>-25</v>
      </c>
      <c r="D27" s="3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</row>
    <row r="29" spans="1:15" x14ac:dyDescent="0.25">
      <c r="B29" s="1" t="s">
        <v>58</v>
      </c>
      <c r="C29" s="3">
        <f>C24+C27</f>
        <v>400</v>
      </c>
    </row>
    <row r="31" spans="1:15" x14ac:dyDescent="0.25">
      <c r="B31" s="1" t="s">
        <v>59</v>
      </c>
      <c r="C31" s="3">
        <f>C11</f>
        <v>90</v>
      </c>
    </row>
    <row r="33" spans="1:3" x14ac:dyDescent="0.25">
      <c r="B33" s="1" t="s">
        <v>60</v>
      </c>
      <c r="C33" s="12">
        <f>C29-C31</f>
        <v>310</v>
      </c>
    </row>
    <row r="35" spans="1:3" x14ac:dyDescent="0.25">
      <c r="B35" s="1" t="s">
        <v>61</v>
      </c>
      <c r="C35" s="3">
        <f>C29+C26</f>
        <v>425</v>
      </c>
    </row>
    <row r="36" spans="1:3" x14ac:dyDescent="0.25">
      <c r="B36" s="1" t="s">
        <v>62</v>
      </c>
      <c r="C36" s="3">
        <v>1250</v>
      </c>
    </row>
    <row r="37" spans="1:3" x14ac:dyDescent="0.25">
      <c r="B37" s="1" t="s">
        <v>63</v>
      </c>
      <c r="C37" s="3">
        <v>750</v>
      </c>
    </row>
    <row r="38" spans="1:3" x14ac:dyDescent="0.25">
      <c r="B38" s="1" t="s">
        <v>64</v>
      </c>
      <c r="C38" s="3">
        <v>500</v>
      </c>
    </row>
    <row r="40" spans="1:3" ht="18.75" x14ac:dyDescent="0.35">
      <c r="A40" s="1" t="s">
        <v>46</v>
      </c>
      <c r="B40" s="1" t="s">
        <v>144</v>
      </c>
      <c r="C40" s="26">
        <f>C35/C36</f>
        <v>0.34</v>
      </c>
    </row>
    <row r="42" spans="1:3" ht="18.75" x14ac:dyDescent="0.35">
      <c r="A42" s="1" t="s">
        <v>65</v>
      </c>
      <c r="B42" s="1" t="s">
        <v>143</v>
      </c>
      <c r="C42" s="26">
        <f>C29/C37</f>
        <v>0.53333333333333333</v>
      </c>
    </row>
    <row r="43" spans="1:3" x14ac:dyDescent="0.25">
      <c r="B43" s="1" t="s">
        <v>66</v>
      </c>
      <c r="C43" s="26">
        <f>C33/C37</f>
        <v>0.41333333333333333</v>
      </c>
    </row>
    <row r="45" spans="1:3" x14ac:dyDescent="0.25">
      <c r="A45" s="1" t="s">
        <v>67</v>
      </c>
      <c r="B45" s="1" t="s">
        <v>68</v>
      </c>
      <c r="C45" s="26">
        <f>C35/C16</f>
        <v>0.16765285996055226</v>
      </c>
    </row>
    <row r="46" spans="1:3" x14ac:dyDescent="0.25">
      <c r="B46" s="1" t="s">
        <v>69</v>
      </c>
      <c r="C46" s="31">
        <f>C16/C36</f>
        <v>2.028</v>
      </c>
    </row>
    <row r="48" spans="1:3" x14ac:dyDescent="0.25">
      <c r="A48" s="1" t="s">
        <v>70</v>
      </c>
      <c r="B48" s="1" t="s">
        <v>71</v>
      </c>
      <c r="C48" s="30">
        <f>C26/C38</f>
        <v>0.05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11C00-F60D-4A1C-AB24-D272C53F8156}">
  <dimension ref="A1:K55"/>
  <sheetViews>
    <sheetView showGridLines="0" workbookViewId="0">
      <selection activeCell="G10" sqref="G10"/>
    </sheetView>
  </sheetViews>
  <sheetFormatPr baseColWidth="10" defaultRowHeight="15.75" x14ac:dyDescent="0.25"/>
  <cols>
    <col min="1" max="1" width="5" style="1" customWidth="1"/>
    <col min="2" max="2" width="25.140625" style="1" customWidth="1"/>
    <col min="3" max="16384" width="11.42578125" style="1"/>
  </cols>
  <sheetData>
    <row r="1" spans="1:11" x14ac:dyDescent="0.25">
      <c r="A1" s="6" t="s">
        <v>389</v>
      </c>
    </row>
    <row r="2" spans="1:11" x14ac:dyDescent="0.25">
      <c r="C2" s="114"/>
      <c r="D2" s="114"/>
      <c r="E2" s="114"/>
    </row>
    <row r="3" spans="1:11" x14ac:dyDescent="0.25">
      <c r="A3" s="1" t="s">
        <v>44</v>
      </c>
      <c r="B3" s="1" t="s">
        <v>72</v>
      </c>
      <c r="C3" s="3">
        <v>16365</v>
      </c>
      <c r="D3" s="3"/>
      <c r="E3" s="3"/>
      <c r="G3" s="3"/>
      <c r="H3" s="3"/>
    </row>
    <row r="4" spans="1:11" x14ac:dyDescent="0.25">
      <c r="B4" s="1" t="s">
        <v>73</v>
      </c>
      <c r="C4" s="3">
        <v>600</v>
      </c>
      <c r="D4" s="3"/>
      <c r="E4" s="3"/>
    </row>
    <row r="5" spans="1:11" s="2" customFormat="1" ht="20.25" x14ac:dyDescent="0.3">
      <c r="A5" s="1"/>
      <c r="B5" s="1" t="s">
        <v>18</v>
      </c>
      <c r="C5" s="10">
        <f>SUM(C3:C4)</f>
        <v>16965</v>
      </c>
      <c r="D5" s="3"/>
      <c r="E5" s="3"/>
      <c r="F5" s="1"/>
      <c r="G5" s="1"/>
      <c r="H5" s="1"/>
      <c r="I5" s="1"/>
      <c r="J5" s="1"/>
      <c r="K5" s="1"/>
    </row>
    <row r="6" spans="1:11" x14ac:dyDescent="0.25">
      <c r="C6" s="3"/>
    </row>
    <row r="7" spans="1:11" x14ac:dyDescent="0.25">
      <c r="B7" s="1" t="s">
        <v>75</v>
      </c>
      <c r="C7" s="3">
        <v>-225</v>
      </c>
      <c r="D7" s="3"/>
      <c r="E7" s="3"/>
    </row>
    <row r="8" spans="1:11" x14ac:dyDescent="0.25">
      <c r="B8" s="1" t="s">
        <v>74</v>
      </c>
      <c r="C8" s="3">
        <v>4905</v>
      </c>
      <c r="D8" s="3"/>
      <c r="E8" s="3"/>
    </row>
    <row r="9" spans="1:11" x14ac:dyDescent="0.25">
      <c r="B9" s="1" t="s">
        <v>76</v>
      </c>
      <c r="C9" s="3">
        <f>3150+445</f>
        <v>3595</v>
      </c>
      <c r="D9" s="3"/>
      <c r="E9" s="3"/>
    </row>
    <row r="10" spans="1:11" x14ac:dyDescent="0.25">
      <c r="B10" s="1" t="s">
        <v>55</v>
      </c>
      <c r="C10" s="3">
        <v>1035</v>
      </c>
      <c r="D10" s="3"/>
      <c r="E10" s="3"/>
    </row>
    <row r="11" spans="1:11" x14ac:dyDescent="0.25">
      <c r="B11" s="1" t="s">
        <v>56</v>
      </c>
      <c r="C11" s="3">
        <f>60+5395</f>
        <v>5455</v>
      </c>
      <c r="D11" s="3"/>
      <c r="E11" s="3"/>
    </row>
    <row r="12" spans="1:11" s="2" customFormat="1" ht="20.25" x14ac:dyDescent="0.3">
      <c r="A12" s="1"/>
      <c r="B12" s="1" t="s">
        <v>21</v>
      </c>
      <c r="C12" s="10">
        <f>SUM(C7:C11)</f>
        <v>14765</v>
      </c>
      <c r="D12" s="3"/>
      <c r="E12" s="3"/>
      <c r="F12" s="1"/>
      <c r="G12" s="1"/>
      <c r="H12" s="1"/>
      <c r="I12" s="1"/>
      <c r="J12" s="1"/>
      <c r="K12" s="1"/>
    </row>
    <row r="13" spans="1:11" x14ac:dyDescent="0.25">
      <c r="C13" s="3"/>
    </row>
    <row r="14" spans="1:11" x14ac:dyDescent="0.25">
      <c r="B14" s="1" t="s">
        <v>5</v>
      </c>
      <c r="C14" s="3">
        <f>C5-C12</f>
        <v>2200</v>
      </c>
      <c r="D14" s="3"/>
      <c r="E14" s="3"/>
    </row>
    <row r="15" spans="1:11" x14ac:dyDescent="0.25">
      <c r="C15" s="3"/>
    </row>
    <row r="16" spans="1:11" x14ac:dyDescent="0.25">
      <c r="B16" s="1" t="s">
        <v>26</v>
      </c>
      <c r="C16" s="3">
        <v>85</v>
      </c>
    </row>
    <row r="17" spans="1:11" x14ac:dyDescent="0.25">
      <c r="B17" s="1" t="s">
        <v>25</v>
      </c>
      <c r="C17" s="3">
        <v>465</v>
      </c>
    </row>
    <row r="18" spans="1:11" s="2" customFormat="1" ht="20.25" x14ac:dyDescent="0.3">
      <c r="A18" s="1"/>
      <c r="B18" s="1" t="s">
        <v>19</v>
      </c>
      <c r="C18" s="10">
        <f>C16-C17</f>
        <v>-380</v>
      </c>
      <c r="D18" s="3"/>
      <c r="E18" s="3"/>
      <c r="F18" s="1"/>
      <c r="G18" s="1"/>
      <c r="H18" s="1"/>
      <c r="I18" s="1"/>
      <c r="J18" s="1"/>
      <c r="K18" s="1"/>
    </row>
    <row r="19" spans="1:11" x14ac:dyDescent="0.25">
      <c r="C19" s="3"/>
    </row>
    <row r="20" spans="1:11" x14ac:dyDescent="0.25">
      <c r="B20" s="1" t="s">
        <v>58</v>
      </c>
      <c r="C20" s="3">
        <f>C14+C18</f>
        <v>1820</v>
      </c>
      <c r="D20" s="3"/>
      <c r="E20" s="3"/>
      <c r="F20" s="3"/>
    </row>
    <row r="21" spans="1:11" x14ac:dyDescent="0.25">
      <c r="C21" s="3"/>
    </row>
    <row r="22" spans="1:11" x14ac:dyDescent="0.25">
      <c r="B22" s="1" t="s">
        <v>59</v>
      </c>
      <c r="C22" s="3">
        <v>405</v>
      </c>
      <c r="D22" s="3"/>
      <c r="E22" s="3"/>
    </row>
    <row r="23" spans="1:11" x14ac:dyDescent="0.25">
      <c r="C23" s="3"/>
    </row>
    <row r="24" spans="1:11" x14ac:dyDescent="0.25">
      <c r="B24" s="1" t="s">
        <v>60</v>
      </c>
      <c r="C24" s="3">
        <f>C20-C22</f>
        <v>1415</v>
      </c>
      <c r="D24" s="3"/>
      <c r="E24" s="3"/>
    </row>
    <row r="25" spans="1:11" x14ac:dyDescent="0.25">
      <c r="I25" s="3"/>
    </row>
    <row r="26" spans="1:11" x14ac:dyDescent="0.25">
      <c r="B26" s="1" t="s">
        <v>77</v>
      </c>
    </row>
    <row r="27" spans="1:11" x14ac:dyDescent="0.25">
      <c r="B27" s="1" t="s">
        <v>79</v>
      </c>
    </row>
    <row r="28" spans="1:11" x14ac:dyDescent="0.25">
      <c r="B28" s="1" t="s">
        <v>80</v>
      </c>
    </row>
    <row r="29" spans="1:11" x14ac:dyDescent="0.25">
      <c r="B29" s="1" t="s">
        <v>78</v>
      </c>
    </row>
    <row r="30" spans="1:11" x14ac:dyDescent="0.25">
      <c r="B30" s="41" t="s">
        <v>136</v>
      </c>
      <c r="C30" s="41"/>
    </row>
    <row r="31" spans="1:11" x14ac:dyDescent="0.25">
      <c r="A31" s="33"/>
    </row>
    <row r="32" spans="1:11" x14ac:dyDescent="0.25">
      <c r="A32" s="33"/>
      <c r="B32" s="1" t="s">
        <v>58</v>
      </c>
      <c r="C32" s="3">
        <f>C20</f>
        <v>1820</v>
      </c>
      <c r="D32" s="3"/>
      <c r="E32" s="3"/>
    </row>
    <row r="33" spans="1:10" x14ac:dyDescent="0.25">
      <c r="A33" s="33" t="s">
        <v>28</v>
      </c>
      <c r="B33" s="1" t="s">
        <v>73</v>
      </c>
      <c r="C33" s="32">
        <v>600</v>
      </c>
    </row>
    <row r="34" spans="1:10" s="2" customFormat="1" ht="20.25" x14ac:dyDescent="0.3">
      <c r="A34" s="34" t="s">
        <v>29</v>
      </c>
      <c r="B34" s="1" t="s">
        <v>81</v>
      </c>
      <c r="C34" s="3">
        <f>C32-C33</f>
        <v>1220</v>
      </c>
      <c r="D34" s="3"/>
      <c r="E34" s="3"/>
      <c r="F34" s="1"/>
      <c r="G34" s="1"/>
      <c r="H34" s="1"/>
      <c r="I34" s="1"/>
    </row>
    <row r="35" spans="1:10" x14ac:dyDescent="0.25">
      <c r="A35" s="34" t="s">
        <v>30</v>
      </c>
      <c r="B35" s="1" t="s">
        <v>25</v>
      </c>
      <c r="C35" s="3">
        <f>C17</f>
        <v>465</v>
      </c>
    </row>
    <row r="36" spans="1:10" s="2" customFormat="1" ht="20.25" x14ac:dyDescent="0.3">
      <c r="A36" s="34" t="s">
        <v>29</v>
      </c>
      <c r="B36" s="1" t="s">
        <v>82</v>
      </c>
      <c r="C36" s="10">
        <f>SUM(C34:C35)</f>
        <v>1685</v>
      </c>
      <c r="D36" s="3"/>
      <c r="E36" s="3"/>
      <c r="F36" s="1"/>
      <c r="G36" s="1"/>
      <c r="H36" s="1"/>
      <c r="I36" s="1"/>
      <c r="J36" s="1"/>
    </row>
    <row r="38" spans="1:10" x14ac:dyDescent="0.25">
      <c r="A38" s="1" t="s">
        <v>46</v>
      </c>
    </row>
    <row r="39" spans="1:10" ht="18.75" x14ac:dyDescent="0.35">
      <c r="A39" s="1">
        <v>1</v>
      </c>
      <c r="B39" s="1" t="s">
        <v>83</v>
      </c>
      <c r="C39" s="26">
        <f>C36/8905</f>
        <v>0.18921953958450308</v>
      </c>
      <c r="D39" s="26"/>
      <c r="E39" s="26"/>
    </row>
    <row r="40" spans="1:10" ht="18.75" x14ac:dyDescent="0.35">
      <c r="A40" s="1">
        <v>2</v>
      </c>
      <c r="B40" s="1" t="s">
        <v>84</v>
      </c>
      <c r="C40" s="26">
        <f>C34/4760</f>
        <v>0.25630252100840334</v>
      </c>
      <c r="D40" s="26"/>
      <c r="E40" s="26"/>
    </row>
    <row r="41" spans="1:10" x14ac:dyDescent="0.25">
      <c r="A41" s="1">
        <v>3</v>
      </c>
      <c r="B41" s="1" t="s">
        <v>69</v>
      </c>
      <c r="C41" s="35">
        <f>C3/8905</f>
        <v>1.8377316114542392</v>
      </c>
      <c r="D41" s="35"/>
      <c r="E41" s="35"/>
    </row>
    <row r="42" spans="1:10" x14ac:dyDescent="0.25">
      <c r="A42" s="1">
        <v>4</v>
      </c>
      <c r="B42" s="1" t="s">
        <v>68</v>
      </c>
      <c r="C42" s="26">
        <f>C36/C3</f>
        <v>0.10296364191872899</v>
      </c>
      <c r="D42" s="26"/>
      <c r="E42" s="26"/>
    </row>
    <row r="44" spans="1:10" ht="18.75" x14ac:dyDescent="0.35">
      <c r="A44" s="1" t="s">
        <v>65</v>
      </c>
      <c r="B44" s="1" t="s">
        <v>146</v>
      </c>
    </row>
    <row r="46" spans="1:10" x14ac:dyDescent="0.25">
      <c r="A46" s="1" t="s">
        <v>67</v>
      </c>
      <c r="B46" s="1" t="s">
        <v>145</v>
      </c>
    </row>
    <row r="47" spans="1:10" x14ac:dyDescent="0.25">
      <c r="B47" s="1" t="s">
        <v>147</v>
      </c>
    </row>
    <row r="48" spans="1:10" x14ac:dyDescent="0.25">
      <c r="B48" s="1" t="s">
        <v>148</v>
      </c>
    </row>
    <row r="49" spans="1:2" x14ac:dyDescent="0.25">
      <c r="B49" s="1" t="s">
        <v>149</v>
      </c>
    </row>
    <row r="50" spans="1:2" x14ac:dyDescent="0.25">
      <c r="B50" s="1" t="s">
        <v>405</v>
      </c>
    </row>
    <row r="52" spans="1:2" x14ac:dyDescent="0.25">
      <c r="A52" s="1" t="s">
        <v>150</v>
      </c>
      <c r="B52" s="1" t="s">
        <v>151</v>
      </c>
    </row>
    <row r="53" spans="1:2" x14ac:dyDescent="0.25">
      <c r="B53" s="1" t="s">
        <v>152</v>
      </c>
    </row>
    <row r="54" spans="1:2" x14ac:dyDescent="0.25">
      <c r="B54" s="1" t="s">
        <v>153</v>
      </c>
    </row>
    <row r="55" spans="1:2" x14ac:dyDescent="0.25">
      <c r="B55" s="1" t="s">
        <v>154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7"/>
  <sheetViews>
    <sheetView showGridLines="0" topLeftCell="A15" workbookViewId="0">
      <selection activeCell="F29" sqref="F29"/>
    </sheetView>
  </sheetViews>
  <sheetFormatPr baseColWidth="10" defaultRowHeight="15.75" x14ac:dyDescent="0.25"/>
  <cols>
    <col min="1" max="1" width="4.140625" style="1" customWidth="1"/>
    <col min="2" max="2" width="28" style="1" customWidth="1"/>
    <col min="3" max="6" width="11.42578125" style="3"/>
    <col min="7" max="16384" width="11.42578125" style="1"/>
  </cols>
  <sheetData>
    <row r="1" spans="1:8" x14ac:dyDescent="0.25">
      <c r="A1" s="6" t="s">
        <v>322</v>
      </c>
    </row>
    <row r="2" spans="1:8" x14ac:dyDescent="0.25">
      <c r="A2" s="33"/>
    </row>
    <row r="3" spans="1:8" x14ac:dyDescent="0.25">
      <c r="A3" s="33"/>
      <c r="B3" s="1" t="s">
        <v>48</v>
      </c>
      <c r="C3" s="3">
        <v>15000000</v>
      </c>
    </row>
    <row r="4" spans="1:8" x14ac:dyDescent="0.25">
      <c r="A4" s="33" t="s">
        <v>28</v>
      </c>
      <c r="B4" s="1" t="s">
        <v>85</v>
      </c>
      <c r="C4" s="12">
        <v>13500000</v>
      </c>
    </row>
    <row r="5" spans="1:8" s="2" customFormat="1" ht="20.25" x14ac:dyDescent="0.3">
      <c r="A5" s="34" t="s">
        <v>29</v>
      </c>
      <c r="B5" s="1" t="s">
        <v>5</v>
      </c>
      <c r="C5" s="3">
        <f>C3-C4</f>
        <v>1500000</v>
      </c>
      <c r="D5" s="3"/>
      <c r="E5" s="3"/>
      <c r="F5" s="3"/>
      <c r="G5" s="1"/>
      <c r="H5" s="1"/>
    </row>
    <row r="6" spans="1:8" x14ac:dyDescent="0.25">
      <c r="A6" s="33"/>
    </row>
    <row r="7" spans="1:8" x14ac:dyDescent="0.25">
      <c r="A7" s="33" t="s">
        <v>28</v>
      </c>
      <c r="B7" s="1" t="s">
        <v>25</v>
      </c>
      <c r="C7" s="3">
        <v>210000</v>
      </c>
    </row>
    <row r="8" spans="1:8" x14ac:dyDescent="0.25">
      <c r="A8" s="33"/>
    </row>
    <row r="9" spans="1:8" x14ac:dyDescent="0.25">
      <c r="A9" s="34" t="s">
        <v>29</v>
      </c>
      <c r="B9" s="1" t="s">
        <v>58</v>
      </c>
      <c r="C9" s="3">
        <f>C5-C7</f>
        <v>1290000</v>
      </c>
    </row>
    <row r="10" spans="1:8" x14ac:dyDescent="0.25">
      <c r="A10" s="33"/>
    </row>
    <row r="11" spans="1:8" x14ac:dyDescent="0.25">
      <c r="A11" s="33" t="s">
        <v>28</v>
      </c>
      <c r="B11" s="1" t="s">
        <v>59</v>
      </c>
      <c r="C11" s="3">
        <v>285000</v>
      </c>
    </row>
    <row r="12" spans="1:8" x14ac:dyDescent="0.25">
      <c r="A12" s="33"/>
    </row>
    <row r="13" spans="1:8" x14ac:dyDescent="0.25">
      <c r="A13" s="34" t="s">
        <v>29</v>
      </c>
      <c r="B13" s="1" t="s">
        <v>60</v>
      </c>
      <c r="C13" s="3">
        <f>C9-C11</f>
        <v>1005000</v>
      </c>
    </row>
    <row r="15" spans="1:8" x14ac:dyDescent="0.25">
      <c r="A15" s="1" t="s">
        <v>44</v>
      </c>
      <c r="B15" s="1" t="s">
        <v>390</v>
      </c>
      <c r="C15" s="3">
        <f>C9+C7</f>
        <v>1500000</v>
      </c>
    </row>
    <row r="16" spans="1:8" x14ac:dyDescent="0.25">
      <c r="B16" s="1" t="s">
        <v>391</v>
      </c>
      <c r="C16" s="3">
        <f>C9</f>
        <v>1290000</v>
      </c>
    </row>
    <row r="18" spans="2:4" ht="18.75" x14ac:dyDescent="0.35">
      <c r="B18" s="1" t="s">
        <v>87</v>
      </c>
      <c r="C18" s="26">
        <f>C15/10000000</f>
        <v>0.15</v>
      </c>
      <c r="D18" s="47" t="s">
        <v>392</v>
      </c>
    </row>
    <row r="20" spans="2:4" ht="18.75" x14ac:dyDescent="0.35">
      <c r="B20" s="1" t="s">
        <v>88</v>
      </c>
      <c r="C20" s="26">
        <f>C16/3000000</f>
        <v>0.43</v>
      </c>
      <c r="D20" s="47" t="s">
        <v>393</v>
      </c>
    </row>
    <row r="22" spans="2:4" x14ac:dyDescent="0.25">
      <c r="B22" s="1" t="s">
        <v>89</v>
      </c>
      <c r="C22" s="30">
        <f>C15/C3</f>
        <v>0.1</v>
      </c>
    </row>
    <row r="23" spans="2:4" x14ac:dyDescent="0.25">
      <c r="B23" s="1" t="s">
        <v>69</v>
      </c>
      <c r="C23" s="36">
        <f>C3/10000000</f>
        <v>1.5</v>
      </c>
    </row>
    <row r="25" spans="2:4" x14ac:dyDescent="0.25">
      <c r="B25" s="1" t="s">
        <v>93</v>
      </c>
      <c r="C25" s="26">
        <f>C7/7000000</f>
        <v>0.03</v>
      </c>
      <c r="D25" s="37" t="s">
        <v>90</v>
      </c>
    </row>
    <row r="27" spans="2:4" x14ac:dyDescent="0.25">
      <c r="B27" s="1" t="s">
        <v>155</v>
      </c>
    </row>
    <row r="28" spans="2:4" ht="18.75" x14ac:dyDescent="0.35">
      <c r="B28" s="1" t="s">
        <v>91</v>
      </c>
    </row>
    <row r="30" spans="2:4" x14ac:dyDescent="0.25">
      <c r="B30" s="1" t="s">
        <v>156</v>
      </c>
    </row>
    <row r="32" spans="2:4" x14ac:dyDescent="0.25">
      <c r="B32" s="1" t="s">
        <v>92</v>
      </c>
    </row>
    <row r="34" spans="1:4" x14ac:dyDescent="0.25">
      <c r="B34" s="1" t="s">
        <v>157</v>
      </c>
    </row>
    <row r="35" spans="1:4" x14ac:dyDescent="0.25">
      <c r="B35" s="1" t="s">
        <v>158</v>
      </c>
    </row>
    <row r="36" spans="1:4" x14ac:dyDescent="0.25">
      <c r="B36" s="1" t="s">
        <v>159</v>
      </c>
    </row>
    <row r="37" spans="1:4" x14ac:dyDescent="0.25">
      <c r="B37" s="1" t="s">
        <v>397</v>
      </c>
    </row>
    <row r="38" spans="1:4" x14ac:dyDescent="0.25">
      <c r="B38" s="1" t="s">
        <v>396</v>
      </c>
    </row>
    <row r="40" spans="1:4" x14ac:dyDescent="0.25">
      <c r="A40" s="1" t="s">
        <v>46</v>
      </c>
      <c r="B40" s="54" t="s">
        <v>160</v>
      </c>
      <c r="C40" s="55"/>
      <c r="D40" s="55"/>
    </row>
    <row r="41" spans="1:4" x14ac:dyDescent="0.25">
      <c r="A41" s="1">
        <v>1</v>
      </c>
      <c r="B41" s="54" t="s">
        <v>161</v>
      </c>
      <c r="C41" s="55"/>
      <c r="D41" s="55"/>
    </row>
    <row r="42" spans="1:4" x14ac:dyDescent="0.25">
      <c r="A42" s="1">
        <v>2</v>
      </c>
      <c r="B42" s="54" t="s">
        <v>162</v>
      </c>
      <c r="C42" s="55"/>
      <c r="D42" s="55"/>
    </row>
    <row r="43" spans="1:4" x14ac:dyDescent="0.25">
      <c r="A43" s="1">
        <v>3</v>
      </c>
      <c r="B43" s="54" t="s">
        <v>163</v>
      </c>
      <c r="C43" s="55"/>
      <c r="D43" s="55"/>
    </row>
    <row r="44" spans="1:4" x14ac:dyDescent="0.25">
      <c r="A44" s="1">
        <v>4</v>
      </c>
      <c r="B44" s="54" t="s">
        <v>395</v>
      </c>
      <c r="C44" s="55"/>
      <c r="D44" s="55"/>
    </row>
    <row r="45" spans="1:4" x14ac:dyDescent="0.25">
      <c r="B45" s="54" t="s">
        <v>394</v>
      </c>
      <c r="C45" s="55"/>
      <c r="D45" s="55"/>
    </row>
    <row r="46" spans="1:4" x14ac:dyDescent="0.25">
      <c r="A46" s="1">
        <v>5</v>
      </c>
      <c r="B46" s="54" t="s">
        <v>164</v>
      </c>
      <c r="C46" s="55"/>
      <c r="D46" s="55"/>
    </row>
    <row r="47" spans="1:4" x14ac:dyDescent="0.25">
      <c r="A47" s="1">
        <v>6</v>
      </c>
      <c r="B47" s="54" t="s">
        <v>165</v>
      </c>
      <c r="C47" s="55"/>
      <c r="D47" s="55"/>
    </row>
    <row r="48" spans="1:4" x14ac:dyDescent="0.25">
      <c r="B48" s="54"/>
      <c r="C48" s="55"/>
      <c r="D48" s="55"/>
    </row>
    <row r="49" spans="1:7" x14ac:dyDescent="0.25">
      <c r="B49" s="1" t="s">
        <v>166</v>
      </c>
    </row>
    <row r="51" spans="1:7" x14ac:dyDescent="0.25">
      <c r="A51" s="1" t="s">
        <v>65</v>
      </c>
      <c r="B51" s="1" t="s">
        <v>168</v>
      </c>
    </row>
    <row r="52" spans="1:7" x14ac:dyDescent="0.25">
      <c r="B52" s="1" t="s">
        <v>167</v>
      </c>
    </row>
    <row r="53" spans="1:7" x14ac:dyDescent="0.25">
      <c r="B53" s="1" t="s">
        <v>169</v>
      </c>
    </row>
    <row r="55" spans="1:7" x14ac:dyDescent="0.25">
      <c r="B55" s="1" t="s">
        <v>94</v>
      </c>
      <c r="C55" s="3">
        <f>15000000*1.1</f>
        <v>16500000.000000002</v>
      </c>
      <c r="D55" s="56" t="s">
        <v>170</v>
      </c>
    </row>
    <row r="56" spans="1:7" x14ac:dyDescent="0.25">
      <c r="A56" s="33" t="s">
        <v>28</v>
      </c>
      <c r="B56" s="1" t="s">
        <v>95</v>
      </c>
      <c r="C56" s="12">
        <f>C55*0.6</f>
        <v>9900000</v>
      </c>
      <c r="D56" s="56" t="s">
        <v>171</v>
      </c>
    </row>
    <row r="57" spans="1:7" s="2" customFormat="1" ht="20.25" x14ac:dyDescent="0.3">
      <c r="A57" s="34" t="s">
        <v>29</v>
      </c>
      <c r="B57" s="1" t="s">
        <v>96</v>
      </c>
      <c r="C57" s="3">
        <f>C55-C56</f>
        <v>6600000.0000000019</v>
      </c>
      <c r="D57" s="56"/>
      <c r="E57" s="3"/>
      <c r="F57" s="3"/>
      <c r="G57" s="1"/>
    </row>
    <row r="58" spans="1:7" x14ac:dyDescent="0.25">
      <c r="A58" s="33" t="s">
        <v>28</v>
      </c>
      <c r="B58" s="1" t="s">
        <v>97</v>
      </c>
      <c r="C58" s="3">
        <v>4900000</v>
      </c>
      <c r="D58" s="56" t="s">
        <v>172</v>
      </c>
    </row>
    <row r="59" spans="1:7" x14ac:dyDescent="0.25">
      <c r="A59" s="33" t="s">
        <v>28</v>
      </c>
      <c r="B59" s="1" t="s">
        <v>25</v>
      </c>
      <c r="C59" s="3">
        <v>210000</v>
      </c>
      <c r="D59" s="56"/>
    </row>
    <row r="60" spans="1:7" s="2" customFormat="1" ht="20.25" x14ac:dyDescent="0.3">
      <c r="A60" s="34" t="s">
        <v>29</v>
      </c>
      <c r="B60" s="1" t="s">
        <v>58</v>
      </c>
      <c r="C60" s="10">
        <f>C57-C58-C59</f>
        <v>1490000.0000000019</v>
      </c>
      <c r="D60" s="56"/>
      <c r="E60" s="3"/>
      <c r="F60" s="3"/>
      <c r="G60" s="1"/>
    </row>
    <row r="61" spans="1:7" x14ac:dyDescent="0.25">
      <c r="A61" s="33"/>
    </row>
    <row r="62" spans="1:7" x14ac:dyDescent="0.25">
      <c r="A62" s="33"/>
      <c r="B62" s="1" t="s">
        <v>98</v>
      </c>
      <c r="C62" s="3">
        <f>C60</f>
        <v>1490000.0000000019</v>
      </c>
    </row>
    <row r="63" spans="1:7" x14ac:dyDescent="0.25">
      <c r="A63" s="34" t="s">
        <v>30</v>
      </c>
      <c r="B63" s="1" t="s">
        <v>25</v>
      </c>
      <c r="C63" s="3">
        <f>C59</f>
        <v>210000</v>
      </c>
    </row>
    <row r="64" spans="1:7" s="2" customFormat="1" ht="20.25" x14ac:dyDescent="0.3">
      <c r="A64" s="34" t="s">
        <v>29</v>
      </c>
      <c r="B64" s="1" t="s">
        <v>86</v>
      </c>
      <c r="C64" s="10">
        <f>SUM(C62:C63)</f>
        <v>1700000.0000000019</v>
      </c>
      <c r="D64" s="3"/>
      <c r="E64" s="3"/>
      <c r="F64" s="3"/>
      <c r="G64" s="1"/>
    </row>
    <row r="65" spans="1:6" x14ac:dyDescent="0.25">
      <c r="E65" s="38" t="s">
        <v>175</v>
      </c>
      <c r="F65" s="38" t="s">
        <v>0</v>
      </c>
    </row>
    <row r="66" spans="1:6" x14ac:dyDescent="0.25">
      <c r="B66" s="1" t="s">
        <v>173</v>
      </c>
      <c r="E66" s="50">
        <f>C64/10000000</f>
        <v>0.17000000000000018</v>
      </c>
      <c r="F66" s="50">
        <v>0.15</v>
      </c>
    </row>
    <row r="67" spans="1:6" x14ac:dyDescent="0.25">
      <c r="B67" s="1" t="s">
        <v>174</v>
      </c>
      <c r="E67" s="57">
        <f>C64/C55</f>
        <v>0.10303030303030312</v>
      </c>
      <c r="F67" s="50">
        <v>0.1</v>
      </c>
    </row>
    <row r="68" spans="1:6" x14ac:dyDescent="0.25">
      <c r="B68" s="1" t="s">
        <v>69</v>
      </c>
      <c r="E68" s="58">
        <f>C55/10000000</f>
        <v>1.6500000000000001</v>
      </c>
      <c r="F68" s="58">
        <v>1.5</v>
      </c>
    </row>
    <row r="70" spans="1:6" x14ac:dyDescent="0.25">
      <c r="B70" s="1" t="s">
        <v>176</v>
      </c>
    </row>
    <row r="71" spans="1:6" x14ac:dyDescent="0.25">
      <c r="A71" s="34" t="s">
        <v>177</v>
      </c>
      <c r="B71" s="1" t="s">
        <v>178</v>
      </c>
    </row>
    <row r="72" spans="1:6" x14ac:dyDescent="0.25">
      <c r="B72" s="1" t="s">
        <v>179</v>
      </c>
    </row>
    <row r="73" spans="1:6" x14ac:dyDescent="0.25">
      <c r="B73" s="1" t="s">
        <v>398</v>
      </c>
    </row>
    <row r="74" spans="1:6" x14ac:dyDescent="0.25">
      <c r="B74" s="1" t="s">
        <v>180</v>
      </c>
    </row>
    <row r="75" spans="1:6" x14ac:dyDescent="0.25">
      <c r="A75" s="34" t="s">
        <v>177</v>
      </c>
      <c r="B75" s="1" t="s">
        <v>181</v>
      </c>
    </row>
    <row r="76" spans="1:6" x14ac:dyDescent="0.25">
      <c r="B76" s="1" t="s">
        <v>182</v>
      </c>
    </row>
    <row r="77" spans="1:6" x14ac:dyDescent="0.25">
      <c r="B77" s="13" t="s">
        <v>183</v>
      </c>
    </row>
  </sheetData>
  <pageMargins left="0.51181102362204722" right="0.5118110236220472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1"/>
  <sheetViews>
    <sheetView showGridLines="0" topLeftCell="A19" workbookViewId="0">
      <selection activeCell="M40" sqref="M40"/>
    </sheetView>
  </sheetViews>
  <sheetFormatPr baseColWidth="10" defaultRowHeight="15.75" x14ac:dyDescent="0.25"/>
  <cols>
    <col min="1" max="1" width="3.5703125" style="1" customWidth="1"/>
    <col min="2" max="2" width="24.7109375" style="1" bestFit="1" customWidth="1"/>
    <col min="3" max="5" width="8.7109375" style="3" customWidth="1"/>
    <col min="6" max="16384" width="11.42578125" style="1"/>
  </cols>
  <sheetData>
    <row r="1" spans="1:12" x14ac:dyDescent="0.25">
      <c r="A1" s="6" t="s">
        <v>323</v>
      </c>
    </row>
    <row r="3" spans="1:12" x14ac:dyDescent="0.25">
      <c r="A3" s="33"/>
      <c r="C3" s="38" t="s">
        <v>40</v>
      </c>
      <c r="D3" s="38" t="s">
        <v>39</v>
      </c>
      <c r="E3" s="38" t="s">
        <v>99</v>
      </c>
    </row>
    <row r="4" spans="1:12" x14ac:dyDescent="0.25">
      <c r="A4" s="33"/>
      <c r="B4" s="1" t="s">
        <v>34</v>
      </c>
      <c r="C4" s="3">
        <v>2300</v>
      </c>
      <c r="D4" s="3">
        <v>4400</v>
      </c>
      <c r="E4" s="3">
        <v>5800</v>
      </c>
    </row>
    <row r="5" spans="1:12" x14ac:dyDescent="0.25">
      <c r="A5" s="33" t="s">
        <v>28</v>
      </c>
      <c r="B5" s="1" t="s">
        <v>95</v>
      </c>
      <c r="C5" s="12">
        <f>C4-C6</f>
        <v>1500</v>
      </c>
      <c r="D5" s="12">
        <f t="shared" ref="D5:E5" si="0">D4-D6</f>
        <v>2660</v>
      </c>
      <c r="E5" s="12">
        <f t="shared" si="0"/>
        <v>3474</v>
      </c>
    </row>
    <row r="6" spans="1:12" s="2" customFormat="1" ht="20.25" x14ac:dyDescent="0.3">
      <c r="A6" s="34" t="s">
        <v>29</v>
      </c>
      <c r="B6" s="1" t="s">
        <v>96</v>
      </c>
      <c r="C6" s="3">
        <v>800</v>
      </c>
      <c r="D6" s="3">
        <v>1740</v>
      </c>
      <c r="E6" s="3">
        <v>2326</v>
      </c>
      <c r="F6" s="1"/>
      <c r="G6" s="1"/>
      <c r="H6" s="1"/>
      <c r="I6" s="1"/>
      <c r="J6" s="1"/>
      <c r="K6" s="1"/>
      <c r="L6" s="1"/>
    </row>
    <row r="7" spans="1:12" x14ac:dyDescent="0.25">
      <c r="A7" s="33" t="s">
        <v>28</v>
      </c>
      <c r="B7" s="1" t="s">
        <v>97</v>
      </c>
      <c r="C7" s="3">
        <v>920</v>
      </c>
      <c r="D7" s="3">
        <v>1600</v>
      </c>
      <c r="E7" s="3">
        <v>2140</v>
      </c>
    </row>
    <row r="8" spans="1:12" x14ac:dyDescent="0.25">
      <c r="A8" s="33" t="s">
        <v>28</v>
      </c>
      <c r="B8" s="1" t="s">
        <v>25</v>
      </c>
      <c r="C8" s="3">
        <v>80</v>
      </c>
      <c r="D8" s="3">
        <v>100</v>
      </c>
      <c r="E8" s="3">
        <v>120</v>
      </c>
    </row>
    <row r="9" spans="1:12" s="2" customFormat="1" ht="20.25" x14ac:dyDescent="0.3">
      <c r="A9" s="34" t="s">
        <v>29</v>
      </c>
      <c r="B9" s="1" t="s">
        <v>58</v>
      </c>
      <c r="C9" s="10">
        <f>C6-C7-C8</f>
        <v>-200</v>
      </c>
      <c r="D9" s="10">
        <f t="shared" ref="D9:E9" si="1">D6-D7-D8</f>
        <v>40</v>
      </c>
      <c r="E9" s="10">
        <f t="shared" si="1"/>
        <v>66</v>
      </c>
      <c r="F9" s="1"/>
      <c r="G9" s="1"/>
      <c r="H9" s="1"/>
    </row>
    <row r="10" spans="1:12" x14ac:dyDescent="0.25">
      <c r="A10" s="33"/>
    </row>
    <row r="11" spans="1:12" x14ac:dyDescent="0.25">
      <c r="A11" s="33"/>
      <c r="B11" s="1" t="s">
        <v>58</v>
      </c>
      <c r="C11" s="3">
        <f>C9</f>
        <v>-200</v>
      </c>
      <c r="D11" s="3">
        <f t="shared" ref="D11:E11" si="2">D9</f>
        <v>40</v>
      </c>
      <c r="E11" s="3">
        <f t="shared" si="2"/>
        <v>66</v>
      </c>
    </row>
    <row r="12" spans="1:12" x14ac:dyDescent="0.25">
      <c r="A12" s="34" t="s">
        <v>30</v>
      </c>
      <c r="B12" s="1" t="s">
        <v>25</v>
      </c>
      <c r="C12" s="3">
        <f>C8</f>
        <v>80</v>
      </c>
      <c r="D12" s="3">
        <f t="shared" ref="D12:E12" si="3">D8</f>
        <v>100</v>
      </c>
      <c r="E12" s="3">
        <f t="shared" si="3"/>
        <v>120</v>
      </c>
    </row>
    <row r="13" spans="1:12" s="2" customFormat="1" ht="20.25" x14ac:dyDescent="0.3">
      <c r="A13" s="34" t="s">
        <v>29</v>
      </c>
      <c r="B13" s="1" t="s">
        <v>82</v>
      </c>
      <c r="C13" s="10">
        <f>SUM(C11:C12)</f>
        <v>-120</v>
      </c>
      <c r="D13" s="10">
        <f t="shared" ref="D13:E13" si="4">SUM(D11:D12)</f>
        <v>140</v>
      </c>
      <c r="E13" s="10">
        <f t="shared" si="4"/>
        <v>186</v>
      </c>
      <c r="F13" s="1"/>
      <c r="G13" s="1"/>
      <c r="H13" s="1"/>
      <c r="I13" s="1"/>
      <c r="J13" s="1"/>
    </row>
    <row r="15" spans="1:12" x14ac:dyDescent="0.25">
      <c r="B15" s="1" t="s">
        <v>62</v>
      </c>
      <c r="C15" s="3">
        <v>2400</v>
      </c>
      <c r="D15" s="3">
        <v>2920</v>
      </c>
      <c r="E15" s="3">
        <v>3200</v>
      </c>
    </row>
    <row r="16" spans="1:12" x14ac:dyDescent="0.25">
      <c r="B16" s="1" t="s">
        <v>64</v>
      </c>
      <c r="C16" s="3">
        <v>1600</v>
      </c>
      <c r="D16" s="3">
        <v>2100</v>
      </c>
      <c r="E16" s="3">
        <v>2350</v>
      </c>
    </row>
    <row r="17" spans="2:5" x14ac:dyDescent="0.25">
      <c r="B17" s="1" t="s">
        <v>63</v>
      </c>
      <c r="C17" s="3">
        <f>C15-C16</f>
        <v>800</v>
      </c>
      <c r="D17" s="3">
        <f t="shared" ref="D17:E17" si="5">D15-D16</f>
        <v>820</v>
      </c>
      <c r="E17" s="3">
        <f t="shared" si="5"/>
        <v>850</v>
      </c>
    </row>
    <row r="19" spans="2:5" x14ac:dyDescent="0.25">
      <c r="B19" s="1" t="s">
        <v>184</v>
      </c>
      <c r="C19" s="26">
        <f>C13/C15</f>
        <v>-0.05</v>
      </c>
      <c r="D19" s="26">
        <f t="shared" ref="D19:E19" si="6">D13/D15</f>
        <v>4.7945205479452052E-2</v>
      </c>
      <c r="E19" s="26">
        <f t="shared" si="6"/>
        <v>5.8125000000000003E-2</v>
      </c>
    </row>
    <row r="20" spans="2:5" x14ac:dyDescent="0.25">
      <c r="B20" s="1" t="s">
        <v>68</v>
      </c>
      <c r="C20" s="26">
        <f>C13/C4</f>
        <v>-5.2173913043478258E-2</v>
      </c>
      <c r="D20" s="26">
        <f t="shared" ref="D20:E20" si="7">D13/D4</f>
        <v>3.1818181818181815E-2</v>
      </c>
      <c r="E20" s="26">
        <f t="shared" si="7"/>
        <v>3.206896551724138E-2</v>
      </c>
    </row>
    <row r="21" spans="2:5" x14ac:dyDescent="0.25">
      <c r="B21" s="1" t="s">
        <v>69</v>
      </c>
      <c r="C21" s="31">
        <f>C4/C15</f>
        <v>0.95833333333333337</v>
      </c>
      <c r="D21" s="31">
        <f t="shared" ref="D21:E21" si="8">D4/D15</f>
        <v>1.5068493150684932</v>
      </c>
      <c r="E21" s="31">
        <f t="shared" si="8"/>
        <v>1.8125</v>
      </c>
    </row>
    <row r="23" spans="2:5" x14ac:dyDescent="0.25">
      <c r="B23" s="1" t="s">
        <v>185</v>
      </c>
      <c r="C23" s="26">
        <f>C9/C17</f>
        <v>-0.25</v>
      </c>
      <c r="D23" s="26">
        <f t="shared" ref="D23:E23" si="9">D9/D17</f>
        <v>4.878048780487805E-2</v>
      </c>
      <c r="E23" s="26">
        <f t="shared" si="9"/>
        <v>7.7647058823529416E-2</v>
      </c>
    </row>
    <row r="24" spans="2:5" x14ac:dyDescent="0.25">
      <c r="C24" s="26"/>
      <c r="D24" s="26"/>
      <c r="E24" s="26"/>
    </row>
    <row r="25" spans="2:5" x14ac:dyDescent="0.25">
      <c r="B25" s="1" t="s">
        <v>71</v>
      </c>
      <c r="C25" s="26">
        <f>C12/C16</f>
        <v>0.05</v>
      </c>
      <c r="D25" s="26">
        <f t="shared" ref="D25:E25" si="10">D12/D16</f>
        <v>4.7619047619047616E-2</v>
      </c>
      <c r="E25" s="26">
        <f t="shared" si="10"/>
        <v>5.106382978723404E-2</v>
      </c>
    </row>
    <row r="26" spans="2:5" x14ac:dyDescent="0.25">
      <c r="C26" s="26"/>
      <c r="D26" s="26"/>
      <c r="E26" s="26"/>
    </row>
    <row r="27" spans="2:5" x14ac:dyDescent="0.25">
      <c r="B27" s="1" t="s">
        <v>188</v>
      </c>
      <c r="C27" s="26">
        <f>C6/C4</f>
        <v>0.34782608695652173</v>
      </c>
      <c r="D27" s="26">
        <f t="shared" ref="D27:E27" si="11">D6/D4</f>
        <v>0.39545454545454545</v>
      </c>
      <c r="E27" s="26">
        <f t="shared" si="11"/>
        <v>0.40103448275862069</v>
      </c>
    </row>
    <row r="32" spans="2:5" x14ac:dyDescent="0.25">
      <c r="B32" s="1" t="s">
        <v>186</v>
      </c>
    </row>
    <row r="33" spans="2:2" x14ac:dyDescent="0.25">
      <c r="B33" s="1" t="s">
        <v>187</v>
      </c>
    </row>
    <row r="35" spans="2:2" x14ac:dyDescent="0.25">
      <c r="B35" s="1" t="s">
        <v>189</v>
      </c>
    </row>
    <row r="36" spans="2:2" x14ac:dyDescent="0.25">
      <c r="B36" s="1" t="s">
        <v>190</v>
      </c>
    </row>
    <row r="37" spans="2:2" x14ac:dyDescent="0.25">
      <c r="B37" s="1" t="s">
        <v>191</v>
      </c>
    </row>
    <row r="38" spans="2:2" x14ac:dyDescent="0.25">
      <c r="B38" s="1" t="s">
        <v>192</v>
      </c>
    </row>
    <row r="40" spans="2:2" x14ac:dyDescent="0.25">
      <c r="B40" s="1" t="s">
        <v>193</v>
      </c>
    </row>
    <row r="41" spans="2:2" x14ac:dyDescent="0.25">
      <c r="B41" s="1" t="s">
        <v>194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1"/>
  <sheetViews>
    <sheetView showGridLines="0" workbookViewId="0">
      <selection activeCell="O15" sqref="O15"/>
    </sheetView>
  </sheetViews>
  <sheetFormatPr baseColWidth="10" defaultRowHeight="15.75" x14ac:dyDescent="0.25"/>
  <cols>
    <col min="1" max="1" width="3.7109375" style="1" customWidth="1"/>
    <col min="2" max="2" width="27.7109375" style="1" customWidth="1"/>
    <col min="3" max="3" width="11.42578125" style="1"/>
    <col min="4" max="4" width="5.5703125" style="1" customWidth="1"/>
    <col min="5" max="6" width="11.42578125" style="1"/>
    <col min="7" max="7" width="7.140625" style="1" customWidth="1"/>
    <col min="8" max="8" width="5.42578125" style="1" customWidth="1"/>
    <col min="9" max="16384" width="11.42578125" style="1"/>
  </cols>
  <sheetData>
    <row r="1" spans="1:7" x14ac:dyDescent="0.25">
      <c r="A1" s="6" t="s">
        <v>324</v>
      </c>
    </row>
    <row r="3" spans="1:7" x14ac:dyDescent="0.25">
      <c r="A3" s="1" t="s">
        <v>44</v>
      </c>
      <c r="B3" s="1" t="s">
        <v>128</v>
      </c>
    </row>
    <row r="7" spans="1:7" x14ac:dyDescent="0.25">
      <c r="A7" s="33"/>
      <c r="B7" s="1" t="s">
        <v>52</v>
      </c>
      <c r="C7" s="3">
        <v>20000000</v>
      </c>
      <c r="D7" s="3"/>
      <c r="E7" s="3"/>
      <c r="F7" s="3"/>
      <c r="G7" s="3"/>
    </row>
    <row r="8" spans="1:7" x14ac:dyDescent="0.25">
      <c r="A8" s="33" t="s">
        <v>28</v>
      </c>
      <c r="B8" s="1" t="s">
        <v>129</v>
      </c>
      <c r="C8" s="3">
        <v>5000000</v>
      </c>
      <c r="D8" s="3"/>
      <c r="E8" s="3"/>
      <c r="F8" s="3"/>
      <c r="G8" s="3"/>
    </row>
    <row r="9" spans="1:7" s="2" customFormat="1" ht="20.25" x14ac:dyDescent="0.3">
      <c r="A9" s="34" t="s">
        <v>29</v>
      </c>
      <c r="B9" s="1" t="s">
        <v>16</v>
      </c>
      <c r="C9" s="10">
        <f>C7-C8</f>
        <v>15000000</v>
      </c>
      <c r="D9" s="3"/>
      <c r="E9" s="3"/>
      <c r="F9" s="3"/>
      <c r="G9" s="3"/>
    </row>
    <row r="10" spans="1:7" x14ac:dyDescent="0.25">
      <c r="C10" s="3"/>
      <c r="D10" s="3"/>
      <c r="E10" s="3"/>
      <c r="F10" s="3"/>
      <c r="G10" s="3"/>
    </row>
    <row r="11" spans="1:7" x14ac:dyDescent="0.25">
      <c r="B11" s="1" t="s">
        <v>130</v>
      </c>
      <c r="C11" s="11">
        <f>C9/C8</f>
        <v>3</v>
      </c>
      <c r="D11" s="3"/>
      <c r="E11" s="3"/>
      <c r="F11" s="3"/>
      <c r="G11" s="3"/>
    </row>
    <row r="12" spans="1:7" x14ac:dyDescent="0.25">
      <c r="C12" s="3"/>
      <c r="D12" s="3"/>
      <c r="E12" s="3"/>
      <c r="F12" s="3"/>
      <c r="G12" s="3"/>
    </row>
    <row r="13" spans="1:7" x14ac:dyDescent="0.25">
      <c r="B13" s="1" t="s">
        <v>25</v>
      </c>
      <c r="C13" s="3">
        <v>300000</v>
      </c>
      <c r="D13" s="3"/>
      <c r="E13" s="3"/>
      <c r="F13" s="3"/>
      <c r="G13" s="3"/>
    </row>
    <row r="14" spans="1:7" x14ac:dyDescent="0.25">
      <c r="B14" s="1" t="s">
        <v>131</v>
      </c>
      <c r="C14" s="1">
        <f>C13/C9</f>
        <v>0.02</v>
      </c>
      <c r="D14" s="54" t="s">
        <v>195</v>
      </c>
      <c r="E14" s="54"/>
    </row>
    <row r="16" spans="1:7" ht="18.75" x14ac:dyDescent="0.35">
      <c r="B16" s="1" t="s">
        <v>137</v>
      </c>
      <c r="D16" s="42">
        <f>0.16+3*(0.16-0.02)</f>
        <v>0.58000000000000007</v>
      </c>
      <c r="E16" s="1" t="s">
        <v>196</v>
      </c>
    </row>
    <row r="18" spans="1:7" x14ac:dyDescent="0.25">
      <c r="A18" s="1" t="s">
        <v>46</v>
      </c>
      <c r="B18" s="1" t="s">
        <v>132</v>
      </c>
      <c r="F18" s="3">
        <f>C7*0.16</f>
        <v>3200000</v>
      </c>
    </row>
    <row r="19" spans="1:7" x14ac:dyDescent="0.25">
      <c r="F19" s="3"/>
    </row>
    <row r="20" spans="1:7" x14ac:dyDescent="0.25">
      <c r="B20" s="1" t="s">
        <v>133</v>
      </c>
      <c r="F20" s="3"/>
    </row>
    <row r="21" spans="1:7" x14ac:dyDescent="0.25">
      <c r="B21" s="1" t="s">
        <v>134</v>
      </c>
      <c r="F21" s="3"/>
    </row>
    <row r="22" spans="1:7" x14ac:dyDescent="0.25">
      <c r="F22" s="3"/>
    </row>
    <row r="23" spans="1:7" x14ac:dyDescent="0.25">
      <c r="B23" s="54" t="s">
        <v>138</v>
      </c>
      <c r="C23" s="54"/>
      <c r="D23" s="54"/>
      <c r="E23" s="54"/>
      <c r="F23" s="54"/>
    </row>
    <row r="24" spans="1:7" x14ac:dyDescent="0.25">
      <c r="A24" s="33"/>
      <c r="C24" s="3"/>
    </row>
    <row r="25" spans="1:7" x14ac:dyDescent="0.25">
      <c r="A25" s="33"/>
      <c r="B25" s="1" t="s">
        <v>5</v>
      </c>
      <c r="C25" s="55">
        <v>3175000</v>
      </c>
      <c r="D25" s="1" t="s">
        <v>135</v>
      </c>
    </row>
    <row r="26" spans="1:7" x14ac:dyDescent="0.25">
      <c r="A26" s="34" t="s">
        <v>30</v>
      </c>
      <c r="B26" s="1" t="s">
        <v>37</v>
      </c>
      <c r="C26" s="55">
        <v>25000</v>
      </c>
    </row>
    <row r="27" spans="1:7" x14ac:dyDescent="0.25">
      <c r="A27" s="33" t="s">
        <v>28</v>
      </c>
      <c r="B27" s="1" t="s">
        <v>25</v>
      </c>
      <c r="C27" s="3">
        <v>300000</v>
      </c>
    </row>
    <row r="28" spans="1:7" s="2" customFormat="1" ht="20.25" x14ac:dyDescent="0.3">
      <c r="A28" s="34" t="s">
        <v>29</v>
      </c>
      <c r="B28" s="1" t="s">
        <v>58</v>
      </c>
      <c r="C28" s="10">
        <v>2900000</v>
      </c>
      <c r="D28" s="1"/>
      <c r="E28" s="1"/>
      <c r="F28" s="1"/>
      <c r="G28" s="1"/>
    </row>
    <row r="30" spans="1:7" x14ac:dyDescent="0.25">
      <c r="C30" s="3"/>
    </row>
    <row r="31" spans="1:7" x14ac:dyDescent="0.25">
      <c r="C31" s="3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</xdr:col>
                <xdr:colOff>571500</xdr:colOff>
                <xdr:row>3</xdr:row>
                <xdr:rowOff>66675</xdr:rowOff>
              </from>
              <to>
                <xdr:col>3</xdr:col>
                <xdr:colOff>247650</xdr:colOff>
                <xdr:row>5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AB78B-137C-4261-8460-0631C7E25DFA}">
  <dimension ref="A1:M70"/>
  <sheetViews>
    <sheetView showGridLines="0" topLeftCell="A44" workbookViewId="0">
      <selection activeCell="H15" sqref="H15"/>
    </sheetView>
  </sheetViews>
  <sheetFormatPr baseColWidth="10" defaultRowHeight="15.75" x14ac:dyDescent="0.25"/>
  <cols>
    <col min="1" max="1" width="5.7109375" style="1" customWidth="1"/>
    <col min="2" max="2" width="2.28515625" style="1" customWidth="1"/>
    <col min="3" max="3" width="11.42578125" style="1"/>
    <col min="4" max="9" width="11.42578125" style="3"/>
    <col min="10" max="16384" width="11.42578125" style="1"/>
  </cols>
  <sheetData>
    <row r="1" spans="1:8" x14ac:dyDescent="0.25">
      <c r="A1" s="6" t="s">
        <v>325</v>
      </c>
      <c r="B1" s="6"/>
    </row>
    <row r="2" spans="1:8" x14ac:dyDescent="0.25">
      <c r="F2" s="38" t="s">
        <v>40</v>
      </c>
      <c r="G2" s="38" t="s">
        <v>39</v>
      </c>
      <c r="H2" s="38" t="s">
        <v>99</v>
      </c>
    </row>
    <row r="3" spans="1:8" x14ac:dyDescent="0.25">
      <c r="C3" s="1" t="s">
        <v>48</v>
      </c>
      <c r="F3" s="3">
        <v>160000</v>
      </c>
      <c r="G3" s="3">
        <v>170000</v>
      </c>
      <c r="H3" s="3">
        <v>180000</v>
      </c>
    </row>
    <row r="4" spans="1:8" x14ac:dyDescent="0.25">
      <c r="C4" s="1" t="s">
        <v>197</v>
      </c>
      <c r="F4" s="3">
        <v>40900</v>
      </c>
      <c r="G4" s="3">
        <v>44625</v>
      </c>
      <c r="H4" s="3">
        <v>47900</v>
      </c>
    </row>
    <row r="5" spans="1:8" x14ac:dyDescent="0.25">
      <c r="C5" s="1" t="s">
        <v>37</v>
      </c>
      <c r="F5" s="3">
        <v>2400</v>
      </c>
      <c r="G5" s="3">
        <v>1700</v>
      </c>
      <c r="H5" s="3">
        <v>1300</v>
      </c>
    </row>
    <row r="6" spans="1:8" x14ac:dyDescent="0.25">
      <c r="C6" s="1" t="s">
        <v>25</v>
      </c>
      <c r="F6" s="3">
        <v>3000</v>
      </c>
      <c r="G6" s="3">
        <v>3225</v>
      </c>
      <c r="H6" s="3">
        <v>3300</v>
      </c>
    </row>
    <row r="7" spans="1:8" x14ac:dyDescent="0.25">
      <c r="C7" s="1" t="s">
        <v>62</v>
      </c>
      <c r="F7" s="3">
        <v>80000</v>
      </c>
      <c r="G7" s="3">
        <v>86000</v>
      </c>
      <c r="H7" s="3">
        <v>88000</v>
      </c>
    </row>
    <row r="8" spans="1:8" x14ac:dyDescent="0.25">
      <c r="C8" s="1" t="s">
        <v>188</v>
      </c>
      <c r="F8" s="30">
        <v>0.3</v>
      </c>
      <c r="G8" s="30">
        <v>0.28999999999999998</v>
      </c>
      <c r="H8" s="30">
        <v>0.28000000000000003</v>
      </c>
    </row>
    <row r="9" spans="1:8" x14ac:dyDescent="0.25">
      <c r="C9" s="1" t="s">
        <v>198</v>
      </c>
      <c r="F9" s="30">
        <v>0.25</v>
      </c>
      <c r="G9" s="30">
        <v>0.25</v>
      </c>
      <c r="H9" s="30">
        <v>0.25</v>
      </c>
    </row>
    <row r="11" spans="1:8" x14ac:dyDescent="0.25">
      <c r="C11" s="1" t="s">
        <v>199</v>
      </c>
    </row>
    <row r="12" spans="1:8" x14ac:dyDescent="0.25">
      <c r="C12" s="1" t="s">
        <v>200</v>
      </c>
      <c r="F12" s="30">
        <v>0.7</v>
      </c>
      <c r="G12" s="30">
        <v>0.71</v>
      </c>
      <c r="H12" s="30">
        <v>0.72</v>
      </c>
    </row>
    <row r="14" spans="1:8" x14ac:dyDescent="0.25">
      <c r="A14" s="1" t="s">
        <v>44</v>
      </c>
      <c r="C14" s="1" t="s">
        <v>48</v>
      </c>
      <c r="F14" s="3">
        <f>F3</f>
        <v>160000</v>
      </c>
      <c r="G14" s="3">
        <f t="shared" ref="G14:H14" si="0">G3</f>
        <v>170000</v>
      </c>
      <c r="H14" s="3">
        <f t="shared" si="0"/>
        <v>180000</v>
      </c>
    </row>
    <row r="15" spans="1:8" x14ac:dyDescent="0.25">
      <c r="B15" s="33" t="s">
        <v>28</v>
      </c>
      <c r="C15" s="1" t="s">
        <v>95</v>
      </c>
      <c r="F15" s="5">
        <f>F12*F3</f>
        <v>112000</v>
      </c>
      <c r="G15" s="5">
        <f t="shared" ref="G15:H15" si="1">G12*G3</f>
        <v>120700</v>
      </c>
      <c r="H15" s="5">
        <f t="shared" si="1"/>
        <v>129600</v>
      </c>
    </row>
    <row r="16" spans="1:8" x14ac:dyDescent="0.25">
      <c r="B16" s="33" t="s">
        <v>28</v>
      </c>
      <c r="C16" s="1" t="s">
        <v>97</v>
      </c>
      <c r="F16" s="12">
        <f>F4</f>
        <v>40900</v>
      </c>
      <c r="G16" s="12">
        <f t="shared" ref="G16:H16" si="2">G4</f>
        <v>44625</v>
      </c>
      <c r="H16" s="12">
        <f t="shared" si="2"/>
        <v>47900</v>
      </c>
    </row>
    <row r="17" spans="1:13" s="2" customFormat="1" ht="20.25" x14ac:dyDescent="0.3">
      <c r="B17" s="34" t="s">
        <v>29</v>
      </c>
      <c r="C17" s="1" t="s">
        <v>5</v>
      </c>
      <c r="D17" s="3"/>
      <c r="E17" s="3"/>
      <c r="F17" s="10">
        <f>F14-F15-F16</f>
        <v>7100</v>
      </c>
      <c r="G17" s="10">
        <f t="shared" ref="G17:H17" si="3">G14-G15-G16</f>
        <v>4675</v>
      </c>
      <c r="H17" s="10">
        <f t="shared" si="3"/>
        <v>2500</v>
      </c>
      <c r="I17" s="3"/>
      <c r="J17" s="1"/>
      <c r="K17" s="1"/>
      <c r="L17" s="1"/>
      <c r="M17" s="1"/>
    </row>
    <row r="18" spans="1:13" s="2" customFormat="1" ht="20.25" x14ac:dyDescent="0.3">
      <c r="B18" s="34" t="s">
        <v>30</v>
      </c>
      <c r="C18" s="1" t="s">
        <v>37</v>
      </c>
      <c r="D18" s="3"/>
      <c r="E18" s="3"/>
      <c r="F18" s="3">
        <f>F5</f>
        <v>2400</v>
      </c>
      <c r="G18" s="3">
        <f t="shared" ref="G18:H18" si="4">G5</f>
        <v>1700</v>
      </c>
      <c r="H18" s="3">
        <f t="shared" si="4"/>
        <v>1300</v>
      </c>
      <c r="I18" s="3"/>
      <c r="J18" s="1"/>
      <c r="K18" s="1"/>
      <c r="L18" s="1"/>
      <c r="M18" s="1"/>
    </row>
    <row r="19" spans="1:13" x14ac:dyDescent="0.25">
      <c r="B19" s="33" t="s">
        <v>28</v>
      </c>
      <c r="C19" s="1" t="s">
        <v>25</v>
      </c>
      <c r="F19" s="12">
        <f>F6</f>
        <v>3000</v>
      </c>
      <c r="G19" s="12">
        <f t="shared" ref="G19:H19" si="5">G6</f>
        <v>3225</v>
      </c>
      <c r="H19" s="12">
        <f t="shared" si="5"/>
        <v>3300</v>
      </c>
    </row>
    <row r="20" spans="1:13" s="2" customFormat="1" ht="20.25" x14ac:dyDescent="0.3">
      <c r="B20" s="34" t="s">
        <v>29</v>
      </c>
      <c r="C20" s="1" t="s">
        <v>58</v>
      </c>
      <c r="D20" s="3"/>
      <c r="E20" s="3"/>
      <c r="F20" s="10">
        <f>F17+F18-F19</f>
        <v>6500</v>
      </c>
      <c r="G20" s="10">
        <f t="shared" ref="G20:H20" si="6">G17+G18-G19</f>
        <v>3150</v>
      </c>
      <c r="H20" s="10">
        <f t="shared" si="6"/>
        <v>500</v>
      </c>
      <c r="I20" s="3"/>
      <c r="J20" s="1"/>
      <c r="K20" s="1"/>
      <c r="L20" s="1"/>
      <c r="M20" s="1"/>
    </row>
    <row r="22" spans="1:13" x14ac:dyDescent="0.25">
      <c r="A22" s="1" t="s">
        <v>46</v>
      </c>
      <c r="C22" s="1" t="s">
        <v>58</v>
      </c>
      <c r="F22" s="3">
        <f>F20</f>
        <v>6500</v>
      </c>
      <c r="G22" s="3">
        <f t="shared" ref="G22:H22" si="7">G20</f>
        <v>3150</v>
      </c>
      <c r="H22" s="3">
        <f t="shared" si="7"/>
        <v>500</v>
      </c>
    </row>
    <row r="23" spans="1:13" x14ac:dyDescent="0.25">
      <c r="B23" s="34" t="s">
        <v>30</v>
      </c>
      <c r="C23" s="1" t="s">
        <v>25</v>
      </c>
      <c r="F23" s="3">
        <f>F19</f>
        <v>3000</v>
      </c>
      <c r="G23" s="3">
        <f t="shared" ref="G23:H23" si="8">G19</f>
        <v>3225</v>
      </c>
      <c r="H23" s="3">
        <f t="shared" si="8"/>
        <v>3300</v>
      </c>
    </row>
    <row r="24" spans="1:13" s="2" customFormat="1" ht="20.25" x14ac:dyDescent="0.3">
      <c r="B24" s="34" t="s">
        <v>29</v>
      </c>
      <c r="C24" s="1" t="s">
        <v>86</v>
      </c>
      <c r="D24" s="3"/>
      <c r="E24" s="3"/>
      <c r="F24" s="10">
        <f>SUM(F22:F23)</f>
        <v>9500</v>
      </c>
      <c r="G24" s="10">
        <f t="shared" ref="G24:H24" si="9">SUM(G22:G23)</f>
        <v>6375</v>
      </c>
      <c r="H24" s="10">
        <f t="shared" si="9"/>
        <v>3800</v>
      </c>
      <c r="I24" s="3"/>
      <c r="J24" s="1"/>
      <c r="K24" s="1"/>
      <c r="L24" s="1"/>
    </row>
    <row r="25" spans="1:13" x14ac:dyDescent="0.25">
      <c r="A25" s="59"/>
      <c r="B25" s="59"/>
    </row>
    <row r="26" spans="1:13" x14ac:dyDescent="0.25">
      <c r="C26" s="1" t="s">
        <v>201</v>
      </c>
      <c r="F26" s="40">
        <f>F24/F7</f>
        <v>0.11874999999999999</v>
      </c>
      <c r="G26" s="40">
        <f t="shared" ref="G26:H26" si="10">G24/G7</f>
        <v>7.4127906976744193E-2</v>
      </c>
      <c r="H26" s="40">
        <f t="shared" si="10"/>
        <v>4.3181818181818182E-2</v>
      </c>
    </row>
    <row r="28" spans="1:13" x14ac:dyDescent="0.25">
      <c r="A28" s="1" t="s">
        <v>65</v>
      </c>
      <c r="C28" s="1" t="s">
        <v>63</v>
      </c>
      <c r="F28" s="3">
        <f>F7*F9</f>
        <v>20000</v>
      </c>
      <c r="G28" s="3">
        <f t="shared" ref="G28:H28" si="11">G7*G9</f>
        <v>21500</v>
      </c>
      <c r="H28" s="3">
        <f t="shared" si="11"/>
        <v>22000</v>
      </c>
    </row>
    <row r="29" spans="1:13" x14ac:dyDescent="0.25">
      <c r="C29" s="1" t="s">
        <v>64</v>
      </c>
      <c r="F29" s="3">
        <f>F7-F28</f>
        <v>60000</v>
      </c>
      <c r="G29" s="3">
        <f t="shared" ref="G29:H29" si="12">G7-G28</f>
        <v>64500</v>
      </c>
      <c r="H29" s="3">
        <f t="shared" si="12"/>
        <v>66000</v>
      </c>
    </row>
    <row r="31" spans="1:13" x14ac:dyDescent="0.25">
      <c r="C31" s="1" t="s">
        <v>202</v>
      </c>
      <c r="F31" s="3">
        <f>F22</f>
        <v>6500</v>
      </c>
      <c r="G31" s="3">
        <f t="shared" ref="G31:H31" si="13">G22</f>
        <v>3150</v>
      </c>
      <c r="H31" s="3">
        <f t="shared" si="13"/>
        <v>500</v>
      </c>
    </row>
    <row r="32" spans="1:13" x14ac:dyDescent="0.25">
      <c r="C32" s="1" t="s">
        <v>203</v>
      </c>
      <c r="F32" s="26">
        <f>F31/F28</f>
        <v>0.32500000000000001</v>
      </c>
      <c r="G32" s="26">
        <f t="shared" ref="G32:H32" si="14">G31/G28</f>
        <v>0.14651162790697675</v>
      </c>
      <c r="H32" s="26">
        <f t="shared" si="14"/>
        <v>2.2727272727272728E-2</v>
      </c>
    </row>
    <row r="34" spans="1:8" x14ac:dyDescent="0.25">
      <c r="C34" s="1" t="s">
        <v>204</v>
      </c>
      <c r="F34" s="30">
        <f>F23/F29</f>
        <v>0.05</v>
      </c>
      <c r="G34" s="30">
        <f t="shared" ref="G34:H34" si="15">G23/G29</f>
        <v>0.05</v>
      </c>
      <c r="H34" s="30">
        <f t="shared" si="15"/>
        <v>0.05</v>
      </c>
    </row>
    <row r="36" spans="1:8" x14ac:dyDescent="0.25">
      <c r="C36" s="1" t="s">
        <v>205</v>
      </c>
    </row>
    <row r="37" spans="1:8" x14ac:dyDescent="0.25">
      <c r="C37" s="1" t="s">
        <v>206</v>
      </c>
    </row>
    <row r="38" spans="1:8" x14ac:dyDescent="0.25">
      <c r="C38" s="1" t="s">
        <v>207</v>
      </c>
    </row>
    <row r="39" spans="1:8" x14ac:dyDescent="0.25">
      <c r="C39" s="1" t="s">
        <v>208</v>
      </c>
    </row>
    <row r="40" spans="1:8" x14ac:dyDescent="0.25">
      <c r="C40" s="1" t="s">
        <v>209</v>
      </c>
    </row>
    <row r="41" spans="1:8" x14ac:dyDescent="0.25">
      <c r="C41" s="1" t="s">
        <v>210</v>
      </c>
    </row>
    <row r="47" spans="1:8" x14ac:dyDescent="0.25">
      <c r="A47" s="1" t="s">
        <v>67</v>
      </c>
      <c r="C47" s="1" t="s">
        <v>211</v>
      </c>
    </row>
    <row r="48" spans="1:8" x14ac:dyDescent="0.25">
      <c r="C48" s="1" t="s">
        <v>212</v>
      </c>
    </row>
    <row r="50" spans="1:13" x14ac:dyDescent="0.25">
      <c r="F50" s="38" t="s">
        <v>40</v>
      </c>
      <c r="G50" s="38" t="s">
        <v>39</v>
      </c>
      <c r="H50" s="38" t="s">
        <v>99</v>
      </c>
    </row>
    <row r="51" spans="1:13" x14ac:dyDescent="0.25">
      <c r="A51" s="33"/>
      <c r="B51" s="33"/>
      <c r="C51" s="1" t="s">
        <v>48</v>
      </c>
      <c r="F51" s="26">
        <f>F3/F3</f>
        <v>1</v>
      </c>
      <c r="G51" s="26">
        <f t="shared" ref="G51:H51" si="16">G3/G3</f>
        <v>1</v>
      </c>
      <c r="H51" s="26">
        <f t="shared" si="16"/>
        <v>1</v>
      </c>
    </row>
    <row r="52" spans="1:13" x14ac:dyDescent="0.25">
      <c r="B52" s="33" t="s">
        <v>28</v>
      </c>
      <c r="C52" s="1" t="s">
        <v>95</v>
      </c>
      <c r="F52" s="26">
        <f>F15/F14</f>
        <v>0.7</v>
      </c>
      <c r="G52" s="26">
        <f t="shared" ref="G52:H52" si="17">G15/G14</f>
        <v>0.71</v>
      </c>
      <c r="H52" s="26">
        <f t="shared" si="17"/>
        <v>0.72</v>
      </c>
    </row>
    <row r="53" spans="1:13" x14ac:dyDescent="0.25">
      <c r="B53" s="33" t="s">
        <v>28</v>
      </c>
      <c r="C53" s="1" t="s">
        <v>213</v>
      </c>
      <c r="F53" s="40">
        <f>F16/F14</f>
        <v>0.25562499999999999</v>
      </c>
      <c r="G53" s="40">
        <f t="shared" ref="G53:H53" si="18">G16/G14</f>
        <v>0.26250000000000001</v>
      </c>
      <c r="H53" s="40">
        <f t="shared" si="18"/>
        <v>0.26611111111111113</v>
      </c>
    </row>
    <row r="54" spans="1:13" s="2" customFormat="1" ht="20.25" x14ac:dyDescent="0.3">
      <c r="B54" s="34" t="s">
        <v>29</v>
      </c>
      <c r="C54" s="1" t="s">
        <v>5</v>
      </c>
      <c r="D54" s="3"/>
      <c r="E54" s="3"/>
      <c r="F54" s="26">
        <f>F17/F15</f>
        <v>6.339285714285714E-2</v>
      </c>
      <c r="G54" s="26">
        <f t="shared" ref="G54:H54" si="19">G17/G15</f>
        <v>3.873239436619718E-2</v>
      </c>
      <c r="H54" s="26">
        <f t="shared" si="19"/>
        <v>1.9290123456790122E-2</v>
      </c>
      <c r="I54" s="3"/>
      <c r="J54" s="1"/>
      <c r="K54" s="1"/>
      <c r="L54" s="1"/>
    </row>
    <row r="55" spans="1:13" s="2" customFormat="1" ht="20.25" x14ac:dyDescent="0.3">
      <c r="B55" s="34" t="s">
        <v>30</v>
      </c>
      <c r="C55" s="1" t="s">
        <v>37</v>
      </c>
      <c r="D55" s="3"/>
      <c r="E55" s="3"/>
      <c r="F55" s="26">
        <f>F18/F14</f>
        <v>1.4999999999999999E-2</v>
      </c>
      <c r="G55" s="26">
        <f t="shared" ref="G55:H55" si="20">G18/G14</f>
        <v>0.01</v>
      </c>
      <c r="H55" s="26">
        <f t="shared" si="20"/>
        <v>7.2222222222222219E-3</v>
      </c>
      <c r="I55" s="3"/>
      <c r="J55" s="1"/>
      <c r="K55" s="1"/>
      <c r="L55" s="1"/>
      <c r="M55" s="1"/>
    </row>
    <row r="56" spans="1:13" x14ac:dyDescent="0.25">
      <c r="B56" s="33" t="s">
        <v>28</v>
      </c>
      <c r="C56" s="1" t="s">
        <v>25</v>
      </c>
      <c r="F56" s="26">
        <f>F6/F3</f>
        <v>1.8749999999999999E-2</v>
      </c>
      <c r="G56" s="26">
        <f t="shared" ref="G56:H56" si="21">G6/G3</f>
        <v>1.8970588235294118E-2</v>
      </c>
      <c r="H56" s="26">
        <f t="shared" si="21"/>
        <v>1.8333333333333333E-2</v>
      </c>
    </row>
    <row r="57" spans="1:13" s="2" customFormat="1" ht="20.25" x14ac:dyDescent="0.3">
      <c r="B57" s="34" t="s">
        <v>29</v>
      </c>
      <c r="C57" s="1" t="s">
        <v>58</v>
      </c>
      <c r="D57" s="3"/>
      <c r="E57" s="3"/>
      <c r="F57" s="39">
        <f>F20/F14</f>
        <v>4.0625000000000001E-2</v>
      </c>
      <c r="G57" s="39">
        <f t="shared" ref="G57:H57" si="22">G20/G14</f>
        <v>1.8529411764705881E-2</v>
      </c>
      <c r="H57" s="39">
        <f t="shared" si="22"/>
        <v>2.7777777777777779E-3</v>
      </c>
      <c r="I57" s="3"/>
      <c r="J57" s="1"/>
      <c r="K57" s="1"/>
      <c r="L57" s="1"/>
    </row>
    <row r="59" spans="1:13" x14ac:dyDescent="0.25">
      <c r="B59" s="1" t="s">
        <v>214</v>
      </c>
    </row>
    <row r="60" spans="1:13" x14ac:dyDescent="0.25">
      <c r="B60" s="7">
        <v>1</v>
      </c>
      <c r="C60" s="1" t="s">
        <v>217</v>
      </c>
    </row>
    <row r="61" spans="1:13" x14ac:dyDescent="0.25">
      <c r="B61" s="7"/>
      <c r="C61" s="1" t="s">
        <v>215</v>
      </c>
    </row>
    <row r="62" spans="1:13" x14ac:dyDescent="0.25">
      <c r="B62" s="7">
        <v>2</v>
      </c>
      <c r="C62" s="1" t="s">
        <v>218</v>
      </c>
    </row>
    <row r="63" spans="1:13" x14ac:dyDescent="0.25">
      <c r="B63" s="7">
        <v>3</v>
      </c>
      <c r="C63" s="1" t="s">
        <v>216</v>
      </c>
    </row>
    <row r="65" spans="2:8" x14ac:dyDescent="0.25">
      <c r="B65" s="1" t="s">
        <v>219</v>
      </c>
    </row>
    <row r="66" spans="2:8" x14ac:dyDescent="0.25">
      <c r="B66" s="1" t="s">
        <v>220</v>
      </c>
    </row>
    <row r="68" spans="2:8" x14ac:dyDescent="0.25">
      <c r="F68" s="38" t="s">
        <v>40</v>
      </c>
      <c r="G68" s="38" t="s">
        <v>39</v>
      </c>
      <c r="H68" s="38" t="s">
        <v>99</v>
      </c>
    </row>
    <row r="69" spans="2:8" x14ac:dyDescent="0.25">
      <c r="C69" s="1" t="s">
        <v>68</v>
      </c>
      <c r="F69" s="57">
        <f>F24/F14</f>
        <v>5.9374999999999997E-2</v>
      </c>
      <c r="G69" s="57">
        <f t="shared" ref="G69:H69" si="23">G24/G14</f>
        <v>3.7499999999999999E-2</v>
      </c>
      <c r="H69" s="57">
        <f t="shared" si="23"/>
        <v>2.1111111111111112E-2</v>
      </c>
    </row>
    <row r="70" spans="2:8" x14ac:dyDescent="0.25">
      <c r="C70" s="1" t="s">
        <v>69</v>
      </c>
      <c r="F70" s="58">
        <f>F3/F7</f>
        <v>2</v>
      </c>
      <c r="G70" s="58">
        <f t="shared" ref="G70:H70" si="24">G3/G7</f>
        <v>1.9767441860465116</v>
      </c>
      <c r="H70" s="58">
        <f t="shared" si="24"/>
        <v>2.0454545454545454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1505" r:id="rId4">
          <objectPr defaultSize="0" autoPict="0" r:id="rId5">
            <anchor moveWithCells="1">
              <from>
                <xdr:col>2</xdr:col>
                <xdr:colOff>276225</xdr:colOff>
                <xdr:row>42</xdr:row>
                <xdr:rowOff>19050</xdr:rowOff>
              </from>
              <to>
                <xdr:col>5</xdr:col>
                <xdr:colOff>276225</xdr:colOff>
                <xdr:row>44</xdr:row>
                <xdr:rowOff>28575</xdr:rowOff>
              </to>
            </anchor>
          </objectPr>
        </oleObject>
      </mc:Choice>
      <mc:Fallback>
        <oleObject progId="Equation.3" shapeId="2150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FDDF9-1A22-4F2E-83D4-DCEA1D835EE4}">
  <dimension ref="A1:O39"/>
  <sheetViews>
    <sheetView showGridLines="0" topLeftCell="A17" workbookViewId="0">
      <selection activeCell="E18" sqref="E18"/>
    </sheetView>
  </sheetViews>
  <sheetFormatPr baseColWidth="10" defaultRowHeight="15.75" x14ac:dyDescent="0.25"/>
  <cols>
    <col min="1" max="1" width="4.7109375" style="1" customWidth="1"/>
    <col min="2" max="2" width="23.5703125" style="1" bestFit="1" customWidth="1"/>
    <col min="3" max="3" width="7.7109375" style="3" customWidth="1"/>
    <col min="4" max="4" width="8.7109375" style="1" customWidth="1"/>
    <col min="5" max="5" width="7.7109375" style="3" customWidth="1"/>
    <col min="6" max="6" width="8.7109375" style="1" customWidth="1"/>
    <col min="7" max="7" width="7.7109375" style="3" customWidth="1"/>
    <col min="8" max="8" width="8.7109375" style="1" customWidth="1"/>
    <col min="9" max="16384" width="11.42578125" style="1"/>
  </cols>
  <sheetData>
    <row r="1" spans="1:15" x14ac:dyDescent="0.25">
      <c r="A1" s="6" t="s">
        <v>326</v>
      </c>
    </row>
    <row r="3" spans="1:15" x14ac:dyDescent="0.25">
      <c r="A3" s="60"/>
      <c r="B3" s="51"/>
      <c r="C3" s="115" t="s">
        <v>40</v>
      </c>
      <c r="D3" s="116"/>
      <c r="E3" s="115" t="s">
        <v>39</v>
      </c>
      <c r="F3" s="116"/>
      <c r="G3" s="117" t="s">
        <v>99</v>
      </c>
      <c r="H3" s="116"/>
    </row>
    <row r="4" spans="1:15" x14ac:dyDescent="0.25">
      <c r="A4" s="61"/>
      <c r="B4" s="4"/>
      <c r="C4" s="73" t="s">
        <v>41</v>
      </c>
      <c r="D4" s="75" t="s">
        <v>42</v>
      </c>
      <c r="E4" s="73" t="s">
        <v>41</v>
      </c>
      <c r="F4" s="75" t="s">
        <v>42</v>
      </c>
      <c r="G4" s="76" t="s">
        <v>41</v>
      </c>
      <c r="H4" s="74" t="s">
        <v>42</v>
      </c>
    </row>
    <row r="5" spans="1:15" x14ac:dyDescent="0.25">
      <c r="A5" s="61"/>
      <c r="B5" s="4" t="s">
        <v>48</v>
      </c>
      <c r="C5" s="48">
        <v>4500</v>
      </c>
      <c r="D5" s="23">
        <f>C5/C5</f>
        <v>1</v>
      </c>
      <c r="E5" s="48">
        <v>5200</v>
      </c>
      <c r="F5" s="23">
        <f>E5/$E$5</f>
        <v>1</v>
      </c>
      <c r="G5" s="68">
        <v>5550</v>
      </c>
      <c r="H5" s="62">
        <f>G5/$G$5</f>
        <v>1</v>
      </c>
    </row>
    <row r="6" spans="1:15" x14ac:dyDescent="0.25">
      <c r="A6" s="61" t="s">
        <v>28</v>
      </c>
      <c r="B6" s="4" t="s">
        <v>221</v>
      </c>
      <c r="C6" s="48">
        <v>2475</v>
      </c>
      <c r="D6" s="23">
        <f>C6/$C$5</f>
        <v>0.55000000000000004</v>
      </c>
      <c r="E6" s="48">
        <v>2850</v>
      </c>
      <c r="F6" s="23">
        <f t="shared" ref="F6:F8" si="0">E6/$E$5</f>
        <v>0.54807692307692313</v>
      </c>
      <c r="G6" s="68">
        <v>3100</v>
      </c>
      <c r="H6" s="62">
        <f t="shared" ref="H6:H8" si="1">G6/$G$5</f>
        <v>0.55855855855855852</v>
      </c>
    </row>
    <row r="7" spans="1:15" x14ac:dyDescent="0.25">
      <c r="A7" s="61" t="s">
        <v>28</v>
      </c>
      <c r="B7" s="4" t="s">
        <v>222</v>
      </c>
      <c r="C7" s="48">
        <v>180</v>
      </c>
      <c r="D7" s="23">
        <f>C7/$C$5</f>
        <v>0.04</v>
      </c>
      <c r="E7" s="48">
        <v>208</v>
      </c>
      <c r="F7" s="23">
        <f t="shared" si="0"/>
        <v>0.04</v>
      </c>
      <c r="G7" s="68">
        <v>222</v>
      </c>
      <c r="H7" s="62">
        <f t="shared" si="1"/>
        <v>0.04</v>
      </c>
    </row>
    <row r="8" spans="1:15" s="2" customFormat="1" ht="20.25" x14ac:dyDescent="0.3">
      <c r="A8" s="63" t="s">
        <v>29</v>
      </c>
      <c r="B8" s="4" t="s">
        <v>96</v>
      </c>
      <c r="C8" s="71">
        <f>C5-C6-C7</f>
        <v>1845</v>
      </c>
      <c r="D8" s="22">
        <f>C8/$C$5</f>
        <v>0.41</v>
      </c>
      <c r="E8" s="71">
        <f t="shared" ref="E8:G8" si="2">E5-E6-E7</f>
        <v>2142</v>
      </c>
      <c r="F8" s="22">
        <f t="shared" si="0"/>
        <v>0.41192307692307695</v>
      </c>
      <c r="G8" s="49">
        <f t="shared" si="2"/>
        <v>2228</v>
      </c>
      <c r="H8" s="64">
        <f t="shared" si="1"/>
        <v>0.40144144144144145</v>
      </c>
      <c r="I8" s="1"/>
      <c r="J8" s="1"/>
      <c r="K8" s="1"/>
      <c r="L8" s="1"/>
      <c r="M8" s="1"/>
      <c r="N8" s="1"/>
      <c r="O8" s="1"/>
    </row>
    <row r="9" spans="1:15" x14ac:dyDescent="0.25">
      <c r="A9" s="61"/>
      <c r="B9" s="4"/>
      <c r="C9" s="48"/>
      <c r="D9" s="23"/>
      <c r="E9" s="48"/>
      <c r="F9" s="52"/>
      <c r="G9" s="68"/>
      <c r="H9" s="65"/>
    </row>
    <row r="10" spans="1:15" x14ac:dyDescent="0.25">
      <c r="A10" s="61"/>
      <c r="B10" s="66" t="s">
        <v>223</v>
      </c>
      <c r="C10" s="48"/>
      <c r="D10" s="23"/>
      <c r="E10" s="48"/>
      <c r="F10" s="52"/>
      <c r="G10" s="68"/>
      <c r="H10" s="65"/>
    </row>
    <row r="11" spans="1:15" x14ac:dyDescent="0.25">
      <c r="A11" s="61"/>
      <c r="B11" s="4" t="s">
        <v>224</v>
      </c>
      <c r="C11" s="48">
        <v>1200</v>
      </c>
      <c r="D11" s="23">
        <f>C11/$C$5</f>
        <v>0.26666666666666666</v>
      </c>
      <c r="E11" s="48">
        <v>1350</v>
      </c>
      <c r="F11" s="23">
        <f>E11/$E$5</f>
        <v>0.25961538461538464</v>
      </c>
      <c r="G11" s="68">
        <v>1400</v>
      </c>
      <c r="H11" s="62">
        <f>G11/$G$5</f>
        <v>0.25225225225225223</v>
      </c>
    </row>
    <row r="12" spans="1:15" x14ac:dyDescent="0.25">
      <c r="A12" s="61"/>
      <c r="B12" s="4" t="s">
        <v>55</v>
      </c>
      <c r="C12" s="48">
        <v>300</v>
      </c>
      <c r="D12" s="23">
        <f t="shared" ref="D12:D14" si="3">C12/$C$5</f>
        <v>6.6666666666666666E-2</v>
      </c>
      <c r="E12" s="48">
        <v>320</v>
      </c>
      <c r="F12" s="23">
        <f t="shared" ref="F12:F14" si="4">E12/$E$5</f>
        <v>6.1538461538461542E-2</v>
      </c>
      <c r="G12" s="68">
        <v>340</v>
      </c>
      <c r="H12" s="62">
        <f t="shared" ref="H12:H14" si="5">G12/$G$5</f>
        <v>6.126126126126126E-2</v>
      </c>
    </row>
    <row r="13" spans="1:15" x14ac:dyDescent="0.25">
      <c r="A13" s="61"/>
      <c r="B13" s="4" t="s">
        <v>25</v>
      </c>
      <c r="C13" s="48">
        <v>150</v>
      </c>
      <c r="D13" s="23">
        <f t="shared" si="3"/>
        <v>3.3333333333333333E-2</v>
      </c>
      <c r="E13" s="48">
        <v>140</v>
      </c>
      <c r="F13" s="23">
        <f t="shared" si="4"/>
        <v>2.6923076923076925E-2</v>
      </c>
      <c r="G13" s="68">
        <v>100</v>
      </c>
      <c r="H13" s="62">
        <f t="shared" si="5"/>
        <v>1.8018018018018018E-2</v>
      </c>
    </row>
    <row r="14" spans="1:15" s="2" customFormat="1" ht="20.25" x14ac:dyDescent="0.3">
      <c r="A14" s="61"/>
      <c r="B14" s="4" t="s">
        <v>225</v>
      </c>
      <c r="C14" s="71">
        <f>SUM(C11:C13)</f>
        <v>1650</v>
      </c>
      <c r="D14" s="22">
        <f t="shared" si="3"/>
        <v>0.36666666666666664</v>
      </c>
      <c r="E14" s="71">
        <f t="shared" ref="E14:G14" si="6">SUM(E11:E13)</f>
        <v>1810</v>
      </c>
      <c r="F14" s="22">
        <f t="shared" si="4"/>
        <v>0.34807692307692306</v>
      </c>
      <c r="G14" s="49">
        <f t="shared" si="6"/>
        <v>1840</v>
      </c>
      <c r="H14" s="64">
        <f t="shared" si="5"/>
        <v>0.33153153153153153</v>
      </c>
      <c r="I14" s="1"/>
      <c r="J14" s="1"/>
      <c r="K14" s="1"/>
      <c r="L14" s="1"/>
      <c r="M14" s="1"/>
      <c r="N14" s="1"/>
      <c r="O14" s="1"/>
    </row>
    <row r="15" spans="1:15" x14ac:dyDescent="0.25">
      <c r="A15" s="67"/>
      <c r="B15" s="4"/>
      <c r="C15" s="48"/>
      <c r="D15" s="52"/>
      <c r="E15" s="48"/>
      <c r="F15" s="52"/>
      <c r="G15" s="68"/>
      <c r="H15" s="65"/>
    </row>
    <row r="16" spans="1:15" x14ac:dyDescent="0.25">
      <c r="A16" s="67"/>
      <c r="B16" s="4" t="s">
        <v>226</v>
      </c>
      <c r="C16" s="48">
        <f>C8-C14</f>
        <v>195</v>
      </c>
      <c r="D16" s="23">
        <f>C16/C5</f>
        <v>4.3333333333333335E-2</v>
      </c>
      <c r="E16" s="48">
        <f t="shared" ref="E16:G16" si="7">E8-E14</f>
        <v>332</v>
      </c>
      <c r="F16" s="23">
        <f>E16/E5</f>
        <v>6.3846153846153844E-2</v>
      </c>
      <c r="G16" s="68">
        <f t="shared" si="7"/>
        <v>388</v>
      </c>
      <c r="H16" s="62">
        <f>G16/G5</f>
        <v>6.9909909909909904E-2</v>
      </c>
    </row>
    <row r="17" spans="1:8" x14ac:dyDescent="0.25">
      <c r="A17" s="67"/>
      <c r="B17" s="4"/>
      <c r="C17" s="48"/>
      <c r="D17" s="52"/>
      <c r="E17" s="48"/>
      <c r="F17" s="52"/>
      <c r="G17" s="68"/>
      <c r="H17" s="65"/>
    </row>
    <row r="18" spans="1:8" x14ac:dyDescent="0.25">
      <c r="A18" s="67"/>
      <c r="B18" s="4" t="s">
        <v>227</v>
      </c>
      <c r="C18" s="48">
        <f>C14/D8</f>
        <v>4024.3902439024391</v>
      </c>
      <c r="D18" s="77"/>
      <c r="E18" s="48">
        <f t="shared" ref="E18:G18" si="8">E14/F8</f>
        <v>4394.0242763772176</v>
      </c>
      <c r="F18" s="77"/>
      <c r="G18" s="68">
        <f t="shared" si="8"/>
        <v>4583.4829443447034</v>
      </c>
      <c r="H18" s="68"/>
    </row>
    <row r="19" spans="1:8" x14ac:dyDescent="0.25">
      <c r="A19" s="69"/>
      <c r="B19" s="32" t="s">
        <v>228</v>
      </c>
      <c r="C19" s="72">
        <f>C5-C18</f>
        <v>475.60975609756088</v>
      </c>
      <c r="D19" s="24">
        <f>C19/C5</f>
        <v>0.10569105691056908</v>
      </c>
      <c r="E19" s="72">
        <f t="shared" ref="E19:G19" si="9">E5-E18</f>
        <v>805.97572362278243</v>
      </c>
      <c r="F19" s="24">
        <f>E19/E5</f>
        <v>0.15499533146591971</v>
      </c>
      <c r="G19" s="78">
        <f t="shared" si="9"/>
        <v>966.51705565529664</v>
      </c>
      <c r="H19" s="70">
        <f>G19/G5</f>
        <v>0.17414721723518858</v>
      </c>
    </row>
    <row r="21" spans="1:8" x14ac:dyDescent="0.25">
      <c r="A21" s="1" t="s">
        <v>229</v>
      </c>
    </row>
    <row r="22" spans="1:8" x14ac:dyDescent="0.25">
      <c r="A22" s="1" t="s">
        <v>230</v>
      </c>
    </row>
    <row r="24" spans="1:8" x14ac:dyDescent="0.25">
      <c r="A24" s="1" t="s">
        <v>231</v>
      </c>
    </row>
    <row r="25" spans="1:8" x14ac:dyDescent="0.25">
      <c r="A25" s="1" t="s">
        <v>232</v>
      </c>
    </row>
    <row r="26" spans="1:8" x14ac:dyDescent="0.25">
      <c r="A26" s="1" t="s">
        <v>233</v>
      </c>
    </row>
    <row r="28" spans="1:8" x14ac:dyDescent="0.25">
      <c r="A28" s="1" t="s">
        <v>234</v>
      </c>
    </row>
    <row r="29" spans="1:8" x14ac:dyDescent="0.25">
      <c r="A29" s="1" t="s">
        <v>235</v>
      </c>
    </row>
    <row r="30" spans="1:8" x14ac:dyDescent="0.25">
      <c r="A30" s="1" t="s">
        <v>236</v>
      </c>
    </row>
    <row r="31" spans="1:8" x14ac:dyDescent="0.25">
      <c r="A31" s="1" t="s">
        <v>237</v>
      </c>
    </row>
    <row r="33" spans="1:1" x14ac:dyDescent="0.25">
      <c r="A33" s="1" t="s">
        <v>238</v>
      </c>
    </row>
    <row r="34" spans="1:1" x14ac:dyDescent="0.25">
      <c r="A34" s="1" t="s">
        <v>239</v>
      </c>
    </row>
    <row r="36" spans="1:1" x14ac:dyDescent="0.25">
      <c r="A36" s="1" t="s">
        <v>240</v>
      </c>
    </row>
    <row r="37" spans="1:1" x14ac:dyDescent="0.25">
      <c r="A37" s="1" t="s">
        <v>241</v>
      </c>
    </row>
    <row r="38" spans="1:1" x14ac:dyDescent="0.25">
      <c r="A38" s="1" t="s">
        <v>242</v>
      </c>
    </row>
    <row r="39" spans="1:1" x14ac:dyDescent="0.25">
      <c r="A39" s="1" t="s">
        <v>243</v>
      </c>
    </row>
  </sheetData>
  <mergeCells count="3"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4BBA-7ADD-4EE7-B297-5ECDD655A9A8}">
  <dimension ref="A1:P72"/>
  <sheetViews>
    <sheetView showGridLines="0" topLeftCell="A25" workbookViewId="0">
      <selection activeCell="K31" sqref="K31"/>
    </sheetView>
  </sheetViews>
  <sheetFormatPr baseColWidth="10" defaultRowHeight="15.75" x14ac:dyDescent="0.25"/>
  <cols>
    <col min="1" max="1" width="5.7109375" style="1" customWidth="1"/>
    <col min="2" max="2" width="2.7109375" style="7" customWidth="1"/>
    <col min="3" max="3" width="25.140625" style="1" customWidth="1"/>
    <col min="4" max="4" width="7.140625" style="3" customWidth="1"/>
    <col min="5" max="5" width="7.140625" style="1" customWidth="1"/>
    <col min="6" max="6" width="7.42578125" style="1" bestFit="1" customWidth="1"/>
    <col min="7" max="7" width="7.7109375" style="3" customWidth="1"/>
    <col min="8" max="16384" width="11.42578125" style="1"/>
  </cols>
  <sheetData>
    <row r="1" spans="1:16" x14ac:dyDescent="0.25">
      <c r="A1" s="6" t="s">
        <v>327</v>
      </c>
    </row>
    <row r="3" spans="1:16" x14ac:dyDescent="0.25">
      <c r="A3" s="1" t="s">
        <v>44</v>
      </c>
      <c r="C3" s="1" t="s">
        <v>58</v>
      </c>
      <c r="D3" s="3">
        <v>880</v>
      </c>
    </row>
    <row r="4" spans="1:16" x14ac:dyDescent="0.25">
      <c r="B4" s="9" t="s">
        <v>30</v>
      </c>
      <c r="C4" s="1" t="s">
        <v>25</v>
      </c>
      <c r="D4" s="3">
        <v>220</v>
      </c>
    </row>
    <row r="5" spans="1:16" s="2" customFormat="1" ht="20.25" x14ac:dyDescent="0.3">
      <c r="A5" s="1"/>
      <c r="B5" s="9" t="s">
        <v>29</v>
      </c>
      <c r="C5" s="1" t="s">
        <v>86</v>
      </c>
      <c r="D5" s="10">
        <f>SUM(D3:D4)</f>
        <v>1100</v>
      </c>
      <c r="E5" s="1"/>
      <c r="F5" s="1"/>
      <c r="G5" s="3"/>
      <c r="H5" s="1"/>
      <c r="I5" s="1"/>
      <c r="J5" s="1"/>
      <c r="K5" s="1"/>
      <c r="L5" s="1"/>
      <c r="M5" s="1"/>
      <c r="N5" s="1"/>
      <c r="O5" s="1"/>
      <c r="P5" s="1"/>
    </row>
    <row r="7" spans="1:16" x14ac:dyDescent="0.25">
      <c r="B7" s="79" t="s">
        <v>244</v>
      </c>
      <c r="F7" s="40">
        <f>D5/8000</f>
        <v>0.13750000000000001</v>
      </c>
    </row>
    <row r="8" spans="1:16" x14ac:dyDescent="0.25">
      <c r="B8" s="79"/>
    </row>
    <row r="9" spans="1:16" x14ac:dyDescent="0.25">
      <c r="B9" s="79" t="s">
        <v>245</v>
      </c>
      <c r="F9" s="40">
        <f>D5/14000</f>
        <v>7.857142857142857E-2</v>
      </c>
    </row>
    <row r="10" spans="1:16" x14ac:dyDescent="0.25">
      <c r="B10" s="79"/>
    </row>
    <row r="11" spans="1:16" x14ac:dyDescent="0.25">
      <c r="B11" s="79" t="s">
        <v>246</v>
      </c>
      <c r="F11" s="32">
        <f>14000/8000</f>
        <v>1.75</v>
      </c>
    </row>
    <row r="12" spans="1:16" x14ac:dyDescent="0.25">
      <c r="B12" s="79"/>
    </row>
    <row r="13" spans="1:16" x14ac:dyDescent="0.25">
      <c r="B13" s="79" t="s">
        <v>247</v>
      </c>
    </row>
    <row r="14" spans="1:16" x14ac:dyDescent="0.25">
      <c r="B14" s="79" t="s">
        <v>248</v>
      </c>
    </row>
    <row r="15" spans="1:16" x14ac:dyDescent="0.25">
      <c r="B15" s="79"/>
    </row>
    <row r="16" spans="1:16" x14ac:dyDescent="0.25">
      <c r="B16" s="79" t="s">
        <v>249</v>
      </c>
      <c r="G16" s="3">
        <f>8000-5000</f>
        <v>3000</v>
      </c>
    </row>
    <row r="17" spans="1:6" x14ac:dyDescent="0.25">
      <c r="B17" s="79"/>
    </row>
    <row r="18" spans="1:6" x14ac:dyDescent="0.25">
      <c r="B18" s="79" t="s">
        <v>250</v>
      </c>
      <c r="F18" s="40">
        <f>880/G16</f>
        <v>0.29333333333333333</v>
      </c>
    </row>
    <row r="19" spans="1:6" x14ac:dyDescent="0.25">
      <c r="B19" s="79"/>
    </row>
    <row r="20" spans="1:6" x14ac:dyDescent="0.25">
      <c r="B20" s="79" t="s">
        <v>251</v>
      </c>
      <c r="F20" s="40">
        <f>220/5000</f>
        <v>4.3999999999999997E-2</v>
      </c>
    </row>
    <row r="21" spans="1:6" x14ac:dyDescent="0.25">
      <c r="B21" s="79"/>
    </row>
    <row r="22" spans="1:6" x14ac:dyDescent="0.25">
      <c r="B22" s="79" t="s">
        <v>252</v>
      </c>
    </row>
    <row r="23" spans="1:6" x14ac:dyDescent="0.25">
      <c r="B23" s="79" t="s">
        <v>253</v>
      </c>
    </row>
    <row r="24" spans="1:6" x14ac:dyDescent="0.25">
      <c r="B24" s="79" t="s">
        <v>254</v>
      </c>
    </row>
    <row r="26" spans="1:6" x14ac:dyDescent="0.25">
      <c r="A26" s="1" t="s">
        <v>46</v>
      </c>
      <c r="B26" s="79" t="s">
        <v>255</v>
      </c>
    </row>
    <row r="27" spans="1:6" x14ac:dyDescent="0.25">
      <c r="B27" s="79" t="s">
        <v>256</v>
      </c>
    </row>
    <row r="31" spans="1:6" ht="18.75" x14ac:dyDescent="0.35">
      <c r="B31" s="79" t="s">
        <v>258</v>
      </c>
    </row>
    <row r="32" spans="1:6" x14ac:dyDescent="0.25">
      <c r="B32" s="79" t="s">
        <v>257</v>
      </c>
    </row>
    <row r="34" spans="1:3" x14ac:dyDescent="0.25">
      <c r="B34" s="79" t="s">
        <v>259</v>
      </c>
    </row>
    <row r="35" spans="1:3" x14ac:dyDescent="0.25">
      <c r="B35" s="79">
        <v>1</v>
      </c>
      <c r="C35" s="1" t="s">
        <v>260</v>
      </c>
    </row>
    <row r="36" spans="1:3" x14ac:dyDescent="0.25">
      <c r="B36" s="79">
        <v>2</v>
      </c>
      <c r="C36" s="1" t="s">
        <v>261</v>
      </c>
    </row>
    <row r="37" spans="1:3" x14ac:dyDescent="0.25">
      <c r="B37" s="79">
        <v>3</v>
      </c>
      <c r="C37" s="1" t="s">
        <v>262</v>
      </c>
    </row>
    <row r="38" spans="1:3" x14ac:dyDescent="0.25">
      <c r="B38" s="79"/>
    </row>
    <row r="39" spans="1:3" x14ac:dyDescent="0.25">
      <c r="B39" s="79" t="s">
        <v>399</v>
      </c>
    </row>
    <row r="40" spans="1:3" x14ac:dyDescent="0.25">
      <c r="B40" s="79" t="s">
        <v>263</v>
      </c>
    </row>
    <row r="41" spans="1:3" x14ac:dyDescent="0.25">
      <c r="B41" s="80" t="s">
        <v>264</v>
      </c>
    </row>
    <row r="42" spans="1:3" x14ac:dyDescent="0.25">
      <c r="B42" s="80" t="s">
        <v>265</v>
      </c>
    </row>
    <row r="43" spans="1:3" x14ac:dyDescent="0.25">
      <c r="B43" s="80" t="s">
        <v>266</v>
      </c>
    </row>
    <row r="44" spans="1:3" x14ac:dyDescent="0.25">
      <c r="B44" s="80"/>
    </row>
    <row r="45" spans="1:3" x14ac:dyDescent="0.25">
      <c r="A45" s="1" t="s">
        <v>65</v>
      </c>
      <c r="B45" s="79" t="s">
        <v>281</v>
      </c>
    </row>
    <row r="46" spans="1:3" x14ac:dyDescent="0.25">
      <c r="B46" s="80" t="s">
        <v>282</v>
      </c>
    </row>
    <row r="47" spans="1:3" x14ac:dyDescent="0.25">
      <c r="B47" s="80"/>
    </row>
    <row r="48" spans="1:3" x14ac:dyDescent="0.25">
      <c r="B48" s="8" t="s">
        <v>267</v>
      </c>
    </row>
    <row r="49" spans="2:2" x14ac:dyDescent="0.25">
      <c r="B49" s="79" t="s">
        <v>268</v>
      </c>
    </row>
    <row r="50" spans="2:2" x14ac:dyDescent="0.25">
      <c r="B50" s="79" t="s">
        <v>269</v>
      </c>
    </row>
    <row r="51" spans="2:2" x14ac:dyDescent="0.25">
      <c r="B51" s="79" t="s">
        <v>270</v>
      </c>
    </row>
    <row r="52" spans="2:2" x14ac:dyDescent="0.25">
      <c r="B52" s="79" t="s">
        <v>271</v>
      </c>
    </row>
    <row r="53" spans="2:2" x14ac:dyDescent="0.25">
      <c r="B53" s="79"/>
    </row>
    <row r="54" spans="2:2" x14ac:dyDescent="0.25">
      <c r="B54" s="8" t="s">
        <v>272</v>
      </c>
    </row>
    <row r="55" spans="2:2" x14ac:dyDescent="0.25">
      <c r="B55" s="79" t="s">
        <v>273</v>
      </c>
    </row>
    <row r="56" spans="2:2" ht="18.75" x14ac:dyDescent="0.35">
      <c r="B56" s="79" t="s">
        <v>274</v>
      </c>
    </row>
    <row r="57" spans="2:2" x14ac:dyDescent="0.25">
      <c r="B57" s="79" t="s">
        <v>275</v>
      </c>
    </row>
    <row r="58" spans="2:2" x14ac:dyDescent="0.25">
      <c r="B58" s="79" t="s">
        <v>276</v>
      </c>
    </row>
    <row r="59" spans="2:2" x14ac:dyDescent="0.25">
      <c r="B59" s="79"/>
    </row>
    <row r="60" spans="2:2" x14ac:dyDescent="0.25">
      <c r="B60" s="8" t="s">
        <v>277</v>
      </c>
    </row>
    <row r="61" spans="2:2" x14ac:dyDescent="0.25">
      <c r="B61" s="79" t="s">
        <v>278</v>
      </c>
    </row>
    <row r="62" spans="2:2" ht="18.75" x14ac:dyDescent="0.35">
      <c r="B62" s="79" t="s">
        <v>279</v>
      </c>
    </row>
    <row r="63" spans="2:2" x14ac:dyDescent="0.25">
      <c r="B63" s="79" t="s">
        <v>280</v>
      </c>
    </row>
    <row r="64" spans="2:2" x14ac:dyDescent="0.25">
      <c r="B64" s="79"/>
    </row>
    <row r="65" spans="2:2" x14ac:dyDescent="0.25">
      <c r="B65" s="79"/>
    </row>
    <row r="66" spans="2:2" x14ac:dyDescent="0.25">
      <c r="B66" s="79"/>
    </row>
    <row r="67" spans="2:2" x14ac:dyDescent="0.25">
      <c r="B67" s="79"/>
    </row>
    <row r="68" spans="2:2" x14ac:dyDescent="0.25">
      <c r="B68" s="79"/>
    </row>
    <row r="69" spans="2:2" x14ac:dyDescent="0.25">
      <c r="B69" s="79"/>
    </row>
    <row r="70" spans="2:2" x14ac:dyDescent="0.25">
      <c r="B70" s="79"/>
    </row>
    <row r="71" spans="2:2" x14ac:dyDescent="0.25">
      <c r="B71" s="79"/>
    </row>
    <row r="72" spans="2:2" x14ac:dyDescent="0.25">
      <c r="B72" s="7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6865" r:id="rId4">
          <objectPr defaultSize="0" autoPict="0" r:id="rId5">
            <anchor moveWithCells="1">
              <from>
                <xdr:col>1</xdr:col>
                <xdr:colOff>66675</xdr:colOff>
                <xdr:row>27</xdr:row>
                <xdr:rowOff>95250</xdr:rowOff>
              </from>
              <to>
                <xdr:col>4</xdr:col>
                <xdr:colOff>19050</xdr:colOff>
                <xdr:row>29</xdr:row>
                <xdr:rowOff>104775</xdr:rowOff>
              </to>
            </anchor>
          </objectPr>
        </oleObject>
      </mc:Choice>
      <mc:Fallback>
        <oleObject progId="Equation.3" shapeId="36865" r:id="rId4"/>
      </mc:Fallback>
    </mc:AlternateContent>
    <mc:AlternateContent xmlns:mc="http://schemas.openxmlformats.org/markup-compatibility/2006">
      <mc:Choice Requires="x14">
        <oleObject progId="Equation.3" shapeId="36866" r:id="rId6">
          <objectPr defaultSize="0" autoPict="0" r:id="rId5">
            <anchor moveWithCells="1">
              <from>
                <xdr:col>2</xdr:col>
                <xdr:colOff>76200</xdr:colOff>
                <xdr:row>27</xdr:row>
                <xdr:rowOff>66675</xdr:rowOff>
              </from>
              <to>
                <xdr:col>4</xdr:col>
                <xdr:colOff>209550</xdr:colOff>
                <xdr:row>29</xdr:row>
                <xdr:rowOff>76200</xdr:rowOff>
              </to>
            </anchor>
          </objectPr>
        </oleObject>
      </mc:Choice>
      <mc:Fallback>
        <oleObject progId="Equation.3" shapeId="36866" r:id="rId6"/>
      </mc:Fallback>
    </mc:AlternateContent>
    <mc:AlternateContent xmlns:mc="http://schemas.openxmlformats.org/markup-compatibility/2006">
      <mc:Choice Requires="x14">
        <oleObject progId="Equation.3" shapeId="36867" r:id="rId7">
          <objectPr defaultSize="0" autoPict="0" r:id="rId5">
            <anchor moveWithCells="1">
              <from>
                <xdr:col>1</xdr:col>
                <xdr:colOff>19050</xdr:colOff>
                <xdr:row>27</xdr:row>
                <xdr:rowOff>76200</xdr:rowOff>
              </from>
              <to>
                <xdr:col>3</xdr:col>
                <xdr:colOff>447675</xdr:colOff>
                <xdr:row>29</xdr:row>
                <xdr:rowOff>85725</xdr:rowOff>
              </to>
            </anchor>
          </objectPr>
        </oleObject>
      </mc:Choice>
      <mc:Fallback>
        <oleObject progId="Equation.3" shapeId="36867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7.17</vt:lpstr>
      <vt:lpstr>7.18</vt:lpstr>
      <vt:lpstr>7.19 </vt:lpstr>
      <vt:lpstr>7.20</vt:lpstr>
      <vt:lpstr>7.21</vt:lpstr>
      <vt:lpstr>7.22</vt:lpstr>
      <vt:lpstr>7.23</vt:lpstr>
      <vt:lpstr>7.24</vt:lpstr>
      <vt:lpstr>7.25</vt:lpstr>
      <vt:lpstr>7.26 </vt:lpstr>
      <vt:lpstr>Kontantstrøm 7.26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2022-01-09T16:11:13Z</cp:lastPrinted>
  <dcterms:created xsi:type="dcterms:W3CDTF">1997-01-16T18:32:43Z</dcterms:created>
  <dcterms:modified xsi:type="dcterms:W3CDTF">2022-01-10T14:24:18Z</dcterms:modified>
</cp:coreProperties>
</file>