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gnfswh\OneDrive - Gyldendal\Desktop\"/>
    </mc:Choice>
  </mc:AlternateContent>
  <xr:revisionPtr revIDLastSave="0" documentId="8_{56FA4D37-E258-4B6A-9D30-6C2222486E9B}" xr6:coauthVersionLast="36" xr6:coauthVersionMax="36" xr10:uidLastSave="{00000000-0000-0000-0000-000000000000}"/>
  <bookViews>
    <workbookView xWindow="0" yWindow="0" windowWidth="23040" windowHeight="8484" firstSheet="3" activeTab="5" xr2:uid="{00000000-000D-0000-FFFF-FFFF00000000}"/>
  </bookViews>
  <sheets>
    <sheet name="Oppgave 9.1" sheetId="1" r:id="rId1"/>
    <sheet name="Oppgave 9.2" sheetId="2" r:id="rId2"/>
    <sheet name="Oppgave 9.3" sheetId="3" r:id="rId3"/>
    <sheet name="Oppgave 9.4" sheetId="4" r:id="rId4"/>
    <sheet name="Oppgave 9.5" sheetId="5" r:id="rId5"/>
    <sheet name="Oppgave 9.6" sheetId="6" r:id="rId6"/>
    <sheet name="Oppgave 9.7" sheetId="10" r:id="rId7"/>
    <sheet name="Skattemelding til 9.7" sheetId="11" r:id="rId8"/>
    <sheet name="Oppgave 9.8" sheetId="9" r:id="rId9"/>
  </sheets>
  <definedNames>
    <definedName name="_xlnm.Print_Area" localSheetId="1">'Oppgave 9.2'!$A$1:$M$58,'Oppgave 9.2'!$N$30:$AA$58</definedName>
    <definedName name="_xlnm.Print_Area" localSheetId="3">'Oppgave 9.4'!$A$1:$BG$29,'Oppgave 9.4'!$A$30:$AC$58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1" l="1"/>
  <c r="C13" i="11"/>
  <c r="C8" i="11" s="1"/>
  <c r="AT24" i="10"/>
  <c r="AS24" i="10"/>
  <c r="AR24" i="10"/>
  <c r="AQ24" i="10"/>
  <c r="AP24" i="10"/>
  <c r="AO24" i="10"/>
  <c r="AN24" i="10"/>
  <c r="AM24" i="10"/>
  <c r="AL24" i="10"/>
  <c r="AK24" i="10"/>
  <c r="AJ24" i="10"/>
  <c r="AH24" i="10"/>
  <c r="AG24" i="10"/>
  <c r="AE24" i="10"/>
  <c r="AD24" i="10"/>
  <c r="AC24" i="10"/>
  <c r="AB24" i="10"/>
  <c r="X24" i="10"/>
  <c r="W24" i="10"/>
  <c r="U24" i="10"/>
  <c r="T24" i="10"/>
  <c r="S24" i="10"/>
  <c r="R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Y23" i="10"/>
  <c r="Z23" i="10" s="1"/>
  <c r="V22" i="10"/>
  <c r="AU21" i="10"/>
  <c r="AU20" i="10"/>
  <c r="AU19" i="10"/>
  <c r="AU18" i="10"/>
  <c r="AU17" i="10"/>
  <c r="AI16" i="10"/>
  <c r="AI24" i="10" s="1"/>
  <c r="AU15" i="10"/>
  <c r="AU14" i="10"/>
  <c r="AU13" i="10"/>
  <c r="AU12" i="10"/>
  <c r="AU11" i="10"/>
  <c r="AU10" i="10"/>
  <c r="BD9" i="10"/>
  <c r="AU9" i="10"/>
  <c r="AU8" i="10"/>
  <c r="AU7" i="10"/>
  <c r="AA22" i="10" l="1"/>
  <c r="AA24" i="10" s="1"/>
  <c r="Y24" i="10"/>
  <c r="V24" i="10"/>
  <c r="AU16" i="10"/>
  <c r="E13" i="11"/>
  <c r="E66" i="11" s="1"/>
  <c r="AU23" i="10"/>
  <c r="Z24" i="10"/>
  <c r="AU22" i="10" l="1"/>
  <c r="F24" i="4"/>
  <c r="F23" i="4"/>
  <c r="D32" i="1"/>
  <c r="F10" i="6" l="1"/>
  <c r="F14" i="6" s="1"/>
  <c r="AO24" i="4"/>
  <c r="AH15" i="4" l="1"/>
  <c r="AL10" i="4"/>
  <c r="AQ10" i="4" s="1"/>
  <c r="AH9" i="4"/>
  <c r="AT9" i="4" s="1"/>
  <c r="BE28" i="3" l="1"/>
  <c r="BE23" i="3"/>
  <c r="BE24" i="3"/>
  <c r="BE25" i="3"/>
  <c r="BE26" i="3"/>
  <c r="BE27" i="3"/>
  <c r="AQ18" i="3"/>
  <c r="AM17" i="3"/>
  <c r="G10" i="2" l="1"/>
  <c r="G18" i="2" s="1"/>
  <c r="D34" i="1"/>
  <c r="D33" i="1"/>
  <c r="D31" i="1"/>
  <c r="D30" i="1"/>
  <c r="D38" i="1" s="1"/>
  <c r="E11" i="1"/>
  <c r="G12" i="2" l="1"/>
  <c r="E35" i="2"/>
  <c r="G17" i="2"/>
  <c r="O7" i="6"/>
  <c r="U27" i="5"/>
  <c r="U26" i="5"/>
  <c r="U25" i="5"/>
  <c r="U24" i="5"/>
  <c r="U23" i="5"/>
  <c r="F10" i="5"/>
  <c r="P41" i="4"/>
  <c r="P40" i="4"/>
  <c r="P39" i="4"/>
  <c r="B34" i="4"/>
  <c r="BE17" i="4"/>
  <c r="BD17" i="4"/>
  <c r="E54" i="4" s="1"/>
  <c r="I54" i="4" s="1"/>
  <c r="S41" i="4" s="1"/>
  <c r="BC17" i="4"/>
  <c r="BB17" i="4"/>
  <c r="E53" i="4" s="1"/>
  <c r="I53" i="4" s="1"/>
  <c r="S40" i="4" s="1"/>
  <c r="BA17" i="4"/>
  <c r="AZ17" i="4"/>
  <c r="E52" i="4" s="1"/>
  <c r="I52" i="4" s="1"/>
  <c r="S39" i="4" s="1"/>
  <c r="AY17" i="4"/>
  <c r="AX17" i="4"/>
  <c r="AW17" i="4"/>
  <c r="AV17" i="4"/>
  <c r="E50" i="4" s="1"/>
  <c r="I50" i="4" s="1"/>
  <c r="AU17" i="4"/>
  <c r="AT17" i="4"/>
  <c r="E49" i="4" s="1"/>
  <c r="I49" i="4" s="1"/>
  <c r="AR17" i="4"/>
  <c r="AQ17" i="4"/>
  <c r="E48" i="4" s="1"/>
  <c r="I48" i="4" s="1"/>
  <c r="AP17" i="4"/>
  <c r="AO17" i="4"/>
  <c r="E47" i="4" s="1"/>
  <c r="I47" i="4" s="1"/>
  <c r="AN17" i="4"/>
  <c r="F46" i="4" s="1"/>
  <c r="J46" i="4" s="1"/>
  <c r="J56" i="4" s="1"/>
  <c r="AM17" i="4"/>
  <c r="AL17" i="4"/>
  <c r="F45" i="4" s="1"/>
  <c r="L45" i="4" s="1"/>
  <c r="X47" i="4" s="1"/>
  <c r="AK17" i="4"/>
  <c r="AJ17" i="4"/>
  <c r="F44" i="4" s="1"/>
  <c r="L44" i="4" s="1"/>
  <c r="AI17" i="4"/>
  <c r="AH17" i="4"/>
  <c r="AG17" i="4"/>
  <c r="AF17" i="4"/>
  <c r="AE17" i="4"/>
  <c r="AD17" i="4"/>
  <c r="AC17" i="4"/>
  <c r="AB17" i="4"/>
  <c r="AA17" i="4"/>
  <c r="Z17" i="4"/>
  <c r="Y17" i="4"/>
  <c r="X17" i="4"/>
  <c r="E39" i="4" s="1"/>
  <c r="H39" i="4" s="1"/>
  <c r="G38" i="4" s="1"/>
  <c r="W17" i="4"/>
  <c r="F38" i="4" s="1"/>
  <c r="V17" i="4"/>
  <c r="U17" i="4"/>
  <c r="T17" i="4"/>
  <c r="E37" i="4" s="1"/>
  <c r="K37" i="4" s="1"/>
  <c r="S17" i="4"/>
  <c r="R17" i="4"/>
  <c r="Q17" i="4"/>
  <c r="P17" i="4"/>
  <c r="N17" i="4"/>
  <c r="M17" i="4"/>
  <c r="N22" i="4" s="1"/>
  <c r="L17" i="4"/>
  <c r="K17" i="4"/>
  <c r="N21" i="4" s="1"/>
  <c r="J17" i="4"/>
  <c r="I17" i="4"/>
  <c r="H17" i="4"/>
  <c r="G17" i="4"/>
  <c r="E34" i="4" s="1"/>
  <c r="F17" i="4"/>
  <c r="E17" i="4"/>
  <c r="E33" i="4" s="1"/>
  <c r="BF16" i="4"/>
  <c r="BF15" i="4"/>
  <c r="BF14" i="4"/>
  <c r="BF13" i="4"/>
  <c r="BF12" i="4"/>
  <c r="BF11" i="4"/>
  <c r="BF10" i="4"/>
  <c r="BF9" i="4"/>
  <c r="BF8" i="4"/>
  <c r="BF7" i="4"/>
  <c r="BF6" i="4"/>
  <c r="BE22" i="3"/>
  <c r="BE21" i="3"/>
  <c r="BE20" i="3"/>
  <c r="BE19" i="3"/>
  <c r="BE18" i="3"/>
  <c r="BE17" i="3"/>
  <c r="BE16" i="3"/>
  <c r="BE15" i="3"/>
  <c r="BE14" i="3"/>
  <c r="BE13" i="3"/>
  <c r="BE12" i="3"/>
  <c r="BE11" i="3"/>
  <c r="BE10" i="3"/>
  <c r="BE9" i="3"/>
  <c r="BE8" i="3"/>
  <c r="BE7" i="3"/>
  <c r="X57" i="2"/>
  <c r="X56" i="2"/>
  <c r="X55" i="2"/>
  <c r="X54" i="2"/>
  <c r="X53" i="2"/>
  <c r="X52" i="2"/>
  <c r="V25" i="1"/>
  <c r="V26" i="1"/>
  <c r="V27" i="1"/>
  <c r="V28" i="1"/>
  <c r="V24" i="1"/>
  <c r="F41" i="4" l="1"/>
  <c r="L41" i="4" s="1"/>
  <c r="X45" i="4" s="1"/>
  <c r="F42" i="4"/>
  <c r="L42" i="4" s="1"/>
  <c r="S37" i="4"/>
  <c r="N20" i="4"/>
  <c r="N23" i="4" s="1"/>
  <c r="E35" i="4" s="1"/>
  <c r="K35" i="4" s="1"/>
  <c r="X36" i="4" s="1"/>
  <c r="E36" i="4"/>
  <c r="K36" i="4" s="1"/>
  <c r="X37" i="4" s="1"/>
  <c r="F40" i="4"/>
  <c r="L40" i="4" s="1"/>
  <c r="G13" i="2"/>
  <c r="E36" i="2" s="1"/>
  <c r="E38" i="2" s="1"/>
  <c r="H34" i="4"/>
  <c r="K34" i="4" s="1"/>
  <c r="X35" i="4" s="1"/>
  <c r="S34" i="4"/>
  <c r="H33" i="4"/>
  <c r="F43" i="4"/>
  <c r="L43" i="4" s="1"/>
  <c r="X46" i="4" s="1"/>
  <c r="X44" i="4"/>
  <c r="E56" i="4"/>
  <c r="BF17" i="4"/>
  <c r="G15" i="2" l="1"/>
  <c r="G51" i="4"/>
  <c r="K33" i="4"/>
  <c r="X48" i="4"/>
  <c r="F56" i="4"/>
  <c r="F58" i="4" s="1"/>
  <c r="K56" i="4" l="1"/>
  <c r="X34" i="4"/>
  <c r="X38" i="4" s="1"/>
  <c r="I51" i="4"/>
  <c r="G55" i="4" l="1"/>
  <c r="S38" i="4"/>
  <c r="S42" i="4" s="1"/>
  <c r="S44" i="4" s="1"/>
  <c r="H38" i="4" l="1"/>
  <c r="I55" i="4"/>
  <c r="I56" i="4" s="1"/>
  <c r="G56" i="4"/>
  <c r="L38" i="4" l="1"/>
  <c r="H56" i="4"/>
  <c r="X41" i="4" l="1"/>
  <c r="X50" i="4" s="1"/>
  <c r="L56" i="4"/>
</calcChain>
</file>

<file path=xl/sharedStrings.xml><?xml version="1.0" encoding="utf-8"?>
<sst xmlns="http://schemas.openxmlformats.org/spreadsheetml/2006/main" count="761" uniqueCount="317">
  <si>
    <t>a)</t>
  </si>
  <si>
    <t>Regnskapsbilag</t>
  </si>
  <si>
    <t>Arkitekt Lise Andersen</t>
  </si>
  <si>
    <t>Tekst</t>
  </si>
  <si>
    <t>Brutto lønn</t>
  </si>
  <si>
    <t>Skattetrekk</t>
  </si>
  <si>
    <t>Netto lønn</t>
  </si>
  <si>
    <t>Arbeidsgiveravgift</t>
  </si>
  <si>
    <t>Påløpt feriepenger</t>
  </si>
  <si>
    <t>Konto</t>
  </si>
  <si>
    <t>debet</t>
  </si>
  <si>
    <t>Beløp</t>
  </si>
  <si>
    <t>kredit</t>
  </si>
  <si>
    <t>Dato:</t>
  </si>
  <si>
    <t>30.11.x1</t>
  </si>
  <si>
    <t>Bilag nr.</t>
  </si>
  <si>
    <t>b og c)</t>
  </si>
  <si>
    <t>Arbeidsgiveravgift på feriepenger</t>
  </si>
  <si>
    <t>Debet</t>
  </si>
  <si>
    <t>Kredit</t>
  </si>
  <si>
    <t>Kontroll</t>
  </si>
  <si>
    <t>1950 Bank trekk</t>
  </si>
  <si>
    <t>Kasssekreditt</t>
  </si>
  <si>
    <t>Skyldig skattetrekk</t>
  </si>
  <si>
    <t>2770 Skyldig</t>
  </si>
  <si>
    <t>arbeidsgiveravgift</t>
  </si>
  <si>
    <t>2780 Påløpt</t>
  </si>
  <si>
    <t>feriepenger</t>
  </si>
  <si>
    <t>Dato</t>
  </si>
  <si>
    <t>30.11.</t>
  </si>
  <si>
    <t>5000 Lønn</t>
  </si>
  <si>
    <t>Feriepenger</t>
  </si>
  <si>
    <t>30.11</t>
  </si>
  <si>
    <t>d)</t>
  </si>
  <si>
    <t>Jens Eriksen</t>
  </si>
  <si>
    <t>Tromsø VVS AS</t>
  </si>
  <si>
    <t>Dato: 30.9.x1</t>
  </si>
  <si>
    <t>Denne perioden</t>
  </si>
  <si>
    <t>Hittil i år</t>
  </si>
  <si>
    <t>Lønnsart</t>
  </si>
  <si>
    <t>Antall</t>
  </si>
  <si>
    <t>Kroner</t>
  </si>
  <si>
    <t>%-sats</t>
  </si>
  <si>
    <t>Timelønn</t>
  </si>
  <si>
    <t>Akkordlønn</t>
  </si>
  <si>
    <t>Forskudd</t>
  </si>
  <si>
    <t>Netto utbetalt</t>
  </si>
  <si>
    <t>Trekkgrunnlag</t>
  </si>
  <si>
    <t>Grunnlag for feriepenger</t>
  </si>
  <si>
    <t>b)</t>
  </si>
  <si>
    <t>30.9.x1</t>
  </si>
  <si>
    <t xml:space="preserve">Netto utbetalt </t>
  </si>
  <si>
    <t>c - e)</t>
  </si>
  <si>
    <t>Forskudd på</t>
  </si>
  <si>
    <t>lønn</t>
  </si>
  <si>
    <t>30.9.</t>
  </si>
  <si>
    <t>a og b)</t>
  </si>
  <si>
    <t>Rad</t>
  </si>
  <si>
    <t>2700 Utgående</t>
  </si>
  <si>
    <t>2710 Inngående</t>
  </si>
  <si>
    <t>2740 Oppgjørskonto</t>
  </si>
  <si>
    <t>2780 Påløpt arb.g.-</t>
  </si>
  <si>
    <t>3000 Avg.pl.</t>
  </si>
  <si>
    <t>7790 Andre</t>
  </si>
  <si>
    <t>Varebiler</t>
  </si>
  <si>
    <t>Inventar</t>
  </si>
  <si>
    <t>Varebeholdning</t>
  </si>
  <si>
    <t>Forskudd lønn</t>
  </si>
  <si>
    <t>Kontanter</t>
  </si>
  <si>
    <t>Bank trekk</t>
  </si>
  <si>
    <t>Egenkapital</t>
  </si>
  <si>
    <t>Privatkonto</t>
  </si>
  <si>
    <t>Kassekreditt</t>
  </si>
  <si>
    <t>AS Delelager</t>
  </si>
  <si>
    <t>Ola Rud</t>
  </si>
  <si>
    <t>merverdiavgift</t>
  </si>
  <si>
    <t>avgift feriepenger</t>
  </si>
  <si>
    <t>varesalg</t>
  </si>
  <si>
    <t>Varekjøp</t>
  </si>
  <si>
    <t>Lønn</t>
  </si>
  <si>
    <t>driftskostnader</t>
  </si>
  <si>
    <t xml:space="preserve">a) </t>
  </si>
  <si>
    <t>10010 Eigersund</t>
  </si>
  <si>
    <t>10015 Farsund</t>
  </si>
  <si>
    <t>10024 Eigersund</t>
  </si>
  <si>
    <t>1570 Forskudd</t>
  </si>
  <si>
    <t>1950 Bank-</t>
  </si>
  <si>
    <t>5420 Obl.</t>
  </si>
  <si>
    <t>Bil.</t>
  </si>
  <si>
    <t>Industri AS</t>
  </si>
  <si>
    <t>Båtbyggeri AS</t>
  </si>
  <si>
    <t>kommune</t>
  </si>
  <si>
    <t>på lønn</t>
  </si>
  <si>
    <t>innskudd trekk</t>
  </si>
  <si>
    <t>Bakken kapital</t>
  </si>
  <si>
    <t>Bakken privat</t>
  </si>
  <si>
    <t>Salgsinntekter</t>
  </si>
  <si>
    <t>tjenestepensjon</t>
  </si>
  <si>
    <t>Avskrivninger</t>
  </si>
  <si>
    <t>Varebilkostnader</t>
  </si>
  <si>
    <t>Rentekostnader</t>
  </si>
  <si>
    <t>nr.</t>
  </si>
  <si>
    <t>Råbalanse</t>
  </si>
  <si>
    <t>Saldoliste kunder</t>
  </si>
  <si>
    <t>Eigersund Industri AS</t>
  </si>
  <si>
    <t>Farsund Båtbyggeri AS</t>
  </si>
  <si>
    <t>Eigersund kommune</t>
  </si>
  <si>
    <t>Obligatorisk tjenestepensjon</t>
  </si>
  <si>
    <t>Andre driftskostnader</t>
  </si>
  <si>
    <t>Saldobalanse</t>
  </si>
  <si>
    <t>Posteringer</t>
  </si>
  <si>
    <t>Resultat</t>
  </si>
  <si>
    <t>Balanse</t>
  </si>
  <si>
    <t>Nr.</t>
  </si>
  <si>
    <t>Inntekter</t>
  </si>
  <si>
    <t>Eiendeler</t>
  </si>
  <si>
    <t>Kundefordringer</t>
  </si>
  <si>
    <t>Kostnader</t>
  </si>
  <si>
    <t>Bankinnskudd trekk</t>
  </si>
  <si>
    <t>Kontanter og bankinnskudd</t>
  </si>
  <si>
    <t>(konto 1900 og 1950)</t>
  </si>
  <si>
    <t>Sum eiendeler</t>
  </si>
  <si>
    <t>Egenkapital og gjeld</t>
  </si>
  <si>
    <t>Sum kostnader</t>
  </si>
  <si>
    <t>Skyldig arbeidsgiveravgift</t>
  </si>
  <si>
    <t>Gjeld</t>
  </si>
  <si>
    <t>c)</t>
  </si>
  <si>
    <t>Påløpt arbeidsgiveravgift</t>
  </si>
  <si>
    <t>Skyldige offentlige avgifter</t>
  </si>
  <si>
    <t>(konto 2600, 2770 og 2780)</t>
  </si>
  <si>
    <t>Sum gjeld</t>
  </si>
  <si>
    <t>Sum egenkapital og gjeld</t>
  </si>
  <si>
    <t>OTP</t>
  </si>
  <si>
    <t>Konteringsbilag</t>
  </si>
  <si>
    <t>15.5.x1</t>
  </si>
  <si>
    <t>Bilag nr.:</t>
  </si>
  <si>
    <t xml:space="preserve">Beløp </t>
  </si>
  <si>
    <t>Arbeidsgiveravgift på påløpt feriepenger</t>
  </si>
  <si>
    <t>15.5.</t>
  </si>
  <si>
    <t>Lønn mai</t>
  </si>
  <si>
    <t>15.5</t>
  </si>
  <si>
    <t>Arbeidsg.avgift på feriepenger</t>
  </si>
  <si>
    <t>Overført bank trekk</t>
  </si>
  <si>
    <t>Bankinnskudd</t>
  </si>
  <si>
    <t>Inngående mva.</t>
  </si>
  <si>
    <t>Kurskostnader</t>
  </si>
  <si>
    <t>Bilgodtgjørelse</t>
  </si>
  <si>
    <t>Reisekostnader</t>
  </si>
  <si>
    <t>Diettkostnad</t>
  </si>
  <si>
    <t>Betalt med giro</t>
  </si>
  <si>
    <t>Varebil</t>
  </si>
  <si>
    <t>AS Tredal</t>
  </si>
  <si>
    <t>Konto 5420 Obligatorisk tjenestepensjon er utelatt av plasshensyn. Posteringene på denne kontoen er allerede ført.</t>
  </si>
  <si>
    <t>Løsning oppgave 9.1</t>
  </si>
  <si>
    <t>Påløpte feriepenger</t>
  </si>
  <si>
    <t>Arb.giveravgift av feriepenger</t>
  </si>
  <si>
    <t>Overført til bank trekk</t>
  </si>
  <si>
    <t>Arb.g.avgift på feriepenger</t>
  </si>
  <si>
    <t>Lønn og sosiale kostnader</t>
  </si>
  <si>
    <t>eller</t>
  </si>
  <si>
    <r>
      <t xml:space="preserve">104 600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1,12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1,141 =</t>
    </r>
  </si>
  <si>
    <t>på feriepenger</t>
  </si>
  <si>
    <t>Skattetrekk: 32 %</t>
  </si>
  <si>
    <t>Løsning oppgave 9.2</t>
  </si>
  <si>
    <t>Arb.giveravgift på feriepenger</t>
  </si>
  <si>
    <t>Løsning oppgave 9.3</t>
  </si>
  <si>
    <t>Inngående balanse</t>
  </si>
  <si>
    <t>Privatuttak</t>
  </si>
  <si>
    <t>Nettgiro</t>
  </si>
  <si>
    <t>Mottatt giro</t>
  </si>
  <si>
    <t>15.1.</t>
  </si>
  <si>
    <t>Betalt skattetrekk</t>
  </si>
  <si>
    <t>Betalt arb.g.avgift</t>
  </si>
  <si>
    <t>Arb.g.avg på f.penger</t>
  </si>
  <si>
    <t>Overført skattetrekk</t>
  </si>
  <si>
    <t>Varesalg</t>
  </si>
  <si>
    <t>Tjenestepensjon</t>
  </si>
  <si>
    <t>5420 Obligatorisk</t>
  </si>
  <si>
    <t>Banklån</t>
  </si>
  <si>
    <t>Overført konto 1950</t>
  </si>
  <si>
    <t>21.12.</t>
  </si>
  <si>
    <t>Arb.g.avgift/f.penger</t>
  </si>
  <si>
    <t>Sentralbordtjeneste</t>
  </si>
  <si>
    <t>31.12.</t>
  </si>
  <si>
    <t>Renter og provisjon</t>
  </si>
  <si>
    <t>Balanse per 31.12.20x1</t>
  </si>
  <si>
    <t>Resultatregnskap for 20x1</t>
  </si>
  <si>
    <t>Evelyn Bakken begynte å ansette folk i september, altså i 5. termin. Skattetrekk og arbeidsgiveravgift for september og oktober, dvs.</t>
  </si>
  <si>
    <t>5 termin, forfaller til betaling 15. november. Dermed er kr 49 000 skattetrekk for september og oktober.</t>
  </si>
  <si>
    <r>
      <t xml:space="preserve">Debetbeløpet i råbalansen på konto </t>
    </r>
    <r>
      <rPr>
        <i/>
        <sz val="11"/>
        <rFont val="Times New Roman"/>
        <family val="1"/>
      </rPr>
      <t>2600 Skattetrekk</t>
    </r>
    <r>
      <rPr>
        <sz val="11"/>
        <rFont val="Times New Roman"/>
        <family val="1"/>
      </rPr>
      <t xml:space="preserve"> viser hvor mye som er betalt til Kemneren (Skatteoppkreveren) i 20x1.</t>
    </r>
  </si>
  <si>
    <t>Skattetrekk for desember inngår ikke i råbalansen på konto 2600. Vi ser at det i alt er trukket kr 73 500 per 30. november. Herav</t>
  </si>
  <si>
    <t xml:space="preserve">gjelder kr 49 000 september og oktober. Da må skattetrekket i november være kr (73 500 – 49 000) = </t>
  </si>
  <si>
    <t>viser hva som ble betalt til Kemneren/Skatteoppkreveren 15. november.</t>
  </si>
  <si>
    <t>Løsning oppgave 9.4</t>
  </si>
  <si>
    <t>Løsning oppgave 9.5</t>
  </si>
  <si>
    <t>Løsning oppgave 9.6</t>
  </si>
  <si>
    <t>Kursavgift</t>
  </si>
  <si>
    <t>Overnatting (her mva.: kr 160)</t>
  </si>
  <si>
    <t>Sum</t>
  </si>
  <si>
    <t>Kjøregodtgjørelse: 360 km à kr 3,50 =</t>
  </si>
  <si>
    <t>Løsning oppgave 9.7</t>
  </si>
  <si>
    <t>Arb.g.avg/f.p.</t>
  </si>
  <si>
    <t>Utbetalt f.penger</t>
  </si>
  <si>
    <t>Arb.g.avgift</t>
  </si>
  <si>
    <t>Overført til 1950</t>
  </si>
  <si>
    <t>Privat annonse</t>
  </si>
  <si>
    <t>Giro</t>
  </si>
  <si>
    <t>Kontantrabatt</t>
  </si>
  <si>
    <t>Kreditnota</t>
  </si>
  <si>
    <t>Toner til printer</t>
  </si>
  <si>
    <t>28.2.</t>
  </si>
  <si>
    <t>Oppgjør kto 2700</t>
  </si>
  <si>
    <t>Oppgjør kto 2710</t>
  </si>
  <si>
    <t>Avgiftsposter og tilleggsopplysninger</t>
  </si>
  <si>
    <t>A.</t>
  </si>
  <si>
    <t>Samlet omsetning, uttak og innførsel</t>
  </si>
  <si>
    <t>Grunnlag</t>
  </si>
  <si>
    <t>Avgift</t>
  </si>
  <si>
    <t>Post 1 Samlet omsetning og uttak</t>
  </si>
  <si>
    <t>utenfor merverdiavgiftsloven</t>
  </si>
  <si>
    <t>Post 2 Samlet omsetning og uttak innenfor</t>
  </si>
  <si>
    <t>merverdiavgiftsloven og innførsel</t>
  </si>
  <si>
    <t>B.</t>
  </si>
  <si>
    <t>Innenlands omsetning og uttak</t>
  </si>
  <si>
    <t>Post 3 Innenlands omsetning og uttak, og</t>
  </si>
  <si>
    <t>+</t>
  </si>
  <si>
    <t>beregnet avgift 25 %</t>
  </si>
  <si>
    <t>Post 4 Innenlands omsetning og uttak, og</t>
  </si>
  <si>
    <t>beregnet avgift 15 %</t>
  </si>
  <si>
    <t>Post 5 Innenlands omsetning og uttak, og</t>
  </si>
  <si>
    <t>beregnet avgift 12 %</t>
  </si>
  <si>
    <t>Post 6 Innenlands omsetning og uttak fritatt for</t>
  </si>
  <si>
    <t>Post 7 Innenlands omsetning med omvendt</t>
  </si>
  <si>
    <t>avgiftsplikt</t>
  </si>
  <si>
    <t>C.</t>
  </si>
  <si>
    <t>Utførsel</t>
  </si>
  <si>
    <t xml:space="preserve">Post 8 Utførsel av varer, fritatt for </t>
  </si>
  <si>
    <t>D.</t>
  </si>
  <si>
    <t>Innførsel av varer</t>
  </si>
  <si>
    <t>Post 9 Innførsel av varer, og beregnet avgift 25 %</t>
  </si>
  <si>
    <t>Post 10 Innførsel av varer, og beregnet avgift 15 %</t>
  </si>
  <si>
    <t>Post 11 Innførsel av varer som det ikke skal beregnes</t>
  </si>
  <si>
    <t>merverdiavgift av</t>
  </si>
  <si>
    <t>E.</t>
  </si>
  <si>
    <t>Kjøp med omvendt avgiftsplikt</t>
  </si>
  <si>
    <t>Post 12 Tjenester kjøpt fra utlandet, og beregnet</t>
  </si>
  <si>
    <t>avgift 25 %</t>
  </si>
  <si>
    <t>Post 13 Innenlands kjøp av varer og tjenester, og</t>
  </si>
  <si>
    <t>F.</t>
  </si>
  <si>
    <t>Fradragsberettiget innenlands inngående avgift</t>
  </si>
  <si>
    <t>Post 14 Fradragsberettiget innenlands inngående avgift 25 %</t>
  </si>
  <si>
    <t>–</t>
  </si>
  <si>
    <t>Post 15 Fradragsberettiget innenlands inngående avgift 15 %</t>
  </si>
  <si>
    <t>Post 16 Fradragsberettiget innenlands inngående avgift 12 %</t>
  </si>
  <si>
    <t>G.</t>
  </si>
  <si>
    <t>Fradragsberettiget innførselsmerverdiavgift</t>
  </si>
  <si>
    <t>Post 17 Fradragsberettiget innførselsmerverdiavgift 25 %</t>
  </si>
  <si>
    <t>Post 18 Fradragsberettiget innførselsmerverdiavgift 15 %</t>
  </si>
  <si>
    <t>H.</t>
  </si>
  <si>
    <t>Post 19 Avgift til gode</t>
  </si>
  <si>
    <t>I forbindelse med innsendingen av skattemeldingen kan det være fornuftig</t>
  </si>
  <si>
    <t>anskaffelsen som fører til at firmaet har merverdiavgift til gode.</t>
  </si>
  <si>
    <t>Foreløpig råbalanse</t>
  </si>
  <si>
    <t>å opplyse  at firmaet har anskaffet en ny varebil, og at det er denne</t>
  </si>
  <si>
    <t>Selve utbetalingen av feriepenger vil ikke ha noen betydning for resultatet for 20x4. Dette er betaling av gjeld,</t>
  </si>
  <si>
    <t>og ingen resultatkontoer (kontoer i kontokodeklasse 3 – 8 blir påvirket. Indirekte vil utbetalingen ha</t>
  </si>
  <si>
    <t>Bilag 206 - betaling av feriepenger</t>
  </si>
  <si>
    <r>
      <t xml:space="preserve">Når vi utbetaler feriepenger, bør arbeidsgiveravgiften på kr 3 525 overføres fra konto 2780 til konto 2770. Konto </t>
    </r>
    <r>
      <rPr>
        <i/>
        <sz val="12"/>
        <rFont val="Times New Roman"/>
        <family val="1"/>
      </rPr>
      <t>2770 Skyldig arbeidsgiveravgift</t>
    </r>
  </si>
  <si>
    <t>en betydning fordi arbeidsgiveren taper litt renteinntekter på bankkontoen, men dette har en helt marginal betydning.</t>
  </si>
  <si>
    <t>Organisasjonsnr.: 985 545 605</t>
  </si>
  <si>
    <t>AS Maskin &amp; Mek.</t>
  </si>
  <si>
    <t>Printer</t>
  </si>
  <si>
    <t>Lønn og sosiale kostnader:</t>
  </si>
  <si>
    <t>Saldoene på kontoene blir overført automatisk til</t>
  </si>
  <si>
    <t>den tabellariske løsningen nedenfor.</t>
  </si>
  <si>
    <r>
      <t xml:space="preserve">Avskrivning varebil: 285 000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0,20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4/12 =</t>
    </r>
  </si>
  <si>
    <r>
      <t xml:space="preserve">Avskrivning inventar: 84 000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0,10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4/12 =</t>
    </r>
  </si>
  <si>
    <t>Kreditbeløpet er arbeidsgiveravgift på lønn og tjenestepensjon for perioden 1. september til 20. desember, mens debetbeløpet</t>
  </si>
  <si>
    <r>
      <t xml:space="preserve">Reglene er nærmere beskrevet i GBS 10 </t>
    </r>
    <r>
      <rPr>
        <i/>
        <sz val="12"/>
        <rFont val="Times New Roman"/>
        <family val="1"/>
      </rPr>
      <t>Dokumentasjon av medgått tid.</t>
    </r>
  </si>
  <si>
    <t>Kravet innebærer at den ansatte fører timeliste over alle oppdrag og interne arbeids-</t>
  </si>
  <si>
    <t>oppgaver. Dette er en plikt for alle som selger tjenester der prisen baseres på</t>
  </si>
  <si>
    <t>forbrukte timer.</t>
  </si>
  <si>
    <t>Honoraret til en regnskapsfører er beregnet ut fra hvor mange timer som brukes.</t>
  </si>
  <si>
    <t>Det er derfor plikt til å dokumentere medgått tid.</t>
  </si>
  <si>
    <t xml:space="preserve">Taxiregningen er basert på antall kilometer skyssen varer. Det er derfor ikke plikt til </t>
  </si>
  <si>
    <t>å dokumentere medgått tid.</t>
  </si>
  <si>
    <t>1950 Trekk-</t>
  </si>
  <si>
    <t>innskudd</t>
  </si>
  <si>
    <t>Kredittallet er skyldig merverdiavgift per 31.12.x3. Beløpet på debetsiden viser betalingen av merverdiavgift.</t>
  </si>
  <si>
    <t>Bilkompaniet AS</t>
  </si>
  <si>
    <t>H. Øyanger AS</t>
  </si>
  <si>
    <t>arb.g.avg. feriepenger</t>
  </si>
  <si>
    <t>Avg.pl. varesalg</t>
  </si>
  <si>
    <t>Kontorrekvisita</t>
  </si>
  <si>
    <t>Fristen for denne betalingen var 10. februar, og alt tyder på at den ble betalt ved forfall.</t>
  </si>
  <si>
    <t>Konto 2770 kan forklares slik:</t>
  </si>
  <si>
    <t>Betalt 15.1.</t>
  </si>
  <si>
    <t>IB (skyldig 1.1)</t>
  </si>
  <si>
    <t xml:space="preserve">Bokført arb.g.avg. hittil </t>
  </si>
  <si>
    <t>Debettallet på kontoen viser hva som er blitt betalt hittil i år. Dermed vil IB på kontoen være på 22 500.</t>
  </si>
  <si>
    <t>Arbeidsgiveravgiften på lønnen for januar og OTP må derfor være kr 34 344 – kr 22 500 = kr 11 844</t>
  </si>
  <si>
    <t>Lønnen for januar utgjør kr 80 000 (se konto 5000). Bokført OTP hittil er kr 4 000. 14,1 % av kr 84 000 = kr 11 844.</t>
  </si>
  <si>
    <t>Konto 2780 Påløpt arbeidsgiveravgift på feriepenger</t>
  </si>
  <si>
    <t>Kreditsaldoen på kr 14 685 består av IB  (1.1.x4) samt arbeidsgiveravgift på feriepenger for januar.</t>
  </si>
  <si>
    <t>Feriepenger for januar utgjør kr 8 160 (10,2 % av kr 80 000). Arbeidsgiveravgift på feriepenger er 14,1 % av 8 160 =</t>
  </si>
  <si>
    <t>kr 1 150. Påløpt arbeidsgiveravgift per 1.1. er derfor kr 14 685 – kr 1 150 = kr 13 535.</t>
  </si>
  <si>
    <t>Konto 2940 Påløpte feriepenger</t>
  </si>
  <si>
    <t>Før lønnsutbetalingen for februar viser kontoen av firmaet skylder sine ansatte kr 104 160 i feriepenger.</t>
  </si>
  <si>
    <t>Av dette beløpet er kr 8 160 påløpt i år. Dermed må kr 104 160 – kr 8 160 = kr 96 000 være påløpte</t>
  </si>
  <si>
    <t>feriepenger for 20x3 (i fjor).</t>
  </si>
  <si>
    <t>viser hvor mye arbeidsgiveravgift som skal betales ved neste forfall, som er 15. mars. Da forfaller også kr 3 525.</t>
  </si>
  <si>
    <t>Bokføringsforskriften § 5-14 har regler om dokumentasjon av medgått tid.</t>
  </si>
  <si>
    <t xml:space="preserve">Løsning oppgave 9.8 </t>
  </si>
  <si>
    <t>Korrigert 12.11.2020</t>
  </si>
  <si>
    <t>Bilag 515 rettet 31.5.2021. Netto lønn skal være kr 68 000. Utbetalingen er kr 58 000.</t>
  </si>
  <si>
    <t>Diettkostnad: 3 døgn à kr 400 =</t>
  </si>
  <si>
    <t>Rettet 24.8.2021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</si>
</sst>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;@"/>
    <numFmt numFmtId="165" formatCode="&quot;kr&quot;\ #,##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6"/>
      <name val="Arial"/>
      <family val="2"/>
    </font>
    <font>
      <sz val="12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Times New Roman"/>
      <family val="1"/>
    </font>
    <font>
      <sz val="11"/>
      <name val="Calibri"/>
      <family val="2"/>
    </font>
    <font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1" fillId="0" borderId="0"/>
  </cellStyleXfs>
  <cellXfs count="34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0" xfId="0" applyNumberFormat="1" applyFont="1"/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3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3" fontId="3" fillId="0" borderId="13" xfId="0" applyNumberFormat="1" applyFont="1" applyBorder="1"/>
    <xf numFmtId="0" fontId="3" fillId="0" borderId="15" xfId="0" applyFont="1" applyBorder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3" fontId="3" fillId="0" borderId="16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3" fillId="0" borderId="16" xfId="0" applyFont="1" applyBorder="1" applyAlignment="1">
      <alignment horizontal="left"/>
    </xf>
    <xf numFmtId="0" fontId="3" fillId="0" borderId="0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10" xfId="0" applyNumberFormat="1" applyFont="1" applyBorder="1"/>
    <xf numFmtId="3" fontId="3" fillId="2" borderId="10" xfId="0" applyNumberFormat="1" applyFont="1" applyFill="1" applyBorder="1"/>
    <xf numFmtId="3" fontId="3" fillId="0" borderId="14" xfId="0" applyNumberFormat="1" applyFont="1" applyBorder="1"/>
    <xf numFmtId="3" fontId="3" fillId="2" borderId="14" xfId="0" applyNumberFormat="1" applyFont="1" applyFill="1" applyBorder="1"/>
    <xf numFmtId="3" fontId="3" fillId="0" borderId="17" xfId="0" applyNumberFormat="1" applyFont="1" applyBorder="1"/>
    <xf numFmtId="3" fontId="3" fillId="2" borderId="17" xfId="0" applyNumberFormat="1" applyFont="1" applyFill="1" applyBorder="1"/>
    <xf numFmtId="3" fontId="3" fillId="0" borderId="5" xfId="0" applyNumberFormat="1" applyFont="1" applyBorder="1"/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18" xfId="1" applyFont="1" applyBorder="1"/>
    <xf numFmtId="0" fontId="3" fillId="0" borderId="0" xfId="1" applyFont="1" applyBorder="1"/>
    <xf numFmtId="0" fontId="3" fillId="0" borderId="19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21" xfId="1" applyFont="1" applyBorder="1" applyAlignment="1">
      <alignment horizontal="center"/>
    </xf>
    <xf numFmtId="0" fontId="3" fillId="0" borderId="8" xfId="1" applyFont="1" applyBorder="1"/>
    <xf numFmtId="3" fontId="3" fillId="0" borderId="21" xfId="1" applyNumberFormat="1" applyFont="1" applyBorder="1" applyAlignment="1">
      <alignment horizontal="center"/>
    </xf>
    <xf numFmtId="3" fontId="3" fillId="0" borderId="7" xfId="1" applyNumberFormat="1" applyFont="1" applyBorder="1"/>
    <xf numFmtId="0" fontId="3" fillId="0" borderId="22" xfId="1" applyFont="1" applyBorder="1"/>
    <xf numFmtId="3" fontId="3" fillId="0" borderId="8" xfId="1" applyNumberFormat="1" applyFont="1" applyBorder="1"/>
    <xf numFmtId="3" fontId="3" fillId="0" borderId="22" xfId="1" applyNumberFormat="1" applyFont="1" applyBorder="1"/>
    <xf numFmtId="0" fontId="6" fillId="0" borderId="0" xfId="1" applyFont="1"/>
    <xf numFmtId="0" fontId="4" fillId="0" borderId="0" xfId="1" applyFont="1" applyBorder="1"/>
    <xf numFmtId="3" fontId="3" fillId="0" borderId="21" xfId="1" applyNumberFormat="1" applyFont="1" applyBorder="1"/>
    <xf numFmtId="0" fontId="7" fillId="0" borderId="22" xfId="1" applyFont="1" applyBorder="1"/>
    <xf numFmtId="0" fontId="7" fillId="0" borderId="0" xfId="1" applyFont="1" applyBorder="1"/>
    <xf numFmtId="3" fontId="7" fillId="0" borderId="22" xfId="1" applyNumberFormat="1" applyFont="1" applyBorder="1"/>
    <xf numFmtId="0" fontId="7" fillId="0" borderId="0" xfId="1" applyFont="1"/>
    <xf numFmtId="0" fontId="4" fillId="0" borderId="1" xfId="1" applyFont="1" applyBorder="1"/>
    <xf numFmtId="0" fontId="4" fillId="0" borderId="2" xfId="1" applyFont="1" applyBorder="1"/>
    <xf numFmtId="0" fontId="3" fillId="0" borderId="7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3" fontId="3" fillId="0" borderId="11" xfId="1" applyNumberFormat="1" applyFont="1" applyBorder="1"/>
    <xf numFmtId="0" fontId="3" fillId="0" borderId="12" xfId="1" applyFont="1" applyBorder="1" applyAlignment="1">
      <alignment horizontal="left"/>
    </xf>
    <xf numFmtId="0" fontId="3" fillId="0" borderId="13" xfId="1" applyFont="1" applyBorder="1"/>
    <xf numFmtId="0" fontId="3" fillId="0" borderId="20" xfId="1" applyFont="1" applyBorder="1"/>
    <xf numFmtId="0" fontId="3" fillId="0" borderId="14" xfId="1" applyFont="1" applyBorder="1" applyAlignment="1">
      <alignment horizontal="center"/>
    </xf>
    <xf numFmtId="3" fontId="3" fillId="0" borderId="13" xfId="1" applyNumberFormat="1" applyFont="1" applyBorder="1"/>
    <xf numFmtId="3" fontId="3" fillId="0" borderId="0" xfId="1" applyNumberFormat="1" applyFont="1"/>
    <xf numFmtId="0" fontId="3" fillId="0" borderId="15" xfId="1" applyFont="1" applyBorder="1" applyAlignment="1">
      <alignment horizontal="left"/>
    </xf>
    <xf numFmtId="0" fontId="3" fillId="0" borderId="16" xfId="1" applyFont="1" applyBorder="1" applyAlignment="1">
      <alignment horizontal="left"/>
    </xf>
    <xf numFmtId="0" fontId="3" fillId="0" borderId="16" xfId="1" applyFont="1" applyBorder="1"/>
    <xf numFmtId="0" fontId="3" fillId="0" borderId="17" xfId="1" applyFont="1" applyBorder="1" applyAlignment="1">
      <alignment horizontal="center"/>
    </xf>
    <xf numFmtId="3" fontId="3" fillId="0" borderId="16" xfId="1" applyNumberFormat="1" applyFont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0" xfId="1" applyFont="1" applyBorder="1"/>
    <xf numFmtId="3" fontId="3" fillId="0" borderId="10" xfId="1" applyNumberFormat="1" applyFont="1" applyBorder="1"/>
    <xf numFmtId="3" fontId="3" fillId="2" borderId="10" xfId="1" applyNumberFormat="1" applyFont="1" applyFill="1" applyBorder="1"/>
    <xf numFmtId="164" fontId="3" fillId="0" borderId="23" xfId="1" quotePrefix="1" applyNumberFormat="1" applyFont="1" applyBorder="1" applyAlignment="1">
      <alignment horizontal="left"/>
    </xf>
    <xf numFmtId="164" fontId="3" fillId="0" borderId="24" xfId="1" applyNumberFormat="1" applyFont="1" applyBorder="1" applyAlignment="1">
      <alignment horizontal="left"/>
    </xf>
    <xf numFmtId="0" fontId="3" fillId="0" borderId="25" xfId="1" applyFont="1" applyBorder="1"/>
    <xf numFmtId="3" fontId="3" fillId="0" borderId="25" xfId="1" applyNumberFormat="1" applyFont="1" applyBorder="1"/>
    <xf numFmtId="3" fontId="3" fillId="2" borderId="25" xfId="1" applyNumberFormat="1" applyFont="1" applyFill="1" applyBorder="1"/>
    <xf numFmtId="3" fontId="3" fillId="0" borderId="14" xfId="1" applyNumberFormat="1" applyFont="1" applyBorder="1"/>
    <xf numFmtId="0" fontId="3" fillId="0" borderId="14" xfId="1" applyFont="1" applyBorder="1"/>
    <xf numFmtId="3" fontId="3" fillId="2" borderId="14" xfId="1" applyNumberFormat="1" applyFont="1" applyFill="1" applyBorder="1"/>
    <xf numFmtId="0" fontId="3" fillId="0" borderId="17" xfId="1" applyFont="1" applyBorder="1"/>
    <xf numFmtId="3" fontId="3" fillId="0" borderId="17" xfId="1" applyNumberFormat="1" applyFont="1" applyBorder="1"/>
    <xf numFmtId="3" fontId="3" fillId="2" borderId="17" xfId="1" applyNumberFormat="1" applyFont="1" applyFill="1" applyBorder="1"/>
    <xf numFmtId="3" fontId="3" fillId="0" borderId="0" xfId="1" applyNumberFormat="1" applyFont="1" applyBorder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1" fontId="3" fillId="0" borderId="0" xfId="1" applyNumberFormat="1" applyFont="1"/>
    <xf numFmtId="49" fontId="8" fillId="0" borderId="18" xfId="1" applyNumberFormat="1" applyFont="1" applyBorder="1" applyAlignment="1">
      <alignment horizontal="center"/>
    </xf>
    <xf numFmtId="0" fontId="8" fillId="0" borderId="22" xfId="1" applyFont="1" applyBorder="1"/>
    <xf numFmtId="49" fontId="3" fillId="0" borderId="4" xfId="1" applyNumberFormat="1" applyFont="1" applyBorder="1"/>
    <xf numFmtId="1" fontId="3" fillId="0" borderId="8" xfId="1" applyNumberFormat="1" applyFont="1" applyBorder="1" applyAlignment="1">
      <alignment horizontal="center"/>
    </xf>
    <xf numFmtId="3" fontId="3" fillId="0" borderId="21" xfId="1" applyNumberFormat="1" applyFont="1" applyFill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164" fontId="3" fillId="0" borderId="25" xfId="1" applyNumberFormat="1" applyFont="1" applyBorder="1" applyAlignment="1">
      <alignment horizontal="right"/>
    </xf>
    <xf numFmtId="0" fontId="3" fillId="0" borderId="23" xfId="1" applyFont="1" applyBorder="1"/>
    <xf numFmtId="0" fontId="8" fillId="0" borderId="10" xfId="1" applyFont="1" applyBorder="1"/>
    <xf numFmtId="3" fontId="8" fillId="0" borderId="10" xfId="1" applyNumberFormat="1" applyFont="1" applyBorder="1"/>
    <xf numFmtId="3" fontId="3" fillId="0" borderId="10" xfId="1" applyNumberFormat="1" applyFont="1" applyFill="1" applyBorder="1"/>
    <xf numFmtId="3" fontId="8" fillId="0" borderId="10" xfId="1" applyNumberFormat="1" applyFont="1" applyFill="1" applyBorder="1"/>
    <xf numFmtId="3" fontId="3" fillId="0" borderId="10" xfId="1" applyNumberFormat="1" applyFont="1" applyBorder="1" applyAlignment="1">
      <alignment horizontal="right"/>
    </xf>
    <xf numFmtId="164" fontId="3" fillId="0" borderId="14" xfId="1" applyNumberFormat="1" applyFont="1" applyBorder="1" applyAlignment="1">
      <alignment horizontal="right"/>
    </xf>
    <xf numFmtId="0" fontId="3" fillId="0" borderId="12" xfId="1" applyFont="1" applyBorder="1"/>
    <xf numFmtId="0" fontId="8" fillId="0" borderId="14" xfId="1" applyFont="1" applyBorder="1"/>
    <xf numFmtId="3" fontId="8" fillId="0" borderId="14" xfId="1" applyNumberFormat="1" applyFont="1" applyBorder="1"/>
    <xf numFmtId="3" fontId="3" fillId="0" borderId="14" xfId="1" applyNumberFormat="1" applyFont="1" applyFill="1" applyBorder="1"/>
    <xf numFmtId="3" fontId="8" fillId="0" borderId="14" xfId="1" applyNumberFormat="1" applyFont="1" applyFill="1" applyBorder="1"/>
    <xf numFmtId="3" fontId="3" fillId="0" borderId="14" xfId="1" applyNumberFormat="1" applyFont="1" applyBorder="1" applyAlignment="1">
      <alignment horizontal="right"/>
    </xf>
    <xf numFmtId="164" fontId="3" fillId="0" borderId="17" xfId="1" applyNumberFormat="1" applyFont="1" applyBorder="1" applyAlignment="1">
      <alignment horizontal="right"/>
    </xf>
    <xf numFmtId="0" fontId="8" fillId="0" borderId="17" xfId="1" applyFont="1" applyBorder="1"/>
    <xf numFmtId="3" fontId="8" fillId="0" borderId="17" xfId="1" applyNumberFormat="1" applyFont="1" applyBorder="1"/>
    <xf numFmtId="3" fontId="3" fillId="0" borderId="17" xfId="1" applyNumberFormat="1" applyFont="1" applyFill="1" applyBorder="1"/>
    <xf numFmtId="3" fontId="8" fillId="0" borderId="17" xfId="1" applyNumberFormat="1" applyFont="1" applyFill="1" applyBorder="1"/>
    <xf numFmtId="3" fontId="3" fillId="0" borderId="17" xfId="1" applyNumberFormat="1" applyFont="1" applyBorder="1" applyAlignment="1">
      <alignment horizontal="right"/>
    </xf>
    <xf numFmtId="3" fontId="9" fillId="0" borderId="0" xfId="1" applyNumberFormat="1" applyFont="1" applyBorder="1"/>
    <xf numFmtId="1" fontId="3" fillId="0" borderId="0" xfId="1" applyNumberFormat="1" applyFont="1" applyBorder="1" applyAlignment="1">
      <alignment horizontal="center"/>
    </xf>
    <xf numFmtId="4" fontId="3" fillId="0" borderId="0" xfId="1" applyNumberFormat="1" applyFont="1"/>
    <xf numFmtId="0" fontId="5" fillId="0" borderId="0" xfId="1"/>
    <xf numFmtId="1" fontId="8" fillId="0" borderId="7" xfId="1" applyNumberFormat="1" applyFont="1" applyBorder="1" applyAlignment="1">
      <alignment horizontal="center"/>
    </xf>
    <xf numFmtId="1" fontId="8" fillId="0" borderId="7" xfId="1" applyNumberFormat="1" applyFont="1" applyBorder="1"/>
    <xf numFmtId="49" fontId="8" fillId="0" borderId="22" xfId="1" applyNumberFormat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49" fontId="3" fillId="0" borderId="8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/>
    </xf>
    <xf numFmtId="3" fontId="10" fillId="0" borderId="10" xfId="1" applyNumberFormat="1" applyFont="1" applyBorder="1"/>
    <xf numFmtId="3" fontId="10" fillId="2" borderId="10" xfId="1" applyNumberFormat="1" applyFont="1" applyFill="1" applyBorder="1"/>
    <xf numFmtId="3" fontId="10" fillId="0" borderId="10" xfId="1" applyNumberFormat="1" applyFont="1" applyFill="1" applyBorder="1"/>
    <xf numFmtId="3" fontId="10" fillId="0" borderId="10" xfId="1" applyNumberFormat="1" applyFont="1" applyBorder="1" applyAlignment="1">
      <alignment horizontal="right"/>
    </xf>
    <xf numFmtId="3" fontId="10" fillId="0" borderId="14" xfId="1" applyNumberFormat="1" applyFont="1" applyBorder="1"/>
    <xf numFmtId="3" fontId="10" fillId="2" borderId="14" xfId="1" applyNumberFormat="1" applyFont="1" applyFill="1" applyBorder="1"/>
    <xf numFmtId="3" fontId="10" fillId="0" borderId="14" xfId="1" applyNumberFormat="1" applyFont="1" applyFill="1" applyBorder="1"/>
    <xf numFmtId="3" fontId="10" fillId="0" borderId="14" xfId="1" applyNumberFormat="1" applyFont="1" applyBorder="1" applyAlignment="1">
      <alignment horizontal="right"/>
    </xf>
    <xf numFmtId="164" fontId="3" fillId="0" borderId="22" xfId="1" applyNumberFormat="1" applyFont="1" applyBorder="1" applyAlignment="1">
      <alignment horizontal="right"/>
    </xf>
    <xf numFmtId="3" fontId="10" fillId="0" borderId="22" xfId="1" applyNumberFormat="1" applyFont="1" applyBorder="1"/>
    <xf numFmtId="3" fontId="10" fillId="2" borderId="22" xfId="1" applyNumberFormat="1" applyFont="1" applyFill="1" applyBorder="1"/>
    <xf numFmtId="3" fontId="8" fillId="0" borderId="22" xfId="1" applyNumberFormat="1" applyFont="1" applyBorder="1"/>
    <xf numFmtId="3" fontId="10" fillId="0" borderId="22" xfId="1" applyNumberFormat="1" applyFont="1" applyFill="1" applyBorder="1"/>
    <xf numFmtId="164" fontId="10" fillId="0" borderId="21" xfId="1" applyNumberFormat="1" applyFont="1" applyBorder="1" applyAlignment="1">
      <alignment horizontal="right"/>
    </xf>
    <xf numFmtId="0" fontId="10" fillId="0" borderId="21" xfId="1" applyFont="1" applyBorder="1"/>
    <xf numFmtId="0" fontId="8" fillId="0" borderId="21" xfId="1" applyFont="1" applyBorder="1"/>
    <xf numFmtId="3" fontId="10" fillId="0" borderId="21" xfId="1" applyNumberFormat="1" applyFont="1" applyBorder="1"/>
    <xf numFmtId="3" fontId="10" fillId="2" borderId="21" xfId="1" applyNumberFormat="1" applyFont="1" applyFill="1" applyBorder="1"/>
    <xf numFmtId="3" fontId="8" fillId="0" borderId="21" xfId="1" applyNumberFormat="1" applyFont="1" applyBorder="1"/>
    <xf numFmtId="3" fontId="10" fillId="0" borderId="21" xfId="1" applyNumberFormat="1" applyFont="1" applyFill="1" applyBorder="1"/>
    <xf numFmtId="49" fontId="4" fillId="0" borderId="0" xfId="1" applyNumberFormat="1" applyFont="1"/>
    <xf numFmtId="3" fontId="4" fillId="0" borderId="0" xfId="1" applyNumberFormat="1" applyFont="1"/>
    <xf numFmtId="1" fontId="10" fillId="0" borderId="0" xfId="1" applyNumberFormat="1" applyFont="1" applyAlignment="1">
      <alignment horizontal="center"/>
    </xf>
    <xf numFmtId="3" fontId="10" fillId="0" borderId="0" xfId="1" applyNumberFormat="1" applyFont="1"/>
    <xf numFmtId="3" fontId="10" fillId="0" borderId="13" xfId="1" applyNumberFormat="1" applyFont="1" applyBorder="1"/>
    <xf numFmtId="3" fontId="10" fillId="0" borderId="26" xfId="1" applyNumberFormat="1" applyFont="1" applyBorder="1"/>
    <xf numFmtId="3" fontId="3" fillId="0" borderId="26" xfId="1" applyNumberFormat="1" applyFont="1" applyBorder="1"/>
    <xf numFmtId="3" fontId="3" fillId="0" borderId="5" xfId="1" applyNumberFormat="1" applyFont="1" applyBorder="1"/>
    <xf numFmtId="3" fontId="3" fillId="0" borderId="0" xfId="1" applyNumberFormat="1" applyFont="1" applyAlignment="1">
      <alignment horizontal="left" indent="3"/>
    </xf>
    <xf numFmtId="49" fontId="3" fillId="0" borderId="1" xfId="1" applyNumberFormat="1" applyFont="1" applyBorder="1" applyAlignment="1" applyProtection="1">
      <alignment horizontal="center"/>
    </xf>
    <xf numFmtId="0" fontId="3" fillId="0" borderId="1" xfId="1" applyFont="1" applyBorder="1" applyProtection="1"/>
    <xf numFmtId="0" fontId="4" fillId="0" borderId="0" xfId="1" applyFont="1"/>
    <xf numFmtId="0" fontId="3" fillId="0" borderId="4" xfId="1" applyFont="1" applyBorder="1" applyAlignment="1">
      <alignment horizontal="left"/>
    </xf>
    <xf numFmtId="1" fontId="10" fillId="0" borderId="10" xfId="1" applyNumberFormat="1" applyFont="1" applyBorder="1" applyAlignment="1" applyProtection="1">
      <alignment horizontal="center"/>
      <protection locked="0"/>
    </xf>
    <xf numFmtId="0" fontId="10" fillId="0" borderId="9" xfId="1" applyFont="1" applyBorder="1" applyProtection="1">
      <protection locked="0"/>
    </xf>
    <xf numFmtId="0" fontId="10" fillId="0" borderId="11" xfId="1" applyFont="1" applyBorder="1"/>
    <xf numFmtId="3" fontId="11" fillId="0" borderId="0" xfId="1" applyNumberFormat="1" applyFont="1"/>
    <xf numFmtId="3" fontId="12" fillId="0" borderId="0" xfId="1" applyNumberFormat="1" applyFont="1"/>
    <xf numFmtId="3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left" indent="1"/>
    </xf>
    <xf numFmtId="1" fontId="10" fillId="0" borderId="14" xfId="1" applyNumberFormat="1" applyFont="1" applyBorder="1" applyAlignment="1" applyProtection="1">
      <alignment horizontal="center"/>
      <protection locked="0"/>
    </xf>
    <xf numFmtId="3" fontId="10" fillId="0" borderId="12" xfId="1" applyNumberFormat="1" applyFont="1" applyBorder="1" applyAlignment="1" applyProtection="1">
      <alignment horizontal="left"/>
      <protection locked="0"/>
    </xf>
    <xf numFmtId="0" fontId="10" fillId="0" borderId="13" xfId="1" applyFont="1" applyBorder="1"/>
    <xf numFmtId="3" fontId="3" fillId="0" borderId="0" xfId="1" quotePrefix="1" applyNumberFormat="1" applyFont="1" applyAlignment="1">
      <alignment horizontal="right"/>
    </xf>
    <xf numFmtId="0" fontId="10" fillId="0" borderId="12" xfId="1" applyFont="1" applyBorder="1" applyAlignment="1" applyProtection="1">
      <alignment horizontal="left"/>
      <protection locked="0"/>
    </xf>
    <xf numFmtId="3" fontId="3" fillId="0" borderId="0" xfId="1" quotePrefix="1" applyNumberFormat="1" applyFont="1" applyBorder="1" applyAlignment="1">
      <alignment horizontal="right"/>
    </xf>
    <xf numFmtId="3" fontId="3" fillId="0" borderId="0" xfId="1" applyNumberFormat="1" applyFont="1" applyAlignment="1">
      <alignment horizontal="left" indent="2"/>
    </xf>
    <xf numFmtId="1" fontId="10" fillId="0" borderId="17" xfId="1" applyNumberFormat="1" applyFont="1" applyBorder="1" applyAlignment="1" applyProtection="1">
      <alignment horizontal="center"/>
    </xf>
    <xf numFmtId="0" fontId="10" fillId="0" borderId="15" xfId="1" applyFont="1" applyBorder="1" applyProtection="1"/>
    <xf numFmtId="0" fontId="10" fillId="0" borderId="16" xfId="1" applyFont="1" applyBorder="1"/>
    <xf numFmtId="3" fontId="10" fillId="0" borderId="17" xfId="1" applyNumberFormat="1" applyFont="1" applyBorder="1"/>
    <xf numFmtId="3" fontId="10" fillId="2" borderId="17" xfId="1" applyNumberFormat="1" applyFont="1" applyFill="1" applyBorder="1"/>
    <xf numFmtId="1" fontId="10" fillId="0" borderId="21" xfId="1" applyNumberFormat="1" applyFont="1" applyBorder="1" applyAlignment="1" applyProtection="1">
      <alignment horizontal="right"/>
    </xf>
    <xf numFmtId="0" fontId="10" fillId="0" borderId="27" xfId="1" applyFont="1" applyBorder="1" applyProtection="1"/>
    <xf numFmtId="0" fontId="10" fillId="0" borderId="26" xfId="1" applyFont="1" applyBorder="1"/>
    <xf numFmtId="3" fontId="6" fillId="0" borderId="0" xfId="1" applyNumberFormat="1" applyFont="1"/>
    <xf numFmtId="0" fontId="13" fillId="0" borderId="0" xfId="1" applyFont="1"/>
    <xf numFmtId="0" fontId="3" fillId="0" borderId="11" xfId="1" applyFont="1" applyBorder="1"/>
    <xf numFmtId="0" fontId="3" fillId="0" borderId="9" xfId="1" applyFont="1" applyBorder="1" applyAlignment="1">
      <alignment horizontal="center"/>
    </xf>
    <xf numFmtId="3" fontId="3" fillId="0" borderId="28" xfId="1" applyNumberFormat="1" applyFont="1" applyBorder="1"/>
    <xf numFmtId="0" fontId="3" fillId="0" borderId="12" xfId="1" applyFont="1" applyBorder="1" applyAlignment="1">
      <alignment horizontal="center"/>
    </xf>
    <xf numFmtId="3" fontId="3" fillId="0" borderId="20" xfId="1" applyNumberFormat="1" applyFont="1" applyBorder="1"/>
    <xf numFmtId="0" fontId="4" fillId="0" borderId="0" xfId="1" applyFont="1" applyAlignment="1">
      <alignment horizontal="left" indent="1"/>
    </xf>
    <xf numFmtId="0" fontId="3" fillId="0" borderId="15" xfId="1" applyFont="1" applyBorder="1" applyAlignment="1">
      <alignment horizontal="center"/>
    </xf>
    <xf numFmtId="3" fontId="3" fillId="0" borderId="29" xfId="1" applyNumberFormat="1" applyFont="1" applyBorder="1"/>
    <xf numFmtId="0" fontId="3" fillId="0" borderId="10" xfId="1" quotePrefix="1" applyFont="1" applyBorder="1"/>
    <xf numFmtId="3" fontId="3" fillId="0" borderId="9" xfId="1" applyNumberFormat="1" applyFont="1" applyBorder="1"/>
    <xf numFmtId="0" fontId="3" fillId="0" borderId="14" xfId="1" quotePrefix="1" applyFont="1" applyBorder="1"/>
    <xf numFmtId="3" fontId="3" fillId="0" borderId="12" xfId="1" applyNumberFormat="1" applyFont="1" applyBorder="1"/>
    <xf numFmtId="0" fontId="3" fillId="0" borderId="17" xfId="1" quotePrefix="1" applyFont="1" applyBorder="1"/>
    <xf numFmtId="3" fontId="3" fillId="0" borderId="15" xfId="1" applyNumberFormat="1" applyFont="1" applyBorder="1"/>
    <xf numFmtId="3" fontId="3" fillId="2" borderId="21" xfId="1" applyNumberFormat="1" applyFont="1" applyFill="1" applyBorder="1"/>
    <xf numFmtId="49" fontId="3" fillId="0" borderId="8" xfId="1" applyNumberFormat="1" applyFont="1" applyBorder="1"/>
    <xf numFmtId="164" fontId="10" fillId="0" borderId="10" xfId="1" applyNumberFormat="1" applyFont="1" applyBorder="1" applyAlignment="1">
      <alignment horizontal="center"/>
    </xf>
    <xf numFmtId="0" fontId="10" fillId="0" borderId="10" xfId="1" applyFont="1" applyBorder="1"/>
    <xf numFmtId="0" fontId="10" fillId="0" borderId="10" xfId="1" applyFont="1" applyBorder="1" applyAlignment="1">
      <alignment horizontal="center"/>
    </xf>
    <xf numFmtId="164" fontId="10" fillId="0" borderId="14" xfId="1" applyNumberFormat="1" applyFont="1" applyBorder="1" applyAlignment="1">
      <alignment horizontal="center"/>
    </xf>
    <xf numFmtId="0" fontId="10" fillId="0" borderId="14" xfId="1" applyFont="1" applyBorder="1"/>
    <xf numFmtId="0" fontId="10" fillId="0" borderId="14" xfId="1" applyFont="1" applyBorder="1" applyAlignment="1">
      <alignment horizontal="center"/>
    </xf>
    <xf numFmtId="164" fontId="10" fillId="0" borderId="17" xfId="1" applyNumberFormat="1" applyFont="1" applyBorder="1" applyAlignment="1">
      <alignment horizontal="center"/>
    </xf>
    <xf numFmtId="0" fontId="10" fillId="0" borderId="17" xfId="1" applyFont="1" applyBorder="1"/>
    <xf numFmtId="0" fontId="10" fillId="0" borderId="17" xfId="1" applyFont="1" applyBorder="1" applyAlignment="1">
      <alignment horizontal="center"/>
    </xf>
    <xf numFmtId="49" fontId="10" fillId="0" borderId="21" xfId="1" applyNumberFormat="1" applyFont="1" applyBorder="1"/>
    <xf numFmtId="0" fontId="4" fillId="0" borderId="0" xfId="0" applyFont="1"/>
    <xf numFmtId="0" fontId="6" fillId="0" borderId="0" xfId="0" applyFont="1"/>
    <xf numFmtId="3" fontId="3" fillId="0" borderId="26" xfId="0" applyNumberFormat="1" applyFont="1" applyBorder="1"/>
    <xf numFmtId="3" fontId="3" fillId="0" borderId="0" xfId="0" applyNumberFormat="1" applyFont="1" applyBorder="1"/>
    <xf numFmtId="3" fontId="10" fillId="0" borderId="0" xfId="1" applyNumberFormat="1" applyFont="1" applyBorder="1"/>
    <xf numFmtId="0" fontId="10" fillId="0" borderId="0" xfId="1" applyFont="1" applyBorder="1"/>
    <xf numFmtId="3" fontId="10" fillId="0" borderId="0" xfId="1" applyNumberFormat="1" applyFont="1" applyAlignment="1">
      <alignment horizontal="right"/>
    </xf>
    <xf numFmtId="3" fontId="10" fillId="0" borderId="0" xfId="1" applyNumberFormat="1" applyFont="1" applyAlignment="1">
      <alignment horizontal="left" indent="3"/>
    </xf>
    <xf numFmtId="3" fontId="15" fillId="0" borderId="0" xfId="1" applyNumberFormat="1" applyFont="1"/>
    <xf numFmtId="0" fontId="10" fillId="0" borderId="0" xfId="1" applyFont="1"/>
    <xf numFmtId="4" fontId="10" fillId="0" borderId="0" xfId="1" applyNumberFormat="1" applyFont="1" applyBorder="1"/>
    <xf numFmtId="49" fontId="10" fillId="0" borderId="0" xfId="1" applyNumberFormat="1" applyFont="1" applyBorder="1"/>
    <xf numFmtId="3" fontId="10" fillId="0" borderId="0" xfId="1" applyNumberFormat="1" applyFont="1" applyBorder="1" applyAlignment="1">
      <alignment horizontal="center"/>
    </xf>
    <xf numFmtId="4" fontId="10" fillId="0" borderId="0" xfId="1" applyNumberFormat="1" applyFont="1"/>
    <xf numFmtId="49" fontId="10" fillId="0" borderId="0" xfId="1" applyNumberFormat="1" applyFont="1"/>
    <xf numFmtId="3" fontId="16" fillId="0" borderId="0" xfId="1" applyNumberFormat="1" applyFont="1" applyBorder="1"/>
    <xf numFmtId="165" fontId="10" fillId="0" borderId="0" xfId="1" applyNumberFormat="1" applyFont="1" applyBorder="1"/>
    <xf numFmtId="3" fontId="3" fillId="0" borderId="3" xfId="1" applyNumberFormat="1" applyFont="1" applyBorder="1" applyAlignment="1">
      <alignment horizontal="center"/>
    </xf>
    <xf numFmtId="3" fontId="3" fillId="0" borderId="19" xfId="1" applyNumberFormat="1" applyFont="1" applyBorder="1"/>
    <xf numFmtId="3" fontId="3" fillId="0" borderId="6" xfId="1" applyNumberFormat="1" applyFont="1" applyBorder="1"/>
    <xf numFmtId="3" fontId="21" fillId="0" borderId="0" xfId="2" applyNumberFormat="1" applyFont="1"/>
    <xf numFmtId="3" fontId="10" fillId="0" borderId="0" xfId="1" applyNumberFormat="1" applyFont="1" applyBorder="1" applyAlignment="1">
      <alignment horizontal="left"/>
    </xf>
    <xf numFmtId="1" fontId="10" fillId="0" borderId="0" xfId="1" applyNumberFormat="1" applyFont="1" applyBorder="1" applyAlignment="1">
      <alignment horizontal="left"/>
    </xf>
    <xf numFmtId="49" fontId="10" fillId="0" borderId="0" xfId="1" applyNumberFormat="1" applyFont="1" applyAlignment="1">
      <alignment horizontal="left"/>
    </xf>
    <xf numFmtId="3" fontId="3" fillId="0" borderId="21" xfId="1" applyNumberFormat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1" fontId="3" fillId="0" borderId="7" xfId="1" applyNumberFormat="1" applyFont="1" applyBorder="1"/>
    <xf numFmtId="0" fontId="3" fillId="0" borderId="0" xfId="1" applyFont="1" applyAlignment="1">
      <alignment horizontal="center"/>
    </xf>
    <xf numFmtId="0" fontId="23" fillId="0" borderId="0" xfId="1" applyFont="1"/>
    <xf numFmtId="0" fontId="18" fillId="3" borderId="0" xfId="4" applyFont="1" applyFill="1"/>
    <xf numFmtId="3" fontId="18" fillId="3" borderId="0" xfId="4" applyNumberFormat="1" applyFont="1" applyFill="1"/>
    <xf numFmtId="0" fontId="18" fillId="3" borderId="0" xfId="4" applyFont="1" applyFill="1" applyAlignment="1">
      <alignment horizontal="center"/>
    </xf>
    <xf numFmtId="0" fontId="18" fillId="0" borderId="0" xfId="4" applyFont="1"/>
    <xf numFmtId="0" fontId="19" fillId="3" borderId="0" xfId="4" applyFont="1" applyFill="1"/>
    <xf numFmtId="3" fontId="19" fillId="3" borderId="0" xfId="4" applyNumberFormat="1" applyFont="1" applyFill="1"/>
    <xf numFmtId="0" fontId="19" fillId="3" borderId="0" xfId="4" applyFont="1" applyFill="1" applyAlignment="1">
      <alignment horizontal="center"/>
    </xf>
    <xf numFmtId="0" fontId="19" fillId="0" borderId="0" xfId="4" applyFont="1"/>
    <xf numFmtId="0" fontId="17" fillId="3" borderId="0" xfId="4" applyFont="1" applyFill="1" applyAlignment="1">
      <alignment horizontal="right"/>
    </xf>
    <xf numFmtId="0" fontId="17" fillId="3" borderId="0" xfId="4" applyFont="1" applyFill="1"/>
    <xf numFmtId="3" fontId="17" fillId="3" borderId="0" xfId="4" applyNumberFormat="1" applyFont="1" applyFill="1" applyAlignment="1">
      <alignment horizontal="center"/>
    </xf>
    <xf numFmtId="0" fontId="17" fillId="3" borderId="0" xfId="4" applyFont="1" applyFill="1" applyAlignment="1">
      <alignment horizontal="center"/>
    </xf>
    <xf numFmtId="0" fontId="17" fillId="0" borderId="0" xfId="4" applyFont="1"/>
    <xf numFmtId="0" fontId="20" fillId="3" borderId="0" xfId="4" applyFont="1" applyFill="1" applyAlignment="1">
      <alignment horizontal="right"/>
    </xf>
    <xf numFmtId="0" fontId="20" fillId="3" borderId="0" xfId="4" applyFont="1" applyFill="1"/>
    <xf numFmtId="3" fontId="20" fillId="3" borderId="0" xfId="4" applyNumberFormat="1" applyFont="1" applyFill="1"/>
    <xf numFmtId="0" fontId="20" fillId="3" borderId="0" xfId="4" applyFont="1" applyFill="1" applyAlignment="1">
      <alignment horizontal="center"/>
    </xf>
    <xf numFmtId="0" fontId="20" fillId="0" borderId="0" xfId="4" applyFont="1"/>
    <xf numFmtId="0" fontId="1" fillId="3" borderId="0" xfId="4" applyFill="1" applyAlignment="1">
      <alignment horizontal="right"/>
    </xf>
    <xf numFmtId="0" fontId="1" fillId="3" borderId="0" xfId="4" applyFill="1"/>
    <xf numFmtId="3" fontId="1" fillId="0" borderId="21" xfId="4" applyNumberFormat="1" applyFill="1" applyBorder="1"/>
    <xf numFmtId="0" fontId="1" fillId="3" borderId="0" xfId="4" applyFill="1" applyAlignment="1">
      <alignment horizontal="center"/>
    </xf>
    <xf numFmtId="3" fontId="1" fillId="3" borderId="0" xfId="4" applyNumberFormat="1" applyFill="1"/>
    <xf numFmtId="0" fontId="1" fillId="0" borderId="0" xfId="4"/>
    <xf numFmtId="3" fontId="17" fillId="3" borderId="0" xfId="4" applyNumberFormat="1" applyFont="1" applyFill="1"/>
    <xf numFmtId="0" fontId="1" fillId="3" borderId="0" xfId="4" quotePrefix="1" applyFill="1" applyAlignment="1">
      <alignment horizontal="center"/>
    </xf>
    <xf numFmtId="3" fontId="1" fillId="3" borderId="0" xfId="4" applyNumberFormat="1" applyFill="1" applyBorder="1"/>
    <xf numFmtId="3" fontId="1" fillId="0" borderId="0" xfId="4" applyNumberFormat="1"/>
    <xf numFmtId="0" fontId="1" fillId="0" borderId="0" xfId="4" applyAlignment="1">
      <alignment horizontal="center"/>
    </xf>
    <xf numFmtId="0" fontId="3" fillId="4" borderId="0" xfId="0" applyFont="1" applyFill="1"/>
    <xf numFmtId="164" fontId="3" fillId="0" borderId="12" xfId="0" applyNumberFormat="1" applyFont="1" applyBorder="1" applyAlignment="1">
      <alignment horizontal="left"/>
    </xf>
    <xf numFmtId="164" fontId="3" fillId="0" borderId="13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5" xfId="0" quotePrefix="1" applyNumberFormat="1" applyFont="1" applyBorder="1" applyAlignment="1">
      <alignment horizontal="left"/>
    </xf>
    <xf numFmtId="164" fontId="3" fillId="0" borderId="16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2" xfId="1" applyNumberFormat="1" applyFont="1" applyBorder="1" applyAlignment="1">
      <alignment horizontal="left"/>
    </xf>
    <xf numFmtId="164" fontId="3" fillId="0" borderId="13" xfId="1" applyNumberFormat="1" applyFont="1" applyBorder="1" applyAlignment="1">
      <alignment horizontal="left"/>
    </xf>
    <xf numFmtId="164" fontId="3" fillId="0" borderId="15" xfId="1" quotePrefix="1" applyNumberFormat="1" applyFont="1" applyBorder="1" applyAlignment="1">
      <alignment horizontal="left"/>
    </xf>
    <xf numFmtId="164" fontId="3" fillId="0" borderId="16" xfId="1" applyNumberFormat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9" xfId="1" quotePrefix="1" applyNumberFormat="1" applyFont="1" applyBorder="1" applyAlignment="1">
      <alignment horizontal="left"/>
    </xf>
    <xf numFmtId="164" fontId="3" fillId="0" borderId="11" xfId="1" applyNumberFormat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3" fontId="3" fillId="0" borderId="4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0" fontId="8" fillId="0" borderId="7" xfId="1" applyFont="1" applyBorder="1" applyAlignment="1">
      <alignment horizontal="center" textRotation="90"/>
    </xf>
    <xf numFmtId="0" fontId="8" fillId="0" borderId="22" xfId="1" applyFont="1" applyBorder="1" applyAlignment="1">
      <alignment horizontal="center" textRotation="90"/>
    </xf>
    <xf numFmtId="0" fontId="8" fillId="0" borderId="8" xfId="1" applyFont="1" applyBorder="1" applyAlignment="1">
      <alignment horizontal="center" textRotation="90"/>
    </xf>
    <xf numFmtId="1" fontId="3" fillId="0" borderId="1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 textRotation="90"/>
    </xf>
    <xf numFmtId="1" fontId="3" fillId="0" borderId="22" xfId="1" applyNumberFormat="1" applyFont="1" applyBorder="1" applyAlignment="1">
      <alignment horizontal="center" textRotation="90"/>
    </xf>
    <xf numFmtId="1" fontId="3" fillId="0" borderId="8" xfId="1" applyNumberFormat="1" applyFont="1" applyBorder="1" applyAlignment="1">
      <alignment horizontal="center" textRotation="90"/>
    </xf>
    <xf numFmtId="3" fontId="3" fillId="0" borderId="5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3" fillId="0" borderId="4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" fontId="8" fillId="0" borderId="7" xfId="1" applyNumberFormat="1" applyFont="1" applyBorder="1" applyAlignment="1">
      <alignment horizontal="center" textRotation="90"/>
    </xf>
    <xf numFmtId="1" fontId="8" fillId="0" borderId="22" xfId="1" applyNumberFormat="1" applyFont="1" applyBorder="1" applyAlignment="1">
      <alignment horizontal="center" textRotation="90"/>
    </xf>
    <xf numFmtId="1" fontId="8" fillId="0" borderId="8" xfId="1" applyNumberFormat="1" applyFont="1" applyBorder="1" applyAlignment="1">
      <alignment horizontal="center" textRotation="90"/>
    </xf>
    <xf numFmtId="0" fontId="8" fillId="0" borderId="3" xfId="1" applyFont="1" applyBorder="1" applyAlignment="1">
      <alignment horizontal="center" textRotation="90"/>
    </xf>
    <xf numFmtId="0" fontId="8" fillId="0" borderId="19" xfId="1" applyFont="1" applyBorder="1" applyAlignment="1">
      <alignment horizontal="center" textRotation="90"/>
    </xf>
    <xf numFmtId="0" fontId="8" fillId="0" borderId="6" xfId="1" applyFont="1" applyBorder="1" applyAlignment="1">
      <alignment horizontal="center" textRotation="90"/>
    </xf>
    <xf numFmtId="3" fontId="3" fillId="0" borderId="21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8" xfId="1" applyFont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3000000}"/>
    <cellStyle name="Pros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showGridLines="0" showZeros="0" topLeftCell="A11" workbookViewId="0">
      <selection activeCell="I14" sqref="I14"/>
    </sheetView>
  </sheetViews>
  <sheetFormatPr baseColWidth="10" defaultColWidth="11.44140625" defaultRowHeight="15.6" x14ac:dyDescent="0.3"/>
  <cols>
    <col min="1" max="1" width="3.6640625" style="1" customWidth="1"/>
    <col min="2" max="2" width="2.5546875" style="1" customWidth="1"/>
    <col min="3" max="3" width="27.33203125" style="1" customWidth="1"/>
    <col min="4" max="21" width="8.6640625" style="1" customWidth="1"/>
    <col min="22" max="22" width="8.109375" style="1" bestFit="1" customWidth="1"/>
    <col min="23" max="16384" width="11.44140625" style="1"/>
  </cols>
  <sheetData>
    <row r="1" spans="1:8" x14ac:dyDescent="0.3">
      <c r="A1" s="228" t="s">
        <v>153</v>
      </c>
    </row>
    <row r="3" spans="1:8" x14ac:dyDescent="0.3">
      <c r="A3" s="1" t="s">
        <v>0</v>
      </c>
    </row>
    <row r="5" spans="1:8" x14ac:dyDescent="0.3">
      <c r="A5" s="24" t="s">
        <v>1</v>
      </c>
      <c r="B5" s="25"/>
      <c r="C5" s="3"/>
      <c r="D5" s="3"/>
      <c r="E5" s="3" t="s">
        <v>13</v>
      </c>
      <c r="F5" s="4" t="s">
        <v>14</v>
      </c>
    </row>
    <row r="6" spans="1:8" x14ac:dyDescent="0.3">
      <c r="A6" s="5" t="s">
        <v>2</v>
      </c>
      <c r="B6" s="6"/>
      <c r="C6" s="6"/>
      <c r="D6" s="6"/>
      <c r="E6" s="6" t="s">
        <v>15</v>
      </c>
      <c r="F6" s="7"/>
    </row>
    <row r="7" spans="1:8" x14ac:dyDescent="0.3">
      <c r="A7" s="2" t="s">
        <v>3</v>
      </c>
      <c r="B7" s="3"/>
      <c r="C7" s="3"/>
      <c r="D7" s="8" t="s">
        <v>9</v>
      </c>
      <c r="E7" s="9" t="s">
        <v>11</v>
      </c>
      <c r="F7" s="8" t="s">
        <v>9</v>
      </c>
    </row>
    <row r="8" spans="1:8" x14ac:dyDescent="0.3">
      <c r="A8" s="5"/>
      <c r="B8" s="6"/>
      <c r="C8" s="6"/>
      <c r="D8" s="10" t="s">
        <v>10</v>
      </c>
      <c r="E8" s="11"/>
      <c r="F8" s="10" t="s">
        <v>12</v>
      </c>
    </row>
    <row r="9" spans="1:8" x14ac:dyDescent="0.3">
      <c r="A9" s="13">
        <v>1</v>
      </c>
      <c r="B9" s="3" t="s">
        <v>4</v>
      </c>
      <c r="D9" s="32">
        <v>5000</v>
      </c>
      <c r="E9" s="15">
        <v>104600</v>
      </c>
      <c r="F9" s="32"/>
    </row>
    <row r="10" spans="1:8" x14ac:dyDescent="0.3">
      <c r="A10" s="16">
        <v>2</v>
      </c>
      <c r="B10" s="17" t="s">
        <v>5</v>
      </c>
      <c r="C10" s="30"/>
      <c r="D10" s="33"/>
      <c r="E10" s="19">
        <v>33472</v>
      </c>
      <c r="F10" s="33">
        <v>2600</v>
      </c>
    </row>
    <row r="11" spans="1:8" x14ac:dyDescent="0.3">
      <c r="A11" s="16">
        <v>3</v>
      </c>
      <c r="B11" s="17" t="s">
        <v>6</v>
      </c>
      <c r="C11" s="30"/>
      <c r="D11" s="33"/>
      <c r="E11" s="19">
        <f>E9-E10</f>
        <v>71128</v>
      </c>
      <c r="F11" s="33">
        <v>2380</v>
      </c>
      <c r="H11" s="12"/>
    </row>
    <row r="12" spans="1:8" x14ac:dyDescent="0.3">
      <c r="A12" s="16"/>
      <c r="B12" s="17"/>
      <c r="C12" s="30"/>
      <c r="D12" s="33"/>
      <c r="E12" s="19"/>
      <c r="F12" s="33"/>
    </row>
    <row r="13" spans="1:8" x14ac:dyDescent="0.3">
      <c r="A13" s="16">
        <v>4</v>
      </c>
      <c r="B13" s="17" t="s">
        <v>7</v>
      </c>
      <c r="C13" s="30"/>
      <c r="D13" s="33">
        <v>5400</v>
      </c>
      <c r="E13" s="19">
        <v>14748</v>
      </c>
      <c r="F13" s="33">
        <v>2770</v>
      </c>
    </row>
    <row r="14" spans="1:8" x14ac:dyDescent="0.3">
      <c r="A14" s="16">
        <v>5</v>
      </c>
      <c r="B14" s="17" t="s">
        <v>154</v>
      </c>
      <c r="C14" s="30"/>
      <c r="D14" s="33">
        <v>5100</v>
      </c>
      <c r="E14" s="19">
        <v>12552</v>
      </c>
      <c r="F14" s="33">
        <v>2940</v>
      </c>
    </row>
    <row r="15" spans="1:8" x14ac:dyDescent="0.3">
      <c r="A15" s="16">
        <v>6</v>
      </c>
      <c r="B15" s="17" t="s">
        <v>17</v>
      </c>
      <c r="C15" s="30"/>
      <c r="D15" s="33">
        <v>5400</v>
      </c>
      <c r="E15" s="19">
        <v>1770</v>
      </c>
      <c r="F15" s="33">
        <v>2780</v>
      </c>
    </row>
    <row r="16" spans="1:8" x14ac:dyDescent="0.3">
      <c r="A16" s="20"/>
      <c r="B16" s="26"/>
      <c r="C16" s="21"/>
      <c r="D16" s="34"/>
      <c r="E16" s="23"/>
      <c r="F16" s="34"/>
    </row>
    <row r="18" spans="1:22" x14ac:dyDescent="0.3">
      <c r="A18" s="1" t="s">
        <v>16</v>
      </c>
    </row>
    <row r="20" spans="1:22" x14ac:dyDescent="0.3">
      <c r="A20" s="300" t="s">
        <v>28</v>
      </c>
      <c r="B20" s="301"/>
      <c r="C20" s="4" t="s">
        <v>3</v>
      </c>
      <c r="D20" s="292" t="s">
        <v>286</v>
      </c>
      <c r="E20" s="294"/>
      <c r="F20" s="292">
        <v>2380</v>
      </c>
      <c r="G20" s="293"/>
      <c r="H20" s="294">
        <v>2600</v>
      </c>
      <c r="I20" s="294"/>
      <c r="J20" s="292" t="s">
        <v>24</v>
      </c>
      <c r="K20" s="293"/>
      <c r="L20" s="292" t="s">
        <v>26</v>
      </c>
      <c r="M20" s="293"/>
      <c r="N20" s="292">
        <v>2940</v>
      </c>
      <c r="O20" s="293"/>
      <c r="P20" s="292" t="s">
        <v>30</v>
      </c>
      <c r="Q20" s="293"/>
      <c r="R20" s="294">
        <v>5100</v>
      </c>
      <c r="S20" s="294"/>
      <c r="T20" s="292">
        <v>5400</v>
      </c>
      <c r="U20" s="293"/>
      <c r="V20" s="4" t="s">
        <v>20</v>
      </c>
    </row>
    <row r="21" spans="1:22" x14ac:dyDescent="0.3">
      <c r="A21" s="28"/>
      <c r="B21" s="29"/>
      <c r="C21" s="29"/>
      <c r="D21" s="290" t="s">
        <v>287</v>
      </c>
      <c r="E21" s="291"/>
      <c r="F21" s="290" t="s">
        <v>72</v>
      </c>
      <c r="G21" s="291"/>
      <c r="H21" s="295" t="s">
        <v>23</v>
      </c>
      <c r="I21" s="295"/>
      <c r="J21" s="290" t="s">
        <v>25</v>
      </c>
      <c r="K21" s="291"/>
      <c r="L21" s="290" t="s">
        <v>25</v>
      </c>
      <c r="M21" s="291"/>
      <c r="N21" s="290" t="s">
        <v>154</v>
      </c>
      <c r="O21" s="291"/>
      <c r="P21" s="290"/>
      <c r="Q21" s="291"/>
      <c r="R21" s="295" t="s">
        <v>31</v>
      </c>
      <c r="S21" s="295"/>
      <c r="T21" s="290" t="s">
        <v>7</v>
      </c>
      <c r="U21" s="291"/>
      <c r="V21" s="29"/>
    </row>
    <row r="22" spans="1:22" x14ac:dyDescent="0.3">
      <c r="A22" s="28"/>
      <c r="B22" s="29"/>
      <c r="C22" s="29"/>
      <c r="D22" s="28"/>
      <c r="E22" s="27"/>
      <c r="F22" s="5"/>
      <c r="G22" s="7"/>
      <c r="H22" s="27"/>
      <c r="I22" s="27"/>
      <c r="J22" s="5"/>
      <c r="K22" s="7"/>
      <c r="L22" s="290" t="s">
        <v>161</v>
      </c>
      <c r="M22" s="291"/>
      <c r="N22" s="5"/>
      <c r="O22" s="7"/>
      <c r="P22" s="5"/>
      <c r="Q22" s="7"/>
      <c r="R22" s="295"/>
      <c r="S22" s="295"/>
      <c r="T22" s="5"/>
      <c r="U22" s="7"/>
      <c r="V22" s="29"/>
    </row>
    <row r="23" spans="1:22" x14ac:dyDescent="0.3">
      <c r="A23" s="5"/>
      <c r="B23" s="7"/>
      <c r="C23" s="7"/>
      <c r="D23" s="31" t="s">
        <v>18</v>
      </c>
      <c r="E23" s="31" t="s">
        <v>19</v>
      </c>
      <c r="F23" s="31" t="s">
        <v>18</v>
      </c>
      <c r="G23" s="31" t="s">
        <v>19</v>
      </c>
      <c r="H23" s="31" t="s">
        <v>18</v>
      </c>
      <c r="I23" s="31" t="s">
        <v>19</v>
      </c>
      <c r="J23" s="31" t="s">
        <v>18</v>
      </c>
      <c r="K23" s="31" t="s">
        <v>19</v>
      </c>
      <c r="L23" s="31" t="s">
        <v>18</v>
      </c>
      <c r="M23" s="31" t="s">
        <v>19</v>
      </c>
      <c r="N23" s="31" t="s">
        <v>18</v>
      </c>
      <c r="O23" s="31" t="s">
        <v>19</v>
      </c>
      <c r="P23" s="31" t="s">
        <v>18</v>
      </c>
      <c r="Q23" s="31" t="s">
        <v>19</v>
      </c>
      <c r="R23" s="31" t="s">
        <v>18</v>
      </c>
      <c r="S23" s="31" t="s">
        <v>19</v>
      </c>
      <c r="T23" s="31" t="s">
        <v>18</v>
      </c>
      <c r="U23" s="31" t="s">
        <v>19</v>
      </c>
      <c r="V23" s="7"/>
    </row>
    <row r="24" spans="1:22" x14ac:dyDescent="0.3">
      <c r="A24" s="298" t="s">
        <v>29</v>
      </c>
      <c r="B24" s="299"/>
      <c r="C24" s="14" t="s">
        <v>79</v>
      </c>
      <c r="D24" s="35"/>
      <c r="E24" s="36"/>
      <c r="F24" s="35"/>
      <c r="G24" s="36">
        <v>71128</v>
      </c>
      <c r="H24" s="35"/>
      <c r="I24" s="36">
        <v>33472</v>
      </c>
      <c r="J24" s="35"/>
      <c r="K24" s="36"/>
      <c r="L24" s="35"/>
      <c r="M24" s="36"/>
      <c r="N24" s="35"/>
      <c r="O24" s="36"/>
      <c r="P24" s="35">
        <v>104600</v>
      </c>
      <c r="Q24" s="36"/>
      <c r="R24" s="35"/>
      <c r="S24" s="36"/>
      <c r="T24" s="35"/>
      <c r="U24" s="36"/>
      <c r="V24" s="35">
        <f>T24+R24+P24+N24+L24+J24+H24+F24+D24-U24-S24-Q24-O24-M24-K24-I24-G24-E24</f>
        <v>0</v>
      </c>
    </row>
    <row r="25" spans="1:22" x14ac:dyDescent="0.3">
      <c r="A25" s="288" t="s">
        <v>29</v>
      </c>
      <c r="B25" s="289"/>
      <c r="C25" s="18" t="s">
        <v>7</v>
      </c>
      <c r="D25" s="37"/>
      <c r="E25" s="38"/>
      <c r="F25" s="37"/>
      <c r="G25" s="38"/>
      <c r="H25" s="37"/>
      <c r="I25" s="38"/>
      <c r="J25" s="37"/>
      <c r="K25" s="38">
        <v>14748</v>
      </c>
      <c r="L25" s="37"/>
      <c r="M25" s="38"/>
      <c r="N25" s="37"/>
      <c r="O25" s="38"/>
      <c r="P25" s="37"/>
      <c r="Q25" s="38"/>
      <c r="R25" s="37"/>
      <c r="S25" s="38"/>
      <c r="T25" s="37">
        <v>14748</v>
      </c>
      <c r="U25" s="38"/>
      <c r="V25" s="37">
        <f>T25+R25+P25+N25+L25+J25+H25+F25+D25-U25-S25-Q25-O25-M25-K25-I25-G25-E25</f>
        <v>0</v>
      </c>
    </row>
    <row r="26" spans="1:22" x14ac:dyDescent="0.3">
      <c r="A26" s="288" t="s">
        <v>29</v>
      </c>
      <c r="B26" s="289"/>
      <c r="C26" s="18" t="s">
        <v>154</v>
      </c>
      <c r="D26" s="37"/>
      <c r="E26" s="38"/>
      <c r="F26" s="37"/>
      <c r="G26" s="38"/>
      <c r="H26" s="37"/>
      <c r="I26" s="38"/>
      <c r="J26" s="37"/>
      <c r="K26" s="38"/>
      <c r="L26" s="37"/>
      <c r="M26" s="38"/>
      <c r="N26" s="37"/>
      <c r="O26" s="38">
        <v>12552</v>
      </c>
      <c r="P26" s="37"/>
      <c r="Q26" s="38"/>
      <c r="R26" s="37">
        <v>12552</v>
      </c>
      <c r="S26" s="38"/>
      <c r="T26" s="37"/>
      <c r="U26" s="38"/>
      <c r="V26" s="37">
        <f>T26+R26+P26+N26+L26+J26+H26+F26+D26-U26-S26-Q26-O26-M26-K26-I26-G26-E26</f>
        <v>0</v>
      </c>
    </row>
    <row r="27" spans="1:22" x14ac:dyDescent="0.3">
      <c r="A27" s="288" t="s">
        <v>29</v>
      </c>
      <c r="B27" s="289"/>
      <c r="C27" s="18" t="s">
        <v>155</v>
      </c>
      <c r="D27" s="37"/>
      <c r="E27" s="38"/>
      <c r="F27" s="37"/>
      <c r="G27" s="38"/>
      <c r="H27" s="37"/>
      <c r="I27" s="38"/>
      <c r="J27" s="37"/>
      <c r="K27" s="38"/>
      <c r="L27" s="37"/>
      <c r="M27" s="38">
        <v>1770</v>
      </c>
      <c r="N27" s="37"/>
      <c r="O27" s="38"/>
      <c r="P27" s="37"/>
      <c r="Q27" s="38"/>
      <c r="R27" s="37"/>
      <c r="S27" s="38"/>
      <c r="T27" s="37">
        <v>1770</v>
      </c>
      <c r="U27" s="38"/>
      <c r="V27" s="37">
        <f>T27+R27+P27+N27+L27+J27+H27+F27+D27-U27-S27-Q27-O27-M27-K27-I27-G27-E27</f>
        <v>0</v>
      </c>
    </row>
    <row r="28" spans="1:22" x14ac:dyDescent="0.3">
      <c r="A28" s="296" t="s">
        <v>32</v>
      </c>
      <c r="B28" s="297"/>
      <c r="C28" s="22" t="s">
        <v>156</v>
      </c>
      <c r="D28" s="39">
        <v>33472</v>
      </c>
      <c r="E28" s="40"/>
      <c r="F28" s="39"/>
      <c r="G28" s="40">
        <v>33472</v>
      </c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>
        <f>T28+R28+P28+N28+L28+J28+H28+F28+D28-U28-S28-Q28-O28-M28-K28-I28-G28-E28</f>
        <v>0</v>
      </c>
    </row>
    <row r="30" spans="1:22" x14ac:dyDescent="0.3">
      <c r="A30" s="1" t="s">
        <v>33</v>
      </c>
      <c r="C30" s="1" t="s">
        <v>79</v>
      </c>
      <c r="D30" s="12">
        <f>P24</f>
        <v>104600</v>
      </c>
      <c r="G30" s="231"/>
    </row>
    <row r="31" spans="1:22" x14ac:dyDescent="0.3">
      <c r="C31" s="1" t="s">
        <v>7</v>
      </c>
      <c r="D31" s="12">
        <f>T25</f>
        <v>14748</v>
      </c>
      <c r="G31" s="27"/>
    </row>
    <row r="32" spans="1:22" x14ac:dyDescent="0.3">
      <c r="C32" s="1" t="s">
        <v>31</v>
      </c>
      <c r="D32" s="12">
        <f>R26</f>
        <v>12552</v>
      </c>
    </row>
    <row r="33" spans="1:13" x14ac:dyDescent="0.3">
      <c r="C33" s="1" t="s">
        <v>157</v>
      </c>
      <c r="D33" s="12">
        <f>T27</f>
        <v>1770</v>
      </c>
    </row>
    <row r="34" spans="1:13" s="229" customFormat="1" ht="21" x14ac:dyDescent="0.4">
      <c r="A34" s="1"/>
      <c r="B34" s="1"/>
      <c r="C34" s="1" t="s">
        <v>158</v>
      </c>
      <c r="D34" s="230">
        <f>SUM(D30:D33)</f>
        <v>133670</v>
      </c>
      <c r="E34" s="1"/>
      <c r="F34" s="1"/>
      <c r="G34" s="1"/>
      <c r="H34" s="1"/>
      <c r="I34" s="1"/>
      <c r="J34" s="1"/>
      <c r="K34" s="1"/>
      <c r="L34" s="1"/>
      <c r="M34" s="1"/>
    </row>
    <row r="36" spans="1:13" x14ac:dyDescent="0.3">
      <c r="C36" s="1" t="s">
        <v>159</v>
      </c>
    </row>
    <row r="38" spans="1:13" x14ac:dyDescent="0.3">
      <c r="C38" s="1" t="s">
        <v>160</v>
      </c>
      <c r="D38" s="41">
        <f>D30*1.12*1.141</f>
        <v>133670.43200000003</v>
      </c>
    </row>
  </sheetData>
  <mergeCells count="26">
    <mergeCell ref="A28:B28"/>
    <mergeCell ref="P20:Q20"/>
    <mergeCell ref="R20:S20"/>
    <mergeCell ref="T20:U20"/>
    <mergeCell ref="P21:Q21"/>
    <mergeCell ref="R21:S21"/>
    <mergeCell ref="T21:U21"/>
    <mergeCell ref="R22:S22"/>
    <mergeCell ref="A24:B24"/>
    <mergeCell ref="A25:B25"/>
    <mergeCell ref="A27:B27"/>
    <mergeCell ref="L22:M22"/>
    <mergeCell ref="N20:O20"/>
    <mergeCell ref="N21:O21"/>
    <mergeCell ref="A20:B20"/>
    <mergeCell ref="J20:K20"/>
    <mergeCell ref="A26:B26"/>
    <mergeCell ref="J21:K21"/>
    <mergeCell ref="L20:M20"/>
    <mergeCell ref="L21:M21"/>
    <mergeCell ref="D20:E20"/>
    <mergeCell ref="F20:G20"/>
    <mergeCell ref="F21:G21"/>
    <mergeCell ref="H20:I20"/>
    <mergeCell ref="H21:I21"/>
    <mergeCell ref="D21:E21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&amp;COppgave 9.1&amp;R]</oddHeader>
    <oddFooter>&amp;CSide &amp;P av &amp;N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0"/>
  <sheetViews>
    <sheetView showGridLines="0" showZeros="0" topLeftCell="A27" zoomScaleNormal="100" workbookViewId="0">
      <selection activeCell="R33" sqref="R33"/>
    </sheetView>
  </sheetViews>
  <sheetFormatPr baseColWidth="10" defaultColWidth="11.44140625" defaultRowHeight="15.6" x14ac:dyDescent="0.3"/>
  <cols>
    <col min="1" max="1" width="3.6640625" style="42" customWidth="1"/>
    <col min="2" max="2" width="2.5546875" style="42" customWidth="1"/>
    <col min="3" max="3" width="29" style="42" customWidth="1"/>
    <col min="4" max="23" width="8.6640625" style="42" customWidth="1"/>
    <col min="24" max="24" width="8.109375" style="42" bestFit="1" customWidth="1"/>
    <col min="25" max="16384" width="11.44140625" style="42"/>
  </cols>
  <sheetData>
    <row r="1" spans="1:18" x14ac:dyDescent="0.3">
      <c r="A1" s="176" t="s">
        <v>163</v>
      </c>
    </row>
    <row r="3" spans="1:18" x14ac:dyDescent="0.3">
      <c r="A3" s="42" t="s">
        <v>0</v>
      </c>
    </row>
    <row r="4" spans="1:18" x14ac:dyDescent="0.3">
      <c r="A4" s="43"/>
      <c r="B4" s="44" t="s">
        <v>269</v>
      </c>
      <c r="C4" s="44"/>
      <c r="D4" s="44"/>
      <c r="E4" s="44"/>
      <c r="F4" s="44"/>
      <c r="G4" s="44" t="s">
        <v>34</v>
      </c>
      <c r="H4" s="44"/>
      <c r="I4" s="45"/>
    </row>
    <row r="5" spans="1:18" x14ac:dyDescent="0.3">
      <c r="A5" s="46"/>
      <c r="B5" s="47" t="s">
        <v>35</v>
      </c>
      <c r="C5" s="47"/>
      <c r="D5" s="47"/>
      <c r="E5" s="47"/>
      <c r="F5" s="47"/>
      <c r="G5" s="47"/>
      <c r="H5" s="47"/>
      <c r="I5" s="48"/>
    </row>
    <row r="6" spans="1:18" x14ac:dyDescent="0.3">
      <c r="A6" s="46"/>
      <c r="B6" s="47"/>
      <c r="C6" s="47"/>
      <c r="D6" s="47"/>
      <c r="E6" s="47"/>
      <c r="F6" s="47"/>
      <c r="G6" s="47"/>
      <c r="H6" s="47"/>
      <c r="I6" s="48"/>
    </row>
    <row r="7" spans="1:18" x14ac:dyDescent="0.3">
      <c r="A7" s="49"/>
      <c r="B7" s="50" t="s">
        <v>36</v>
      </c>
      <c r="C7" s="50"/>
      <c r="D7" s="50"/>
      <c r="E7" s="50"/>
      <c r="F7" s="50"/>
      <c r="G7" s="50"/>
      <c r="H7" s="50"/>
      <c r="I7" s="51"/>
    </row>
    <row r="8" spans="1:18" x14ac:dyDescent="0.3">
      <c r="A8" s="52"/>
      <c r="B8" s="43"/>
      <c r="C8" s="45"/>
      <c r="D8" s="316" t="s">
        <v>37</v>
      </c>
      <c r="E8" s="316"/>
      <c r="F8" s="316"/>
      <c r="G8" s="316"/>
      <c r="H8" s="316" t="s">
        <v>38</v>
      </c>
      <c r="I8" s="316"/>
    </row>
    <row r="9" spans="1:18" x14ac:dyDescent="0.3">
      <c r="A9" s="54"/>
      <c r="B9" s="49" t="s">
        <v>39</v>
      </c>
      <c r="C9" s="51"/>
      <c r="D9" s="53" t="s">
        <v>40</v>
      </c>
      <c r="E9" s="53" t="s">
        <v>41</v>
      </c>
      <c r="F9" s="53" t="s">
        <v>42</v>
      </c>
      <c r="G9" s="55" t="s">
        <v>11</v>
      </c>
      <c r="H9" s="53" t="s">
        <v>40</v>
      </c>
      <c r="I9" s="53" t="s">
        <v>11</v>
      </c>
    </row>
    <row r="10" spans="1:18" x14ac:dyDescent="0.3">
      <c r="A10" s="52">
        <v>1</v>
      </c>
      <c r="B10" s="44" t="s">
        <v>43</v>
      </c>
      <c r="C10" s="44"/>
      <c r="D10" s="52">
        <v>160</v>
      </c>
      <c r="E10" s="52">
        <v>280</v>
      </c>
      <c r="F10" s="52"/>
      <c r="G10" s="56">
        <f>D10*E10</f>
        <v>44800</v>
      </c>
      <c r="H10" s="52"/>
      <c r="I10" s="52"/>
    </row>
    <row r="11" spans="1:18" x14ac:dyDescent="0.3">
      <c r="A11" s="57">
        <v>11</v>
      </c>
      <c r="B11" s="47" t="s">
        <v>44</v>
      </c>
      <c r="C11" s="47"/>
      <c r="D11" s="57"/>
      <c r="E11" s="57"/>
      <c r="F11" s="57"/>
      <c r="G11" s="58"/>
      <c r="H11" s="57"/>
      <c r="I11" s="57"/>
    </row>
    <row r="12" spans="1:18" s="60" customFormat="1" ht="21" x14ac:dyDescent="0.4">
      <c r="A12" s="57"/>
      <c r="B12" s="47" t="s">
        <v>4</v>
      </c>
      <c r="C12" s="47"/>
      <c r="D12" s="57"/>
      <c r="E12" s="57"/>
      <c r="F12" s="57"/>
      <c r="G12" s="59">
        <f>SUM(G10:G11)</f>
        <v>44800</v>
      </c>
      <c r="H12" s="57"/>
      <c r="I12" s="57"/>
      <c r="J12" s="42"/>
      <c r="K12" s="42"/>
      <c r="L12" s="42"/>
      <c r="M12" s="42"/>
      <c r="N12" s="42"/>
      <c r="O12" s="42"/>
      <c r="P12" s="42"/>
      <c r="Q12" s="42"/>
      <c r="R12" s="42"/>
    </row>
    <row r="13" spans="1:18" x14ac:dyDescent="0.3">
      <c r="A13" s="57">
        <v>50</v>
      </c>
      <c r="B13" s="47" t="s">
        <v>162</v>
      </c>
      <c r="C13" s="47"/>
      <c r="D13" s="57"/>
      <c r="E13" s="57"/>
      <c r="F13" s="57"/>
      <c r="G13" s="59">
        <f>G12*0.32</f>
        <v>14336</v>
      </c>
      <c r="H13" s="57"/>
      <c r="I13" s="57"/>
    </row>
    <row r="14" spans="1:18" x14ac:dyDescent="0.3">
      <c r="A14" s="57"/>
      <c r="B14" s="47" t="s">
        <v>45</v>
      </c>
      <c r="C14" s="47"/>
      <c r="D14" s="57"/>
      <c r="E14" s="57"/>
      <c r="F14" s="57"/>
      <c r="G14" s="58">
        <v>5000</v>
      </c>
      <c r="H14" s="57"/>
      <c r="I14" s="57"/>
    </row>
    <row r="15" spans="1:18" s="60" customFormat="1" ht="21" x14ac:dyDescent="0.4">
      <c r="A15" s="57"/>
      <c r="B15" s="61" t="s">
        <v>46</v>
      </c>
      <c r="C15" s="47"/>
      <c r="D15" s="57"/>
      <c r="E15" s="57"/>
      <c r="F15" s="57"/>
      <c r="G15" s="62">
        <f>G12-G13-G14</f>
        <v>25464</v>
      </c>
      <c r="H15" s="57"/>
      <c r="I15" s="57"/>
      <c r="J15" s="42"/>
      <c r="K15" s="42"/>
    </row>
    <row r="16" spans="1:18" s="66" customFormat="1" ht="10.199999999999999" x14ac:dyDescent="0.2">
      <c r="A16" s="63"/>
      <c r="B16" s="64"/>
      <c r="C16" s="64"/>
      <c r="D16" s="63"/>
      <c r="E16" s="63"/>
      <c r="F16" s="63"/>
      <c r="G16" s="65"/>
      <c r="H16" s="63"/>
      <c r="I16" s="63"/>
    </row>
    <row r="17" spans="1:9" x14ac:dyDescent="0.3">
      <c r="A17" s="57"/>
      <c r="B17" s="47" t="s">
        <v>47</v>
      </c>
      <c r="C17" s="47"/>
      <c r="D17" s="57"/>
      <c r="E17" s="57"/>
      <c r="F17" s="57"/>
      <c r="G17" s="59">
        <f>G10</f>
        <v>44800</v>
      </c>
      <c r="H17" s="57"/>
      <c r="I17" s="57"/>
    </row>
    <row r="18" spans="1:9" x14ac:dyDescent="0.3">
      <c r="A18" s="54"/>
      <c r="B18" s="50" t="s">
        <v>48</v>
      </c>
      <c r="C18" s="50"/>
      <c r="D18" s="54"/>
      <c r="E18" s="54"/>
      <c r="F18" s="54"/>
      <c r="G18" s="58">
        <f>G10</f>
        <v>44800</v>
      </c>
      <c r="H18" s="54"/>
      <c r="I18" s="54"/>
    </row>
    <row r="30" spans="1:9" x14ac:dyDescent="0.3">
      <c r="A30" s="42" t="s">
        <v>49</v>
      </c>
    </row>
    <row r="31" spans="1:9" x14ac:dyDescent="0.3">
      <c r="A31" s="67" t="s">
        <v>1</v>
      </c>
      <c r="B31" s="68"/>
      <c r="C31" s="44"/>
      <c r="D31" s="44"/>
      <c r="E31" s="44" t="s">
        <v>13</v>
      </c>
      <c r="F31" s="45" t="s">
        <v>50</v>
      </c>
    </row>
    <row r="32" spans="1:9" x14ac:dyDescent="0.3">
      <c r="A32" s="49" t="s">
        <v>35</v>
      </c>
      <c r="B32" s="50"/>
      <c r="C32" s="50"/>
      <c r="D32" s="50"/>
      <c r="E32" s="50" t="s">
        <v>15</v>
      </c>
      <c r="F32" s="51"/>
    </row>
    <row r="33" spans="1:24" x14ac:dyDescent="0.3">
      <c r="A33" s="43" t="s">
        <v>3</v>
      </c>
      <c r="B33" s="44"/>
      <c r="C33" s="44"/>
      <c r="D33" s="69" t="s">
        <v>9</v>
      </c>
      <c r="E33" s="70" t="s">
        <v>11</v>
      </c>
      <c r="F33" s="69" t="s">
        <v>9</v>
      </c>
    </row>
    <row r="34" spans="1:24" x14ac:dyDescent="0.3">
      <c r="A34" s="49"/>
      <c r="B34" s="50"/>
      <c r="C34" s="50"/>
      <c r="D34" s="71" t="s">
        <v>10</v>
      </c>
      <c r="E34" s="72"/>
      <c r="F34" s="71" t="s">
        <v>12</v>
      </c>
    </row>
    <row r="35" spans="1:24" x14ac:dyDescent="0.3">
      <c r="A35" s="73">
        <v>1</v>
      </c>
      <c r="B35" s="44" t="s">
        <v>4</v>
      </c>
      <c r="D35" s="74">
        <v>5000</v>
      </c>
      <c r="E35" s="75">
        <f>202400+G10</f>
        <v>247200</v>
      </c>
      <c r="F35" s="74"/>
    </row>
    <row r="36" spans="1:24" x14ac:dyDescent="0.3">
      <c r="A36" s="76">
        <v>2</v>
      </c>
      <c r="B36" s="77" t="s">
        <v>5</v>
      </c>
      <c r="C36" s="78"/>
      <c r="D36" s="79"/>
      <c r="E36" s="80">
        <f>65140+G13</f>
        <v>79476</v>
      </c>
      <c r="F36" s="79">
        <v>2600</v>
      </c>
    </row>
    <row r="37" spans="1:24" x14ac:dyDescent="0.3">
      <c r="A37" s="76">
        <v>3</v>
      </c>
      <c r="B37" s="77" t="s">
        <v>45</v>
      </c>
      <c r="C37" s="78"/>
      <c r="D37" s="79"/>
      <c r="E37" s="80">
        <v>5000</v>
      </c>
      <c r="F37" s="79">
        <v>1570</v>
      </c>
      <c r="H37" s="81"/>
    </row>
    <row r="38" spans="1:24" x14ac:dyDescent="0.3">
      <c r="A38" s="76">
        <v>4</v>
      </c>
      <c r="B38" s="77" t="s">
        <v>51</v>
      </c>
      <c r="C38" s="78"/>
      <c r="D38" s="79"/>
      <c r="E38" s="80">
        <f>E35-E36-E37</f>
        <v>162724</v>
      </c>
      <c r="F38" s="79">
        <v>2380</v>
      </c>
      <c r="H38" s="81"/>
    </row>
    <row r="39" spans="1:24" x14ac:dyDescent="0.3">
      <c r="A39" s="76"/>
      <c r="B39" s="77"/>
      <c r="C39" s="78"/>
      <c r="D39" s="79"/>
      <c r="E39" s="80"/>
      <c r="F39" s="79"/>
    </row>
    <row r="40" spans="1:24" x14ac:dyDescent="0.3">
      <c r="A40" s="76">
        <v>5</v>
      </c>
      <c r="B40" s="77" t="s">
        <v>7</v>
      </c>
      <c r="C40" s="78"/>
      <c r="D40" s="79">
        <v>5400</v>
      </c>
      <c r="E40" s="80">
        <v>12607</v>
      </c>
      <c r="F40" s="79">
        <v>2770</v>
      </c>
      <c r="I40" s="248"/>
    </row>
    <row r="41" spans="1:24" x14ac:dyDescent="0.3">
      <c r="A41" s="76">
        <v>6</v>
      </c>
      <c r="B41" s="77" t="s">
        <v>8</v>
      </c>
      <c r="C41" s="78"/>
      <c r="D41" s="79">
        <v>5100</v>
      </c>
      <c r="E41" s="80">
        <v>25214</v>
      </c>
      <c r="F41" s="79">
        <v>2940</v>
      </c>
    </row>
    <row r="42" spans="1:24" x14ac:dyDescent="0.3">
      <c r="A42" s="76">
        <v>7</v>
      </c>
      <c r="B42" s="77" t="s">
        <v>17</v>
      </c>
      <c r="C42" s="78"/>
      <c r="D42" s="79">
        <v>5400</v>
      </c>
      <c r="E42" s="80">
        <v>1286</v>
      </c>
      <c r="F42" s="79">
        <v>2780</v>
      </c>
    </row>
    <row r="43" spans="1:24" x14ac:dyDescent="0.3">
      <c r="A43" s="82"/>
      <c r="B43" s="83"/>
      <c r="C43" s="84"/>
      <c r="D43" s="85"/>
      <c r="E43" s="86"/>
      <c r="F43" s="85"/>
    </row>
    <row r="46" spans="1:24" x14ac:dyDescent="0.3">
      <c r="A46" s="42" t="s">
        <v>52</v>
      </c>
    </row>
    <row r="48" spans="1:24" x14ac:dyDescent="0.3">
      <c r="A48" s="317" t="s">
        <v>28</v>
      </c>
      <c r="B48" s="318"/>
      <c r="C48" s="45" t="s">
        <v>3</v>
      </c>
      <c r="D48" s="314">
        <v>1570</v>
      </c>
      <c r="E48" s="315"/>
      <c r="F48" s="314" t="s">
        <v>21</v>
      </c>
      <c r="G48" s="313"/>
      <c r="H48" s="314">
        <v>2380</v>
      </c>
      <c r="I48" s="315"/>
      <c r="J48" s="313">
        <v>2600</v>
      </c>
      <c r="K48" s="313"/>
      <c r="L48" s="314" t="s">
        <v>24</v>
      </c>
      <c r="M48" s="315"/>
      <c r="N48" s="314" t="s">
        <v>26</v>
      </c>
      <c r="O48" s="315"/>
      <c r="P48" s="314">
        <v>2940</v>
      </c>
      <c r="Q48" s="315"/>
      <c r="R48" s="314" t="s">
        <v>30</v>
      </c>
      <c r="S48" s="315"/>
      <c r="T48" s="313">
        <v>5100</v>
      </c>
      <c r="U48" s="313"/>
      <c r="V48" s="314">
        <v>5400</v>
      </c>
      <c r="W48" s="315"/>
      <c r="X48" s="45" t="s">
        <v>20</v>
      </c>
    </row>
    <row r="49" spans="1:24" x14ac:dyDescent="0.3">
      <c r="A49" s="46"/>
      <c r="B49" s="48"/>
      <c r="C49" s="48"/>
      <c r="D49" s="308" t="s">
        <v>53</v>
      </c>
      <c r="E49" s="309"/>
      <c r="F49" s="46"/>
      <c r="G49" s="47"/>
      <c r="H49" s="308" t="s">
        <v>22</v>
      </c>
      <c r="I49" s="309"/>
      <c r="J49" s="310" t="s">
        <v>23</v>
      </c>
      <c r="K49" s="310"/>
      <c r="L49" s="308" t="s">
        <v>25</v>
      </c>
      <c r="M49" s="309"/>
      <c r="N49" s="308" t="s">
        <v>25</v>
      </c>
      <c r="O49" s="309"/>
      <c r="P49" s="308" t="s">
        <v>8</v>
      </c>
      <c r="Q49" s="309"/>
      <c r="R49" s="308"/>
      <c r="S49" s="309"/>
      <c r="T49" s="310" t="s">
        <v>31</v>
      </c>
      <c r="U49" s="310"/>
      <c r="V49" s="308" t="s">
        <v>7</v>
      </c>
      <c r="W49" s="309"/>
      <c r="X49" s="48"/>
    </row>
    <row r="50" spans="1:24" x14ac:dyDescent="0.3">
      <c r="A50" s="46"/>
      <c r="B50" s="48"/>
      <c r="C50" s="48"/>
      <c r="D50" s="306" t="s">
        <v>54</v>
      </c>
      <c r="E50" s="307"/>
      <c r="F50" s="46"/>
      <c r="G50" s="47"/>
      <c r="H50" s="49"/>
      <c r="I50" s="51"/>
      <c r="J50" s="47"/>
      <c r="K50" s="47"/>
      <c r="L50" s="49"/>
      <c r="M50" s="51"/>
      <c r="N50" s="308" t="s">
        <v>27</v>
      </c>
      <c r="O50" s="309"/>
      <c r="P50" s="49"/>
      <c r="Q50" s="51"/>
      <c r="R50" s="49"/>
      <c r="S50" s="51"/>
      <c r="T50" s="310"/>
      <c r="U50" s="310"/>
      <c r="V50" s="49"/>
      <c r="W50" s="51"/>
      <c r="X50" s="48"/>
    </row>
    <row r="51" spans="1:24" x14ac:dyDescent="0.3">
      <c r="A51" s="49"/>
      <c r="B51" s="51"/>
      <c r="C51" s="51"/>
      <c r="D51" s="90" t="s">
        <v>18</v>
      </c>
      <c r="E51" s="90" t="s">
        <v>19</v>
      </c>
      <c r="F51" s="53" t="s">
        <v>18</v>
      </c>
      <c r="G51" s="53" t="s">
        <v>19</v>
      </c>
      <c r="H51" s="53" t="s">
        <v>18</v>
      </c>
      <c r="I51" s="53" t="s">
        <v>19</v>
      </c>
      <c r="J51" s="53" t="s">
        <v>18</v>
      </c>
      <c r="K51" s="53" t="s">
        <v>19</v>
      </c>
      <c r="L51" s="53" t="s">
        <v>18</v>
      </c>
      <c r="M51" s="53" t="s">
        <v>19</v>
      </c>
      <c r="N51" s="53" t="s">
        <v>18</v>
      </c>
      <c r="O51" s="53" t="s">
        <v>19</v>
      </c>
      <c r="P51" s="53" t="s">
        <v>18</v>
      </c>
      <c r="Q51" s="53" t="s">
        <v>19</v>
      </c>
      <c r="R51" s="53" t="s">
        <v>18</v>
      </c>
      <c r="S51" s="53" t="s">
        <v>19</v>
      </c>
      <c r="T51" s="53" t="s">
        <v>18</v>
      </c>
      <c r="U51" s="53" t="s">
        <v>19</v>
      </c>
      <c r="V51" s="53" t="s">
        <v>18</v>
      </c>
      <c r="W51" s="53" t="s">
        <v>19</v>
      </c>
      <c r="X51" s="51"/>
    </row>
    <row r="52" spans="1:24" x14ac:dyDescent="0.3">
      <c r="A52" s="311">
        <v>40071</v>
      </c>
      <c r="B52" s="312"/>
      <c r="C52" s="91" t="s">
        <v>45</v>
      </c>
      <c r="D52" s="92">
        <v>5000</v>
      </c>
      <c r="E52" s="93"/>
      <c r="F52" s="92"/>
      <c r="G52" s="93"/>
      <c r="H52" s="92"/>
      <c r="I52" s="93">
        <v>5000</v>
      </c>
      <c r="J52" s="92"/>
      <c r="K52" s="93"/>
      <c r="L52" s="92"/>
      <c r="M52" s="93"/>
      <c r="N52" s="92"/>
      <c r="O52" s="93"/>
      <c r="P52" s="92"/>
      <c r="Q52" s="93"/>
      <c r="R52" s="92"/>
      <c r="S52" s="93"/>
      <c r="T52" s="92"/>
      <c r="U52" s="93"/>
      <c r="V52" s="92"/>
      <c r="W52" s="93"/>
      <c r="X52" s="92">
        <f t="shared" ref="X52:X57" si="0">V52+T52+R52+P52+N52+L52+J52+H52+F52+D52-W52-U52-S52-Q52-O52-M52-K52-I52-G52-E52</f>
        <v>0</v>
      </c>
    </row>
    <row r="53" spans="1:24" x14ac:dyDescent="0.3">
      <c r="A53" s="94" t="s">
        <v>55</v>
      </c>
      <c r="B53" s="95"/>
      <c r="C53" s="96" t="s">
        <v>79</v>
      </c>
      <c r="D53" s="97"/>
      <c r="E53" s="98">
        <v>5000</v>
      </c>
      <c r="F53" s="97"/>
      <c r="G53" s="98"/>
      <c r="H53" s="97"/>
      <c r="I53" s="98">
        <v>162724</v>
      </c>
      <c r="J53" s="97"/>
      <c r="K53" s="98">
        <v>79476</v>
      </c>
      <c r="L53" s="97"/>
      <c r="M53" s="98"/>
      <c r="N53" s="97"/>
      <c r="O53" s="98"/>
      <c r="P53" s="97"/>
      <c r="Q53" s="98"/>
      <c r="R53" s="97">
        <v>247200</v>
      </c>
      <c r="S53" s="98"/>
      <c r="T53" s="97"/>
      <c r="U53" s="98"/>
      <c r="V53" s="97"/>
      <c r="W53" s="98"/>
      <c r="X53" s="99">
        <f t="shared" si="0"/>
        <v>0</v>
      </c>
    </row>
    <row r="54" spans="1:24" x14ac:dyDescent="0.3">
      <c r="A54" s="302" t="s">
        <v>55</v>
      </c>
      <c r="B54" s="303"/>
      <c r="C54" s="100" t="s">
        <v>7</v>
      </c>
      <c r="D54" s="99"/>
      <c r="E54" s="101"/>
      <c r="F54" s="99"/>
      <c r="G54" s="101"/>
      <c r="H54" s="99"/>
      <c r="I54" s="101"/>
      <c r="J54" s="99"/>
      <c r="K54" s="101"/>
      <c r="L54" s="99"/>
      <c r="M54" s="101">
        <v>12607</v>
      </c>
      <c r="N54" s="99"/>
      <c r="O54" s="101"/>
      <c r="P54" s="99"/>
      <c r="Q54" s="101"/>
      <c r="R54" s="99"/>
      <c r="S54" s="101"/>
      <c r="T54" s="99"/>
      <c r="U54" s="101"/>
      <c r="V54" s="99">
        <v>12607</v>
      </c>
      <c r="W54" s="101"/>
      <c r="X54" s="99">
        <f t="shared" si="0"/>
        <v>0</v>
      </c>
    </row>
    <row r="55" spans="1:24" x14ac:dyDescent="0.3">
      <c r="A55" s="302" t="s">
        <v>55</v>
      </c>
      <c r="B55" s="303"/>
      <c r="C55" s="100" t="s">
        <v>31</v>
      </c>
      <c r="D55" s="99"/>
      <c r="E55" s="101"/>
      <c r="F55" s="99"/>
      <c r="G55" s="101"/>
      <c r="H55" s="99"/>
      <c r="I55" s="101"/>
      <c r="J55" s="99"/>
      <c r="K55" s="101"/>
      <c r="L55" s="99"/>
      <c r="M55" s="101"/>
      <c r="N55" s="99"/>
      <c r="O55" s="101"/>
      <c r="P55" s="99"/>
      <c r="Q55" s="101">
        <v>25214</v>
      </c>
      <c r="R55" s="99"/>
      <c r="S55" s="101"/>
      <c r="T55" s="99">
        <v>25214</v>
      </c>
      <c r="U55" s="101"/>
      <c r="V55" s="99"/>
      <c r="W55" s="101"/>
      <c r="X55" s="99">
        <f t="shared" si="0"/>
        <v>0</v>
      </c>
    </row>
    <row r="56" spans="1:24" x14ac:dyDescent="0.3">
      <c r="A56" s="302" t="s">
        <v>55</v>
      </c>
      <c r="B56" s="303"/>
      <c r="C56" s="100" t="s">
        <v>164</v>
      </c>
      <c r="D56" s="99"/>
      <c r="E56" s="101"/>
      <c r="F56" s="99"/>
      <c r="G56" s="101"/>
      <c r="H56" s="99"/>
      <c r="I56" s="101"/>
      <c r="J56" s="99"/>
      <c r="K56" s="101"/>
      <c r="L56" s="99"/>
      <c r="M56" s="101"/>
      <c r="N56" s="99"/>
      <c r="O56" s="101">
        <v>1286</v>
      </c>
      <c r="P56" s="99"/>
      <c r="Q56" s="101"/>
      <c r="R56" s="99"/>
      <c r="S56" s="101"/>
      <c r="T56" s="99"/>
      <c r="U56" s="101"/>
      <c r="V56" s="99">
        <v>1286</v>
      </c>
      <c r="W56" s="101"/>
      <c r="X56" s="99">
        <f t="shared" si="0"/>
        <v>0</v>
      </c>
    </row>
    <row r="57" spans="1:24" x14ac:dyDescent="0.3">
      <c r="A57" s="304" t="s">
        <v>55</v>
      </c>
      <c r="B57" s="305"/>
      <c r="C57" s="102" t="s">
        <v>142</v>
      </c>
      <c r="D57" s="103"/>
      <c r="E57" s="104"/>
      <c r="F57" s="103">
        <v>79476</v>
      </c>
      <c r="G57" s="104"/>
      <c r="H57" s="103"/>
      <c r="I57" s="104">
        <v>79476</v>
      </c>
      <c r="J57" s="103"/>
      <c r="K57" s="104"/>
      <c r="L57" s="103"/>
      <c r="M57" s="104"/>
      <c r="N57" s="103"/>
      <c r="O57" s="104"/>
      <c r="P57" s="103"/>
      <c r="Q57" s="104"/>
      <c r="R57" s="103"/>
      <c r="S57" s="104"/>
      <c r="T57" s="103"/>
      <c r="U57" s="104"/>
      <c r="V57" s="103"/>
      <c r="W57" s="104"/>
      <c r="X57" s="103">
        <f t="shared" si="0"/>
        <v>0</v>
      </c>
    </row>
    <row r="59" spans="1:24" x14ac:dyDescent="0.3">
      <c r="I59" s="105"/>
    </row>
    <row r="60" spans="1:24" x14ac:dyDescent="0.3">
      <c r="I60" s="47"/>
    </row>
  </sheetData>
  <mergeCells count="30">
    <mergeCell ref="D8:G8"/>
    <mergeCell ref="H8:I8"/>
    <mergeCell ref="A48:B48"/>
    <mergeCell ref="D48:E48"/>
    <mergeCell ref="F48:G48"/>
    <mergeCell ref="H48:I48"/>
    <mergeCell ref="T48:U48"/>
    <mergeCell ref="V48:W48"/>
    <mergeCell ref="D49:E49"/>
    <mergeCell ref="H49:I49"/>
    <mergeCell ref="J49:K49"/>
    <mergeCell ref="L49:M49"/>
    <mergeCell ref="N49:O49"/>
    <mergeCell ref="P49:Q49"/>
    <mergeCell ref="R49:S49"/>
    <mergeCell ref="T49:U49"/>
    <mergeCell ref="V49:W49"/>
    <mergeCell ref="J48:K48"/>
    <mergeCell ref="L48:M48"/>
    <mergeCell ref="N48:O48"/>
    <mergeCell ref="P48:Q48"/>
    <mergeCell ref="R48:S48"/>
    <mergeCell ref="A56:B56"/>
    <mergeCell ref="A57:B57"/>
    <mergeCell ref="D50:E50"/>
    <mergeCell ref="N50:O50"/>
    <mergeCell ref="T50:U50"/>
    <mergeCell ref="A52:B52"/>
    <mergeCell ref="A54:B54"/>
    <mergeCell ref="A55:B55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&amp;COppgave 9.2</oddHeader>
    <oddFooter>&amp;CSide &amp;P av &amp;N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7"/>
  <sheetViews>
    <sheetView showGridLines="0" showZeros="0" topLeftCell="AC1" zoomScaleNormal="100" workbookViewId="0">
      <selection activeCell="AP10" sqref="AP10"/>
    </sheetView>
  </sheetViews>
  <sheetFormatPr baseColWidth="10" defaultColWidth="11.44140625" defaultRowHeight="15.6" x14ac:dyDescent="0.3"/>
  <cols>
    <col min="1" max="1" width="6.6640625" style="106" bestFit="1" customWidth="1"/>
    <col min="2" max="2" width="20" style="42" bestFit="1" customWidth="1"/>
    <col min="3" max="3" width="3.88671875" style="42" bestFit="1" customWidth="1"/>
    <col min="4" max="13" width="9.6640625" style="81" customWidth="1"/>
    <col min="14" max="14" width="3.88671875" style="81" bestFit="1" customWidth="1"/>
    <col min="15" max="15" width="9.33203125" style="81" customWidth="1"/>
    <col min="16" max="17" width="9.6640625" style="81" customWidth="1"/>
    <col min="18" max="18" width="9.5546875" style="81" customWidth="1"/>
    <col min="19" max="28" width="9.6640625" style="81" customWidth="1"/>
    <col min="29" max="29" width="3.33203125" style="81" customWidth="1"/>
    <col min="30" max="41" width="9.6640625" style="81" customWidth="1"/>
    <col min="42" max="43" width="9.33203125" style="81" customWidth="1"/>
    <col min="44" max="44" width="3.33203125" style="81" customWidth="1"/>
    <col min="45" max="56" width="9.33203125" style="81" customWidth="1"/>
    <col min="57" max="57" width="9.33203125" style="42" bestFit="1" customWidth="1"/>
    <col min="58" max="16384" width="11.44140625" style="42"/>
  </cols>
  <sheetData>
    <row r="1" spans="1:57" x14ac:dyDescent="0.3">
      <c r="A1" s="165" t="s">
        <v>165</v>
      </c>
    </row>
    <row r="3" spans="1:57" x14ac:dyDescent="0.3">
      <c r="A3" s="106" t="s">
        <v>56</v>
      </c>
      <c r="B3" s="47"/>
    </row>
    <row r="4" spans="1:57" s="108" customFormat="1" ht="15.75" customHeight="1" x14ac:dyDescent="0.3">
      <c r="A4" s="107" t="s">
        <v>28</v>
      </c>
      <c r="B4" s="52" t="s">
        <v>3</v>
      </c>
      <c r="C4" s="336" t="s">
        <v>57</v>
      </c>
      <c r="D4" s="330">
        <v>1230</v>
      </c>
      <c r="E4" s="325"/>
      <c r="F4" s="324">
        <v>1250</v>
      </c>
      <c r="G4" s="325"/>
      <c r="H4" s="324">
        <v>1460</v>
      </c>
      <c r="I4" s="325"/>
      <c r="J4" s="324">
        <v>10000</v>
      </c>
      <c r="K4" s="325"/>
      <c r="L4" s="324">
        <v>1570</v>
      </c>
      <c r="M4" s="325"/>
      <c r="N4" s="321" t="s">
        <v>57</v>
      </c>
      <c r="O4" s="324">
        <v>1900</v>
      </c>
      <c r="P4" s="325"/>
      <c r="Q4" s="324">
        <v>1950</v>
      </c>
      <c r="R4" s="325"/>
      <c r="S4" s="324">
        <v>2050</v>
      </c>
      <c r="T4" s="325"/>
      <c r="U4" s="324">
        <v>2060</v>
      </c>
      <c r="V4" s="325"/>
      <c r="W4" s="324">
        <v>2380</v>
      </c>
      <c r="X4" s="325"/>
      <c r="Y4" s="324">
        <v>20000</v>
      </c>
      <c r="Z4" s="325"/>
      <c r="AA4" s="324">
        <v>20001</v>
      </c>
      <c r="AB4" s="325"/>
      <c r="AC4" s="333" t="s">
        <v>57</v>
      </c>
      <c r="AD4" s="324">
        <v>2600</v>
      </c>
      <c r="AE4" s="325"/>
      <c r="AF4" s="324" t="s">
        <v>58</v>
      </c>
      <c r="AG4" s="325"/>
      <c r="AH4" s="324" t="s">
        <v>59</v>
      </c>
      <c r="AI4" s="325"/>
      <c r="AJ4" s="324" t="s">
        <v>60</v>
      </c>
      <c r="AK4" s="325"/>
      <c r="AL4" s="324" t="s">
        <v>24</v>
      </c>
      <c r="AM4" s="325"/>
      <c r="AN4" s="324" t="s">
        <v>61</v>
      </c>
      <c r="AO4" s="325"/>
      <c r="AP4" s="324">
        <v>2940</v>
      </c>
      <c r="AQ4" s="325"/>
      <c r="AR4" s="326" t="s">
        <v>57</v>
      </c>
      <c r="AS4" s="324" t="s">
        <v>62</v>
      </c>
      <c r="AT4" s="325"/>
      <c r="AU4" s="330">
        <v>4300</v>
      </c>
      <c r="AV4" s="325"/>
      <c r="AW4" s="324">
        <v>5000</v>
      </c>
      <c r="AX4" s="325"/>
      <c r="AY4" s="324">
        <v>5100</v>
      </c>
      <c r="AZ4" s="325"/>
      <c r="BA4" s="324">
        <v>5400</v>
      </c>
      <c r="BB4" s="325"/>
      <c r="BC4" s="324" t="s">
        <v>177</v>
      </c>
      <c r="BD4" s="325"/>
      <c r="BE4" s="321" t="s">
        <v>20</v>
      </c>
    </row>
    <row r="5" spans="1:57" ht="15.75" customHeight="1" x14ac:dyDescent="0.3">
      <c r="A5" s="109"/>
      <c r="B5" s="110"/>
      <c r="C5" s="337"/>
      <c r="D5" s="329" t="s">
        <v>64</v>
      </c>
      <c r="E5" s="320"/>
      <c r="F5" s="319" t="s">
        <v>65</v>
      </c>
      <c r="G5" s="320"/>
      <c r="H5" s="319" t="s">
        <v>66</v>
      </c>
      <c r="I5" s="320"/>
      <c r="J5" s="319" t="s">
        <v>270</v>
      </c>
      <c r="K5" s="320"/>
      <c r="L5" s="319" t="s">
        <v>67</v>
      </c>
      <c r="M5" s="320"/>
      <c r="N5" s="322"/>
      <c r="O5" s="319" t="s">
        <v>68</v>
      </c>
      <c r="P5" s="320"/>
      <c r="Q5" s="319" t="s">
        <v>69</v>
      </c>
      <c r="R5" s="320"/>
      <c r="S5" s="319" t="s">
        <v>70</v>
      </c>
      <c r="T5" s="320"/>
      <c r="U5" s="319" t="s">
        <v>71</v>
      </c>
      <c r="V5" s="320"/>
      <c r="W5" s="319" t="s">
        <v>72</v>
      </c>
      <c r="X5" s="320"/>
      <c r="Y5" s="319" t="s">
        <v>73</v>
      </c>
      <c r="Z5" s="320"/>
      <c r="AA5" s="331" t="s">
        <v>74</v>
      </c>
      <c r="AB5" s="332"/>
      <c r="AC5" s="334"/>
      <c r="AD5" s="319" t="s">
        <v>5</v>
      </c>
      <c r="AE5" s="320"/>
      <c r="AF5" s="319" t="s">
        <v>75</v>
      </c>
      <c r="AG5" s="320"/>
      <c r="AH5" s="319" t="s">
        <v>75</v>
      </c>
      <c r="AI5" s="320"/>
      <c r="AJ5" s="319" t="s">
        <v>75</v>
      </c>
      <c r="AK5" s="320"/>
      <c r="AL5" s="319" t="s">
        <v>25</v>
      </c>
      <c r="AM5" s="320"/>
      <c r="AN5" s="319" t="s">
        <v>76</v>
      </c>
      <c r="AO5" s="320"/>
      <c r="AP5" s="319" t="s">
        <v>154</v>
      </c>
      <c r="AQ5" s="320"/>
      <c r="AR5" s="327"/>
      <c r="AS5" s="319" t="s">
        <v>77</v>
      </c>
      <c r="AT5" s="320"/>
      <c r="AU5" s="329" t="s">
        <v>78</v>
      </c>
      <c r="AV5" s="320"/>
      <c r="AW5" s="319" t="s">
        <v>79</v>
      </c>
      <c r="AX5" s="320"/>
      <c r="AY5" s="319" t="s">
        <v>31</v>
      </c>
      <c r="AZ5" s="320"/>
      <c r="BA5" s="319" t="s">
        <v>7</v>
      </c>
      <c r="BB5" s="320"/>
      <c r="BC5" s="319" t="s">
        <v>97</v>
      </c>
      <c r="BD5" s="320"/>
      <c r="BE5" s="322"/>
    </row>
    <row r="6" spans="1:57" x14ac:dyDescent="0.3">
      <c r="A6" s="111"/>
      <c r="B6" s="54"/>
      <c r="C6" s="338"/>
      <c r="D6" s="55" t="s">
        <v>18</v>
      </c>
      <c r="E6" s="55" t="s">
        <v>19</v>
      </c>
      <c r="F6" s="55" t="s">
        <v>18</v>
      </c>
      <c r="G6" s="55" t="s">
        <v>19</v>
      </c>
      <c r="H6" s="55" t="s">
        <v>18</v>
      </c>
      <c r="I6" s="55" t="s">
        <v>19</v>
      </c>
      <c r="J6" s="55" t="s">
        <v>18</v>
      </c>
      <c r="K6" s="55" t="s">
        <v>19</v>
      </c>
      <c r="L6" s="55" t="s">
        <v>18</v>
      </c>
      <c r="M6" s="55" t="s">
        <v>19</v>
      </c>
      <c r="N6" s="323"/>
      <c r="O6" s="55" t="s">
        <v>18</v>
      </c>
      <c r="P6" s="55" t="s">
        <v>19</v>
      </c>
      <c r="Q6" s="55" t="s">
        <v>18</v>
      </c>
      <c r="R6" s="55" t="s">
        <v>19</v>
      </c>
      <c r="S6" s="55" t="s">
        <v>18</v>
      </c>
      <c r="T6" s="55" t="s">
        <v>19</v>
      </c>
      <c r="U6" s="55" t="s">
        <v>18</v>
      </c>
      <c r="V6" s="55" t="s">
        <v>19</v>
      </c>
      <c r="W6" s="55" t="s">
        <v>18</v>
      </c>
      <c r="X6" s="55" t="s">
        <v>19</v>
      </c>
      <c r="Y6" s="55" t="s">
        <v>18</v>
      </c>
      <c r="Z6" s="55" t="s">
        <v>19</v>
      </c>
      <c r="AA6" s="112" t="s">
        <v>18</v>
      </c>
      <c r="AB6" s="112" t="s">
        <v>19</v>
      </c>
      <c r="AC6" s="335"/>
      <c r="AD6" s="55" t="s">
        <v>18</v>
      </c>
      <c r="AE6" s="55" t="s">
        <v>19</v>
      </c>
      <c r="AF6" s="55" t="s">
        <v>18</v>
      </c>
      <c r="AG6" s="55" t="s">
        <v>19</v>
      </c>
      <c r="AH6" s="55" t="s">
        <v>18</v>
      </c>
      <c r="AI6" s="55" t="s">
        <v>19</v>
      </c>
      <c r="AJ6" s="113" t="s">
        <v>18</v>
      </c>
      <c r="AK6" s="55" t="s">
        <v>19</v>
      </c>
      <c r="AL6" s="55" t="s">
        <v>18</v>
      </c>
      <c r="AM6" s="55" t="s">
        <v>19</v>
      </c>
      <c r="AN6" s="55" t="s">
        <v>18</v>
      </c>
      <c r="AO6" s="55" t="s">
        <v>19</v>
      </c>
      <c r="AP6" s="55" t="s">
        <v>18</v>
      </c>
      <c r="AQ6" s="55" t="s">
        <v>19</v>
      </c>
      <c r="AR6" s="328"/>
      <c r="AS6" s="55" t="s">
        <v>18</v>
      </c>
      <c r="AT6" s="55" t="s">
        <v>19</v>
      </c>
      <c r="AU6" s="55" t="s">
        <v>18</v>
      </c>
      <c r="AV6" s="55" t="s">
        <v>19</v>
      </c>
      <c r="AW6" s="55" t="s">
        <v>18</v>
      </c>
      <c r="AX6" s="55" t="s">
        <v>19</v>
      </c>
      <c r="AY6" s="55" t="s">
        <v>18</v>
      </c>
      <c r="AZ6" s="55" t="s">
        <v>19</v>
      </c>
      <c r="BA6" s="55" t="s">
        <v>18</v>
      </c>
      <c r="BB6" s="55" t="s">
        <v>19</v>
      </c>
      <c r="BC6" s="114" t="s">
        <v>18</v>
      </c>
      <c r="BD6" s="114" t="s">
        <v>19</v>
      </c>
      <c r="BE6" s="323"/>
    </row>
    <row r="7" spans="1:57" x14ac:dyDescent="0.3">
      <c r="A7" s="115">
        <v>43466</v>
      </c>
      <c r="B7" s="116" t="s">
        <v>166</v>
      </c>
      <c r="C7" s="117">
        <v>1</v>
      </c>
      <c r="D7" s="92">
        <v>48000</v>
      </c>
      <c r="E7" s="93"/>
      <c r="F7" s="92">
        <v>30000</v>
      </c>
      <c r="G7" s="93"/>
      <c r="H7" s="92">
        <v>275000</v>
      </c>
      <c r="I7" s="93"/>
      <c r="J7" s="92">
        <v>52000</v>
      </c>
      <c r="K7" s="93"/>
      <c r="L7" s="92"/>
      <c r="M7" s="93"/>
      <c r="N7" s="117">
        <v>1</v>
      </c>
      <c r="O7" s="92">
        <v>950</v>
      </c>
      <c r="P7" s="93"/>
      <c r="Q7" s="92">
        <v>26700</v>
      </c>
      <c r="R7" s="93"/>
      <c r="S7" s="92"/>
      <c r="T7" s="93">
        <v>94810</v>
      </c>
      <c r="U7" s="92"/>
      <c r="V7" s="93"/>
      <c r="W7" s="92"/>
      <c r="X7" s="93">
        <v>129303</v>
      </c>
      <c r="Y7" s="92"/>
      <c r="Z7" s="93">
        <v>48950</v>
      </c>
      <c r="AA7" s="92"/>
      <c r="AB7" s="93"/>
      <c r="AC7" s="118">
        <v>1</v>
      </c>
      <c r="AD7" s="92"/>
      <c r="AE7" s="93">
        <v>26700</v>
      </c>
      <c r="AF7" s="119"/>
      <c r="AG7" s="93"/>
      <c r="AH7" s="119"/>
      <c r="AI7" s="93"/>
      <c r="AJ7" s="119"/>
      <c r="AK7" s="93">
        <v>25600</v>
      </c>
      <c r="AL7" s="92"/>
      <c r="AM7" s="93">
        <v>16920</v>
      </c>
      <c r="AN7" s="92"/>
      <c r="AO7" s="93">
        <v>11167</v>
      </c>
      <c r="AP7" s="92"/>
      <c r="AQ7" s="93">
        <v>79200</v>
      </c>
      <c r="AR7" s="120">
        <v>1</v>
      </c>
      <c r="AS7" s="92"/>
      <c r="AT7" s="93"/>
      <c r="AU7" s="92"/>
      <c r="AV7" s="93"/>
      <c r="AW7" s="92"/>
      <c r="AX7" s="93"/>
      <c r="AY7" s="92"/>
      <c r="AZ7" s="93"/>
      <c r="BA7" s="92"/>
      <c r="BB7" s="93"/>
      <c r="BC7" s="119"/>
      <c r="BD7" s="93"/>
      <c r="BE7" s="121">
        <f t="shared" ref="BE7:BE28" si="0">D7+F7+H7+J7+L7+O7+Q7+S7+U7+W7+Y7+AA7+AD7+AL7+AN7+AP7+AS7+AU7+AW7+AY7+BA7+BC7-E7-G7-I7-K7-M7-P7-R7-T7-V7-X7-Z7-AB7-AE7-AM7-AO7-AQ7-AT7-AV7-AX7-AZ7-BB7-BD7+AF7+AH7-AG7-AI7+AJ7-AK7</f>
        <v>0</v>
      </c>
    </row>
    <row r="8" spans="1:57" x14ac:dyDescent="0.3">
      <c r="A8" s="122">
        <v>43468</v>
      </c>
      <c r="B8" s="123" t="s">
        <v>78</v>
      </c>
      <c r="C8" s="124">
        <v>2</v>
      </c>
      <c r="D8" s="99"/>
      <c r="E8" s="101"/>
      <c r="F8" s="99"/>
      <c r="G8" s="101"/>
      <c r="H8" s="99"/>
      <c r="I8" s="101"/>
      <c r="J8" s="99"/>
      <c r="K8" s="101"/>
      <c r="L8" s="99"/>
      <c r="M8" s="101"/>
      <c r="N8" s="124">
        <v>2</v>
      </c>
      <c r="O8" s="99"/>
      <c r="P8" s="101"/>
      <c r="Q8" s="99"/>
      <c r="R8" s="101"/>
      <c r="S8" s="99"/>
      <c r="T8" s="101"/>
      <c r="U8" s="99"/>
      <c r="V8" s="101"/>
      <c r="W8" s="99"/>
      <c r="X8" s="101"/>
      <c r="Y8" s="99"/>
      <c r="Z8" s="101"/>
      <c r="AA8" s="99"/>
      <c r="AB8" s="101">
        <v>3000</v>
      </c>
      <c r="AC8" s="125">
        <v>2</v>
      </c>
      <c r="AD8" s="99"/>
      <c r="AE8" s="101"/>
      <c r="AF8" s="126"/>
      <c r="AG8" s="101"/>
      <c r="AH8" s="126">
        <v>600</v>
      </c>
      <c r="AI8" s="101"/>
      <c r="AJ8" s="126"/>
      <c r="AK8" s="101"/>
      <c r="AL8" s="99"/>
      <c r="AM8" s="101"/>
      <c r="AN8" s="99"/>
      <c r="AO8" s="101"/>
      <c r="AP8" s="99"/>
      <c r="AQ8" s="101"/>
      <c r="AR8" s="127">
        <v>2</v>
      </c>
      <c r="AS8" s="99"/>
      <c r="AT8" s="101"/>
      <c r="AU8" s="99">
        <v>2400</v>
      </c>
      <c r="AV8" s="101"/>
      <c r="AW8" s="99"/>
      <c r="AX8" s="101"/>
      <c r="AY8" s="99"/>
      <c r="AZ8" s="101"/>
      <c r="BA8" s="99"/>
      <c r="BB8" s="101"/>
      <c r="BC8" s="126"/>
      <c r="BD8" s="101"/>
      <c r="BE8" s="128">
        <f t="shared" si="0"/>
        <v>0</v>
      </c>
    </row>
    <row r="9" spans="1:57" x14ac:dyDescent="0.3">
      <c r="A9" s="122">
        <v>43470</v>
      </c>
      <c r="B9" s="123" t="s">
        <v>167</v>
      </c>
      <c r="C9" s="124">
        <v>3</v>
      </c>
      <c r="D9" s="99"/>
      <c r="E9" s="101"/>
      <c r="F9" s="99"/>
      <c r="G9" s="101"/>
      <c r="H9" s="99"/>
      <c r="I9" s="101"/>
      <c r="J9" s="99"/>
      <c r="K9" s="101"/>
      <c r="L9" s="99"/>
      <c r="M9" s="101"/>
      <c r="N9" s="124">
        <v>3</v>
      </c>
      <c r="O9" s="99"/>
      <c r="P9" s="101"/>
      <c r="Q9" s="99"/>
      <c r="R9" s="101"/>
      <c r="S9" s="99"/>
      <c r="T9" s="101"/>
      <c r="U9" s="99">
        <v>12000</v>
      </c>
      <c r="V9" s="101"/>
      <c r="W9" s="99"/>
      <c r="X9" s="101">
        <v>12000</v>
      </c>
      <c r="Y9" s="99"/>
      <c r="Z9" s="101"/>
      <c r="AA9" s="99"/>
      <c r="AB9" s="101"/>
      <c r="AC9" s="125">
        <v>3</v>
      </c>
      <c r="AD9" s="99"/>
      <c r="AE9" s="101"/>
      <c r="AF9" s="126"/>
      <c r="AG9" s="101"/>
      <c r="AH9" s="126"/>
      <c r="AI9" s="101"/>
      <c r="AJ9" s="126"/>
      <c r="AK9" s="101"/>
      <c r="AL9" s="99"/>
      <c r="AM9" s="101"/>
      <c r="AN9" s="99"/>
      <c r="AO9" s="101"/>
      <c r="AP9" s="99"/>
      <c r="AQ9" s="101"/>
      <c r="AR9" s="127">
        <v>3</v>
      </c>
      <c r="AS9" s="99"/>
      <c r="AT9" s="101"/>
      <c r="AU9" s="99"/>
      <c r="AV9" s="101"/>
      <c r="AW9" s="99"/>
      <c r="AX9" s="101"/>
      <c r="AY9" s="99"/>
      <c r="AZ9" s="101"/>
      <c r="BA9" s="99"/>
      <c r="BB9" s="101"/>
      <c r="BC9" s="126"/>
      <c r="BD9" s="101"/>
      <c r="BE9" s="128">
        <f t="shared" si="0"/>
        <v>0</v>
      </c>
    </row>
    <row r="10" spans="1:57" x14ac:dyDescent="0.3">
      <c r="A10" s="122">
        <v>43470</v>
      </c>
      <c r="B10" s="123" t="s">
        <v>168</v>
      </c>
      <c r="C10" s="124">
        <v>4</v>
      </c>
      <c r="D10" s="99"/>
      <c r="E10" s="101"/>
      <c r="F10" s="99"/>
      <c r="G10" s="101"/>
      <c r="H10" s="99"/>
      <c r="I10" s="101"/>
      <c r="J10" s="99"/>
      <c r="K10" s="101"/>
      <c r="L10" s="99"/>
      <c r="M10" s="101"/>
      <c r="N10" s="124">
        <v>4</v>
      </c>
      <c r="O10" s="99"/>
      <c r="P10" s="101"/>
      <c r="Q10" s="99"/>
      <c r="R10" s="101"/>
      <c r="S10" s="99"/>
      <c r="T10" s="101"/>
      <c r="U10" s="99"/>
      <c r="V10" s="101"/>
      <c r="W10" s="99"/>
      <c r="X10" s="101">
        <v>3000</v>
      </c>
      <c r="Y10" s="99"/>
      <c r="Z10" s="101"/>
      <c r="AA10" s="99">
        <v>3000</v>
      </c>
      <c r="AB10" s="101"/>
      <c r="AC10" s="125">
        <v>4</v>
      </c>
      <c r="AD10" s="99"/>
      <c r="AE10" s="101"/>
      <c r="AF10" s="126"/>
      <c r="AG10" s="101"/>
      <c r="AH10" s="126"/>
      <c r="AI10" s="101"/>
      <c r="AJ10" s="126"/>
      <c r="AK10" s="101"/>
      <c r="AL10" s="99"/>
      <c r="AM10" s="101"/>
      <c r="AN10" s="99"/>
      <c r="AO10" s="101"/>
      <c r="AP10" s="99"/>
      <c r="AQ10" s="101"/>
      <c r="AR10" s="127">
        <v>4</v>
      </c>
      <c r="AS10" s="99"/>
      <c r="AT10" s="101"/>
      <c r="AU10" s="99"/>
      <c r="AV10" s="101"/>
      <c r="AW10" s="99"/>
      <c r="AX10" s="101"/>
      <c r="AY10" s="99"/>
      <c r="AZ10" s="101"/>
      <c r="BA10" s="99"/>
      <c r="BB10" s="101"/>
      <c r="BC10" s="126"/>
      <c r="BD10" s="101"/>
      <c r="BE10" s="128">
        <f t="shared" si="0"/>
        <v>0</v>
      </c>
    </row>
    <row r="11" spans="1:57" x14ac:dyDescent="0.3">
      <c r="A11" s="122">
        <v>43475</v>
      </c>
      <c r="B11" s="123" t="s">
        <v>176</v>
      </c>
      <c r="C11" s="124">
        <v>5</v>
      </c>
      <c r="D11" s="99"/>
      <c r="E11" s="101"/>
      <c r="F11" s="99"/>
      <c r="G11" s="101"/>
      <c r="H11" s="99"/>
      <c r="I11" s="101"/>
      <c r="J11" s="99"/>
      <c r="K11" s="101"/>
      <c r="L11" s="99"/>
      <c r="M11" s="101"/>
      <c r="N11" s="124">
        <v>5</v>
      </c>
      <c r="O11" s="99"/>
      <c r="P11" s="101"/>
      <c r="Q11" s="99"/>
      <c r="R11" s="101"/>
      <c r="S11" s="99"/>
      <c r="T11" s="101"/>
      <c r="U11" s="99"/>
      <c r="V11" s="101"/>
      <c r="W11" s="99"/>
      <c r="X11" s="101">
        <v>1400</v>
      </c>
      <c r="Y11" s="99"/>
      <c r="Z11" s="101"/>
      <c r="AA11" s="99"/>
      <c r="AB11" s="101"/>
      <c r="AC11" s="125">
        <v>5</v>
      </c>
      <c r="AD11" s="99"/>
      <c r="AE11" s="101"/>
      <c r="AF11" s="126"/>
      <c r="AG11" s="101"/>
      <c r="AH11" s="126"/>
      <c r="AI11" s="101"/>
      <c r="AJ11" s="126"/>
      <c r="AK11" s="101"/>
      <c r="AL11" s="99"/>
      <c r="AM11" s="101"/>
      <c r="AN11" s="99"/>
      <c r="AO11" s="101"/>
      <c r="AP11" s="99"/>
      <c r="AQ11" s="101"/>
      <c r="AR11" s="127">
        <v>5</v>
      </c>
      <c r="AS11" s="99"/>
      <c r="AT11" s="101"/>
      <c r="AU11" s="99"/>
      <c r="AV11" s="101"/>
      <c r="AW11" s="99"/>
      <c r="AX11" s="101"/>
      <c r="AY11" s="99"/>
      <c r="AZ11" s="101"/>
      <c r="BA11" s="99"/>
      <c r="BB11" s="101"/>
      <c r="BC11" s="126">
        <v>1400</v>
      </c>
      <c r="BD11" s="101"/>
      <c r="BE11" s="128">
        <f t="shared" si="0"/>
        <v>0</v>
      </c>
    </row>
    <row r="12" spans="1:57" x14ac:dyDescent="0.3">
      <c r="A12" s="122">
        <v>43475</v>
      </c>
      <c r="B12" s="123" t="s">
        <v>7</v>
      </c>
      <c r="C12" s="124">
        <v>6</v>
      </c>
      <c r="D12" s="99"/>
      <c r="E12" s="101"/>
      <c r="F12" s="99"/>
      <c r="G12" s="101"/>
      <c r="H12" s="99"/>
      <c r="I12" s="101"/>
      <c r="J12" s="99"/>
      <c r="K12" s="101"/>
      <c r="L12" s="99"/>
      <c r="M12" s="101"/>
      <c r="N12" s="124">
        <v>6</v>
      </c>
      <c r="O12" s="99"/>
      <c r="P12" s="101"/>
      <c r="Q12" s="99"/>
      <c r="R12" s="101"/>
      <c r="S12" s="99"/>
      <c r="T12" s="101"/>
      <c r="U12" s="99"/>
      <c r="V12" s="101"/>
      <c r="W12" s="99"/>
      <c r="X12" s="101"/>
      <c r="Y12" s="99"/>
      <c r="Z12" s="101"/>
      <c r="AA12" s="99"/>
      <c r="AB12" s="101"/>
      <c r="AC12" s="125">
        <v>6</v>
      </c>
      <c r="AD12" s="99"/>
      <c r="AE12" s="101"/>
      <c r="AF12" s="126"/>
      <c r="AG12" s="101"/>
      <c r="AH12" s="126"/>
      <c r="AI12" s="101"/>
      <c r="AJ12" s="126"/>
      <c r="AK12" s="101"/>
      <c r="AL12" s="99"/>
      <c r="AM12" s="101">
        <v>197</v>
      </c>
      <c r="AN12" s="99"/>
      <c r="AO12" s="101"/>
      <c r="AP12" s="99"/>
      <c r="AQ12" s="101"/>
      <c r="AR12" s="127">
        <v>6</v>
      </c>
      <c r="AS12" s="99"/>
      <c r="AT12" s="101"/>
      <c r="AU12" s="99"/>
      <c r="AV12" s="101"/>
      <c r="AW12" s="99"/>
      <c r="AX12" s="101"/>
      <c r="AY12" s="99"/>
      <c r="AZ12" s="101"/>
      <c r="BA12" s="99">
        <v>197</v>
      </c>
      <c r="BB12" s="101"/>
      <c r="BC12" s="126"/>
      <c r="BD12" s="101"/>
      <c r="BE12" s="128">
        <f t="shared" si="0"/>
        <v>0</v>
      </c>
    </row>
    <row r="13" spans="1:57" x14ac:dyDescent="0.3">
      <c r="A13" s="122">
        <v>43478</v>
      </c>
      <c r="B13" s="123" t="s">
        <v>169</v>
      </c>
      <c r="C13" s="124">
        <v>7</v>
      </c>
      <c r="D13" s="99"/>
      <c r="E13" s="101"/>
      <c r="F13" s="99"/>
      <c r="G13" s="101"/>
      <c r="H13" s="99"/>
      <c r="I13" s="101"/>
      <c r="J13" s="99"/>
      <c r="K13" s="101">
        <v>52000</v>
      </c>
      <c r="L13" s="99"/>
      <c r="M13" s="101"/>
      <c r="N13" s="124">
        <v>7</v>
      </c>
      <c r="O13" s="99"/>
      <c r="P13" s="101"/>
      <c r="Q13" s="99"/>
      <c r="R13" s="101"/>
      <c r="S13" s="99"/>
      <c r="T13" s="101"/>
      <c r="U13" s="99"/>
      <c r="V13" s="101"/>
      <c r="W13" s="99">
        <v>52000</v>
      </c>
      <c r="X13" s="101"/>
      <c r="Y13" s="99"/>
      <c r="Z13" s="101"/>
      <c r="AA13" s="99"/>
      <c r="AB13" s="101"/>
      <c r="AC13" s="125">
        <v>7</v>
      </c>
      <c r="AD13" s="99"/>
      <c r="AE13" s="101"/>
      <c r="AF13" s="126"/>
      <c r="AG13" s="101"/>
      <c r="AH13" s="126"/>
      <c r="AI13" s="101"/>
      <c r="AJ13" s="126"/>
      <c r="AK13" s="101"/>
      <c r="AL13" s="99"/>
      <c r="AM13" s="101"/>
      <c r="AN13" s="99"/>
      <c r="AO13" s="101"/>
      <c r="AP13" s="99"/>
      <c r="AQ13" s="101"/>
      <c r="AR13" s="127">
        <v>7</v>
      </c>
      <c r="AS13" s="99"/>
      <c r="AT13" s="101"/>
      <c r="AU13" s="99"/>
      <c r="AV13" s="101"/>
      <c r="AW13" s="99"/>
      <c r="AX13" s="101"/>
      <c r="AY13" s="99"/>
      <c r="AZ13" s="101"/>
      <c r="BA13" s="99"/>
      <c r="BB13" s="101"/>
      <c r="BC13" s="126"/>
      <c r="BD13" s="101"/>
      <c r="BE13" s="128">
        <f t="shared" si="0"/>
        <v>0</v>
      </c>
    </row>
    <row r="14" spans="1:57" x14ac:dyDescent="0.3">
      <c r="A14" s="122" t="s">
        <v>170</v>
      </c>
      <c r="B14" s="123" t="s">
        <v>171</v>
      </c>
      <c r="C14" s="124">
        <v>8</v>
      </c>
      <c r="D14" s="99"/>
      <c r="E14" s="101"/>
      <c r="F14" s="99"/>
      <c r="G14" s="101"/>
      <c r="H14" s="99"/>
      <c r="I14" s="101"/>
      <c r="J14" s="99"/>
      <c r="K14" s="101"/>
      <c r="L14" s="99"/>
      <c r="M14" s="101"/>
      <c r="N14" s="124">
        <v>8</v>
      </c>
      <c r="O14" s="99"/>
      <c r="P14" s="101"/>
      <c r="Q14" s="99"/>
      <c r="R14" s="101">
        <v>26700</v>
      </c>
      <c r="S14" s="99"/>
      <c r="T14" s="101"/>
      <c r="U14" s="99"/>
      <c r="V14" s="101"/>
      <c r="W14" s="99"/>
      <c r="X14" s="101"/>
      <c r="Y14" s="99"/>
      <c r="Z14" s="101"/>
      <c r="AA14" s="99"/>
      <c r="AB14" s="101"/>
      <c r="AC14" s="125">
        <v>8</v>
      </c>
      <c r="AD14" s="99">
        <v>26700</v>
      </c>
      <c r="AE14" s="101"/>
      <c r="AF14" s="126"/>
      <c r="AG14" s="101"/>
      <c r="AH14" s="126"/>
      <c r="AI14" s="101"/>
      <c r="AJ14" s="126"/>
      <c r="AK14" s="101"/>
      <c r="AL14" s="99"/>
      <c r="AM14" s="101"/>
      <c r="AN14" s="99"/>
      <c r="AO14" s="101"/>
      <c r="AP14" s="99"/>
      <c r="AQ14" s="101"/>
      <c r="AR14" s="127">
        <v>8</v>
      </c>
      <c r="AS14" s="99"/>
      <c r="AT14" s="101"/>
      <c r="AU14" s="99"/>
      <c r="AV14" s="101"/>
      <c r="AW14" s="99"/>
      <c r="AX14" s="101"/>
      <c r="AY14" s="99"/>
      <c r="AZ14" s="101"/>
      <c r="BA14" s="99"/>
      <c r="BB14" s="101"/>
      <c r="BC14" s="126"/>
      <c r="BD14" s="101"/>
      <c r="BE14" s="128">
        <f t="shared" si="0"/>
        <v>0</v>
      </c>
    </row>
    <row r="15" spans="1:57" x14ac:dyDescent="0.3">
      <c r="A15" s="122">
        <v>43480</v>
      </c>
      <c r="B15" s="123" t="s">
        <v>172</v>
      </c>
      <c r="C15" s="124">
        <v>9</v>
      </c>
      <c r="D15" s="99"/>
      <c r="E15" s="101"/>
      <c r="F15" s="99"/>
      <c r="G15" s="101"/>
      <c r="H15" s="99"/>
      <c r="I15" s="101"/>
      <c r="J15" s="99"/>
      <c r="K15" s="101"/>
      <c r="L15" s="99"/>
      <c r="M15" s="101"/>
      <c r="N15" s="124">
        <v>9</v>
      </c>
      <c r="O15" s="99"/>
      <c r="P15" s="101"/>
      <c r="Q15" s="99"/>
      <c r="R15" s="101"/>
      <c r="S15" s="99"/>
      <c r="T15" s="101"/>
      <c r="U15" s="99"/>
      <c r="V15" s="101"/>
      <c r="W15" s="99"/>
      <c r="X15" s="101">
        <v>16920</v>
      </c>
      <c r="Y15" s="99"/>
      <c r="Z15" s="101"/>
      <c r="AA15" s="99"/>
      <c r="AB15" s="101"/>
      <c r="AC15" s="125">
        <v>9</v>
      </c>
      <c r="AD15" s="99"/>
      <c r="AE15" s="101"/>
      <c r="AF15" s="126"/>
      <c r="AG15" s="101"/>
      <c r="AH15" s="126"/>
      <c r="AI15" s="101"/>
      <c r="AJ15" s="126"/>
      <c r="AK15" s="101"/>
      <c r="AL15" s="99">
        <v>16920</v>
      </c>
      <c r="AM15" s="101"/>
      <c r="AN15" s="99"/>
      <c r="AO15" s="101"/>
      <c r="AP15" s="99"/>
      <c r="AQ15" s="101"/>
      <c r="AR15" s="127">
        <v>9</v>
      </c>
      <c r="AS15" s="99"/>
      <c r="AT15" s="101"/>
      <c r="AU15" s="99"/>
      <c r="AV15" s="101"/>
      <c r="AW15" s="99"/>
      <c r="AX15" s="101"/>
      <c r="AY15" s="99"/>
      <c r="AZ15" s="101"/>
      <c r="BA15" s="99"/>
      <c r="BB15" s="101"/>
      <c r="BC15" s="126"/>
      <c r="BD15" s="101"/>
      <c r="BE15" s="128">
        <f t="shared" si="0"/>
        <v>0</v>
      </c>
    </row>
    <row r="16" spans="1:57" x14ac:dyDescent="0.3">
      <c r="A16" s="122">
        <v>43480</v>
      </c>
      <c r="B16" s="123" t="s">
        <v>79</v>
      </c>
      <c r="C16" s="124">
        <v>10</v>
      </c>
      <c r="D16" s="99"/>
      <c r="E16" s="101"/>
      <c r="F16" s="99"/>
      <c r="G16" s="101"/>
      <c r="H16" s="99"/>
      <c r="I16" s="101"/>
      <c r="J16" s="99"/>
      <c r="K16" s="101"/>
      <c r="L16" s="99"/>
      <c r="M16" s="101"/>
      <c r="N16" s="124">
        <v>10</v>
      </c>
      <c r="O16" s="99"/>
      <c r="P16" s="101"/>
      <c r="Q16" s="99"/>
      <c r="R16" s="101"/>
      <c r="S16" s="99"/>
      <c r="T16" s="101"/>
      <c r="U16" s="99"/>
      <c r="V16" s="101"/>
      <c r="W16" s="99"/>
      <c r="X16" s="101">
        <v>19500</v>
      </c>
      <c r="Y16" s="99"/>
      <c r="Z16" s="101"/>
      <c r="AA16" s="99"/>
      <c r="AB16" s="101"/>
      <c r="AC16" s="125">
        <v>10</v>
      </c>
      <c r="AD16" s="99"/>
      <c r="AE16" s="101">
        <v>10500</v>
      </c>
      <c r="AF16" s="126"/>
      <c r="AG16" s="101"/>
      <c r="AH16" s="126"/>
      <c r="AI16" s="101"/>
      <c r="AJ16" s="126"/>
      <c r="AK16" s="101"/>
      <c r="AL16" s="99"/>
      <c r="AM16" s="101"/>
      <c r="AN16" s="99"/>
      <c r="AO16" s="101"/>
      <c r="AP16" s="99"/>
      <c r="AQ16" s="101"/>
      <c r="AR16" s="127">
        <v>10</v>
      </c>
      <c r="AS16" s="99"/>
      <c r="AT16" s="101"/>
      <c r="AU16" s="99"/>
      <c r="AV16" s="101"/>
      <c r="AW16" s="99">
        <v>30000</v>
      </c>
      <c r="AX16" s="101"/>
      <c r="AY16" s="99"/>
      <c r="AZ16" s="101"/>
      <c r="BA16" s="99"/>
      <c r="BB16" s="101"/>
      <c r="BC16" s="126"/>
      <c r="BD16" s="101"/>
      <c r="BE16" s="128">
        <f t="shared" si="0"/>
        <v>0</v>
      </c>
    </row>
    <row r="17" spans="1:57" x14ac:dyDescent="0.3">
      <c r="A17" s="122">
        <v>43480</v>
      </c>
      <c r="B17" s="123" t="s">
        <v>7</v>
      </c>
      <c r="C17" s="124">
        <v>11</v>
      </c>
      <c r="D17" s="99"/>
      <c r="E17" s="101"/>
      <c r="F17" s="99"/>
      <c r="G17" s="101"/>
      <c r="H17" s="99"/>
      <c r="I17" s="101"/>
      <c r="J17" s="99"/>
      <c r="K17" s="101"/>
      <c r="L17" s="99"/>
      <c r="M17" s="101"/>
      <c r="N17" s="124">
        <v>11</v>
      </c>
      <c r="O17" s="99"/>
      <c r="P17" s="101"/>
      <c r="Q17" s="99"/>
      <c r="R17" s="101"/>
      <c r="S17" s="99"/>
      <c r="T17" s="101"/>
      <c r="U17" s="99"/>
      <c r="V17" s="101"/>
      <c r="W17" s="99"/>
      <c r="X17" s="101"/>
      <c r="Y17" s="99"/>
      <c r="Z17" s="101"/>
      <c r="AA17" s="99"/>
      <c r="AB17" s="101"/>
      <c r="AC17" s="125">
        <v>11</v>
      </c>
      <c r="AD17" s="99"/>
      <c r="AE17" s="101"/>
      <c r="AF17" s="126"/>
      <c r="AG17" s="101"/>
      <c r="AH17" s="126"/>
      <c r="AI17" s="101"/>
      <c r="AJ17" s="126"/>
      <c r="AK17" s="101"/>
      <c r="AL17" s="99"/>
      <c r="AM17" s="101">
        <f>AW16*0.141</f>
        <v>4230</v>
      </c>
      <c r="AN17" s="99"/>
      <c r="AO17" s="101"/>
      <c r="AP17" s="99"/>
      <c r="AQ17" s="101"/>
      <c r="AR17" s="127">
        <v>11</v>
      </c>
      <c r="AS17" s="99"/>
      <c r="AT17" s="101"/>
      <c r="AU17" s="99"/>
      <c r="AV17" s="101"/>
      <c r="AW17" s="99"/>
      <c r="AX17" s="101"/>
      <c r="AY17" s="99"/>
      <c r="AZ17" s="101"/>
      <c r="BA17" s="99">
        <v>4230</v>
      </c>
      <c r="BB17" s="101"/>
      <c r="BC17" s="126"/>
      <c r="BD17" s="101"/>
      <c r="BE17" s="128">
        <f t="shared" si="0"/>
        <v>0</v>
      </c>
    </row>
    <row r="18" spans="1:57" x14ac:dyDescent="0.3">
      <c r="A18" s="122">
        <v>43480</v>
      </c>
      <c r="B18" s="123" t="s">
        <v>31</v>
      </c>
      <c r="C18" s="124">
        <v>12</v>
      </c>
      <c r="D18" s="99"/>
      <c r="E18" s="101"/>
      <c r="F18" s="99"/>
      <c r="G18" s="101"/>
      <c r="H18" s="99"/>
      <c r="I18" s="101"/>
      <c r="J18" s="99"/>
      <c r="K18" s="101"/>
      <c r="L18" s="99"/>
      <c r="M18" s="101"/>
      <c r="N18" s="124">
        <v>12</v>
      </c>
      <c r="O18" s="99"/>
      <c r="P18" s="101"/>
      <c r="Q18" s="99"/>
      <c r="R18" s="101"/>
      <c r="S18" s="99"/>
      <c r="T18" s="101"/>
      <c r="U18" s="99"/>
      <c r="V18" s="101"/>
      <c r="W18" s="99"/>
      <c r="X18" s="101"/>
      <c r="Y18" s="99"/>
      <c r="Z18" s="101"/>
      <c r="AA18" s="99"/>
      <c r="AB18" s="101"/>
      <c r="AC18" s="125">
        <v>12</v>
      </c>
      <c r="AD18" s="99"/>
      <c r="AE18" s="101"/>
      <c r="AF18" s="126"/>
      <c r="AG18" s="101"/>
      <c r="AH18" s="126"/>
      <c r="AI18" s="101"/>
      <c r="AJ18" s="126"/>
      <c r="AK18" s="101"/>
      <c r="AL18" s="99"/>
      <c r="AM18" s="101"/>
      <c r="AN18" s="99"/>
      <c r="AO18" s="101"/>
      <c r="AP18" s="99"/>
      <c r="AQ18" s="101">
        <f>AW16*0.12</f>
        <v>3600</v>
      </c>
      <c r="AR18" s="127">
        <v>12</v>
      </c>
      <c r="AS18" s="99"/>
      <c r="AT18" s="101"/>
      <c r="AU18" s="99"/>
      <c r="AV18" s="101"/>
      <c r="AW18" s="99"/>
      <c r="AX18" s="101"/>
      <c r="AY18" s="99">
        <v>3600</v>
      </c>
      <c r="AZ18" s="101"/>
      <c r="BA18" s="99"/>
      <c r="BB18" s="101"/>
      <c r="BC18" s="126"/>
      <c r="BD18" s="101"/>
      <c r="BE18" s="128">
        <f t="shared" si="0"/>
        <v>0</v>
      </c>
    </row>
    <row r="19" spans="1:57" x14ac:dyDescent="0.3">
      <c r="A19" s="122">
        <v>43480</v>
      </c>
      <c r="B19" s="123" t="s">
        <v>173</v>
      </c>
      <c r="C19" s="124">
        <v>13</v>
      </c>
      <c r="D19" s="99"/>
      <c r="E19" s="101"/>
      <c r="F19" s="99"/>
      <c r="G19" s="101"/>
      <c r="H19" s="99"/>
      <c r="I19" s="101"/>
      <c r="J19" s="99"/>
      <c r="K19" s="101"/>
      <c r="L19" s="99"/>
      <c r="M19" s="101"/>
      <c r="N19" s="124">
        <v>13</v>
      </c>
      <c r="O19" s="99"/>
      <c r="P19" s="101"/>
      <c r="Q19" s="99"/>
      <c r="R19" s="101"/>
      <c r="S19" s="99"/>
      <c r="T19" s="101"/>
      <c r="U19" s="99"/>
      <c r="V19" s="101"/>
      <c r="W19" s="99"/>
      <c r="X19" s="101"/>
      <c r="Y19" s="99"/>
      <c r="Z19" s="101"/>
      <c r="AA19" s="99"/>
      <c r="AB19" s="101"/>
      <c r="AC19" s="125">
        <v>13</v>
      </c>
      <c r="AD19" s="99"/>
      <c r="AE19" s="101"/>
      <c r="AF19" s="126"/>
      <c r="AG19" s="101"/>
      <c r="AH19" s="126"/>
      <c r="AI19" s="101"/>
      <c r="AJ19" s="126"/>
      <c r="AK19" s="101"/>
      <c r="AL19" s="99"/>
      <c r="AM19" s="101"/>
      <c r="AN19" s="99"/>
      <c r="AO19" s="101">
        <v>508</v>
      </c>
      <c r="AP19" s="99"/>
      <c r="AQ19" s="101"/>
      <c r="AR19" s="127">
        <v>13</v>
      </c>
      <c r="AS19" s="99"/>
      <c r="AT19" s="101"/>
      <c r="AU19" s="99"/>
      <c r="AV19" s="101"/>
      <c r="AW19" s="99"/>
      <c r="AX19" s="101"/>
      <c r="AY19" s="99"/>
      <c r="AZ19" s="101"/>
      <c r="BA19" s="99">
        <v>508</v>
      </c>
      <c r="BB19" s="101"/>
      <c r="BC19" s="126"/>
      <c r="BD19" s="101"/>
      <c r="BE19" s="128">
        <f t="shared" si="0"/>
        <v>0</v>
      </c>
    </row>
    <row r="20" spans="1:57" x14ac:dyDescent="0.3">
      <c r="A20" s="122" t="s">
        <v>170</v>
      </c>
      <c r="B20" s="123" t="s">
        <v>174</v>
      </c>
      <c r="C20" s="124">
        <v>14</v>
      </c>
      <c r="D20" s="99"/>
      <c r="E20" s="101"/>
      <c r="F20" s="99"/>
      <c r="G20" s="101"/>
      <c r="H20" s="99"/>
      <c r="I20" s="101"/>
      <c r="J20" s="99"/>
      <c r="K20" s="101"/>
      <c r="L20" s="99"/>
      <c r="M20" s="101"/>
      <c r="N20" s="124">
        <v>14</v>
      </c>
      <c r="O20" s="99"/>
      <c r="P20" s="101"/>
      <c r="Q20" s="99">
        <v>10500</v>
      </c>
      <c r="R20" s="101"/>
      <c r="S20" s="99"/>
      <c r="T20" s="101"/>
      <c r="U20" s="99"/>
      <c r="V20" s="101"/>
      <c r="W20" s="99"/>
      <c r="X20" s="101">
        <v>10500</v>
      </c>
      <c r="Y20" s="99"/>
      <c r="Z20" s="101"/>
      <c r="AA20" s="99"/>
      <c r="AB20" s="101"/>
      <c r="AC20" s="125">
        <v>14</v>
      </c>
      <c r="AD20" s="99"/>
      <c r="AE20" s="101"/>
      <c r="AF20" s="126"/>
      <c r="AG20" s="101"/>
      <c r="AH20" s="126"/>
      <c r="AI20" s="101"/>
      <c r="AJ20" s="126"/>
      <c r="AK20" s="101"/>
      <c r="AL20" s="99"/>
      <c r="AM20" s="101"/>
      <c r="AN20" s="99"/>
      <c r="AO20" s="101"/>
      <c r="AP20" s="99"/>
      <c r="AQ20" s="101"/>
      <c r="AR20" s="127">
        <v>14</v>
      </c>
      <c r="AS20" s="99"/>
      <c r="AT20" s="101"/>
      <c r="AU20" s="99"/>
      <c r="AV20" s="101"/>
      <c r="AW20" s="99"/>
      <c r="AX20" s="101"/>
      <c r="AY20" s="99"/>
      <c r="AZ20" s="101"/>
      <c r="BA20" s="99"/>
      <c r="BB20" s="101"/>
      <c r="BC20" s="126"/>
      <c r="BD20" s="101"/>
      <c r="BE20" s="128">
        <f t="shared" si="0"/>
        <v>0</v>
      </c>
    </row>
    <row r="21" spans="1:57" x14ac:dyDescent="0.3">
      <c r="A21" s="122">
        <v>43484</v>
      </c>
      <c r="B21" s="123" t="s">
        <v>67</v>
      </c>
      <c r="C21" s="124">
        <v>15</v>
      </c>
      <c r="D21" s="99"/>
      <c r="E21" s="101"/>
      <c r="F21" s="99"/>
      <c r="G21" s="101"/>
      <c r="H21" s="99"/>
      <c r="I21" s="101"/>
      <c r="J21" s="99"/>
      <c r="K21" s="101"/>
      <c r="L21" s="99">
        <v>3500</v>
      </c>
      <c r="M21" s="101"/>
      <c r="N21" s="124">
        <v>15</v>
      </c>
      <c r="O21" s="99"/>
      <c r="P21" s="101"/>
      <c r="Q21" s="99"/>
      <c r="R21" s="101"/>
      <c r="S21" s="99"/>
      <c r="T21" s="101"/>
      <c r="U21" s="99"/>
      <c r="V21" s="101"/>
      <c r="W21" s="99"/>
      <c r="X21" s="101">
        <v>3500</v>
      </c>
      <c r="Y21" s="99"/>
      <c r="Z21" s="101"/>
      <c r="AA21" s="99"/>
      <c r="AB21" s="101"/>
      <c r="AC21" s="125">
        <v>15</v>
      </c>
      <c r="AD21" s="99"/>
      <c r="AE21" s="101"/>
      <c r="AF21" s="126"/>
      <c r="AG21" s="101"/>
      <c r="AH21" s="126"/>
      <c r="AI21" s="101"/>
      <c r="AJ21" s="126"/>
      <c r="AK21" s="101"/>
      <c r="AL21" s="99"/>
      <c r="AM21" s="101"/>
      <c r="AN21" s="99"/>
      <c r="AO21" s="101"/>
      <c r="AP21" s="99"/>
      <c r="AQ21" s="101"/>
      <c r="AR21" s="127">
        <v>15</v>
      </c>
      <c r="AS21" s="99"/>
      <c r="AT21" s="101"/>
      <c r="AU21" s="99"/>
      <c r="AV21" s="101"/>
      <c r="AW21" s="99"/>
      <c r="AX21" s="101"/>
      <c r="AY21" s="99"/>
      <c r="AZ21" s="101"/>
      <c r="BA21" s="99"/>
      <c r="BB21" s="101"/>
      <c r="BC21" s="126"/>
      <c r="BD21" s="101"/>
      <c r="BE21" s="128">
        <f t="shared" si="0"/>
        <v>0</v>
      </c>
    </row>
    <row r="22" spans="1:57" x14ac:dyDescent="0.3">
      <c r="A22" s="122">
        <v>43489</v>
      </c>
      <c r="B22" s="123" t="s">
        <v>168</v>
      </c>
      <c r="C22" s="124">
        <v>16</v>
      </c>
      <c r="D22" s="99"/>
      <c r="E22" s="101"/>
      <c r="F22" s="99"/>
      <c r="G22" s="101"/>
      <c r="H22" s="99"/>
      <c r="I22" s="101"/>
      <c r="J22" s="99"/>
      <c r="K22" s="101"/>
      <c r="L22" s="99"/>
      <c r="M22" s="101"/>
      <c r="N22" s="124">
        <v>16</v>
      </c>
      <c r="O22" s="99"/>
      <c r="P22" s="101"/>
      <c r="Q22" s="99"/>
      <c r="R22" s="101"/>
      <c r="S22" s="99"/>
      <c r="T22" s="101"/>
      <c r="U22" s="99"/>
      <c r="V22" s="101"/>
      <c r="W22" s="99"/>
      <c r="X22" s="101">
        <v>48950</v>
      </c>
      <c r="Y22" s="99">
        <v>48950</v>
      </c>
      <c r="Z22" s="101"/>
      <c r="AA22" s="99"/>
      <c r="AB22" s="101"/>
      <c r="AC22" s="125">
        <v>16</v>
      </c>
      <c r="AD22" s="99"/>
      <c r="AE22" s="101"/>
      <c r="AF22" s="126"/>
      <c r="AG22" s="101"/>
      <c r="AH22" s="126"/>
      <c r="AI22" s="101"/>
      <c r="AJ22" s="126"/>
      <c r="AK22" s="101"/>
      <c r="AL22" s="99"/>
      <c r="AM22" s="101"/>
      <c r="AN22" s="99"/>
      <c r="AO22" s="101"/>
      <c r="AP22" s="99"/>
      <c r="AQ22" s="101"/>
      <c r="AR22" s="127">
        <v>16</v>
      </c>
      <c r="AS22" s="99"/>
      <c r="AT22" s="101"/>
      <c r="AU22" s="99"/>
      <c r="AV22" s="101"/>
      <c r="AW22" s="99"/>
      <c r="AX22" s="101"/>
      <c r="AY22" s="99"/>
      <c r="AZ22" s="101"/>
      <c r="BA22" s="99"/>
      <c r="BB22" s="101"/>
      <c r="BC22" s="126"/>
      <c r="BD22" s="101"/>
      <c r="BE22" s="128">
        <f t="shared" si="0"/>
        <v>0</v>
      </c>
    </row>
    <row r="23" spans="1:57" x14ac:dyDescent="0.3">
      <c r="A23" s="122">
        <v>43496</v>
      </c>
      <c r="B23" s="123" t="s">
        <v>175</v>
      </c>
      <c r="C23" s="124">
        <v>17</v>
      </c>
      <c r="D23" s="99"/>
      <c r="E23" s="101"/>
      <c r="F23" s="99"/>
      <c r="G23" s="101"/>
      <c r="H23" s="99"/>
      <c r="I23" s="101"/>
      <c r="J23" s="99">
        <v>107500</v>
      </c>
      <c r="K23" s="101"/>
      <c r="L23" s="99"/>
      <c r="M23" s="101"/>
      <c r="N23" s="124">
        <v>17</v>
      </c>
      <c r="O23" s="99"/>
      <c r="P23" s="101"/>
      <c r="Q23" s="99"/>
      <c r="R23" s="101"/>
      <c r="S23" s="99"/>
      <c r="T23" s="101"/>
      <c r="U23" s="99"/>
      <c r="V23" s="101"/>
      <c r="W23" s="99"/>
      <c r="X23" s="101"/>
      <c r="Y23" s="99"/>
      <c r="Z23" s="101"/>
      <c r="AA23" s="99"/>
      <c r="AB23" s="101"/>
      <c r="AC23" s="125">
        <v>17</v>
      </c>
      <c r="AD23" s="99"/>
      <c r="AE23" s="101"/>
      <c r="AF23" s="126"/>
      <c r="AG23" s="101">
        <v>21500</v>
      </c>
      <c r="AH23" s="126"/>
      <c r="AI23" s="101"/>
      <c r="AJ23" s="126"/>
      <c r="AK23" s="101"/>
      <c r="AL23" s="99"/>
      <c r="AM23" s="101"/>
      <c r="AN23" s="99"/>
      <c r="AO23" s="101"/>
      <c r="AP23" s="99"/>
      <c r="AQ23" s="101"/>
      <c r="AR23" s="127">
        <v>17</v>
      </c>
      <c r="AS23" s="99"/>
      <c r="AT23" s="101">
        <v>86000</v>
      </c>
      <c r="AU23" s="99"/>
      <c r="AV23" s="101"/>
      <c r="AW23" s="99"/>
      <c r="AX23" s="101"/>
      <c r="AY23" s="99"/>
      <c r="AZ23" s="101"/>
      <c r="BA23" s="99"/>
      <c r="BB23" s="101"/>
      <c r="BC23" s="126"/>
      <c r="BD23" s="101"/>
      <c r="BE23" s="128">
        <f t="shared" si="0"/>
        <v>0</v>
      </c>
    </row>
    <row r="24" spans="1:57" x14ac:dyDescent="0.3">
      <c r="A24" s="122">
        <v>43496</v>
      </c>
      <c r="B24" s="123" t="s">
        <v>79</v>
      </c>
      <c r="C24" s="124">
        <v>18</v>
      </c>
      <c r="D24" s="99"/>
      <c r="E24" s="101"/>
      <c r="F24" s="99"/>
      <c r="G24" s="101"/>
      <c r="H24" s="99"/>
      <c r="I24" s="101"/>
      <c r="J24" s="99"/>
      <c r="K24" s="101"/>
      <c r="L24" s="99"/>
      <c r="M24" s="101">
        <v>3500</v>
      </c>
      <c r="N24" s="124">
        <v>18</v>
      </c>
      <c r="O24" s="99"/>
      <c r="P24" s="101"/>
      <c r="Q24" s="99"/>
      <c r="R24" s="101"/>
      <c r="S24" s="99"/>
      <c r="T24" s="101"/>
      <c r="U24" s="99"/>
      <c r="V24" s="101"/>
      <c r="W24" s="99"/>
      <c r="X24" s="101">
        <v>17550</v>
      </c>
      <c r="Y24" s="99"/>
      <c r="Z24" s="101"/>
      <c r="AA24" s="99"/>
      <c r="AB24" s="101"/>
      <c r="AC24" s="125">
        <v>18</v>
      </c>
      <c r="AD24" s="99"/>
      <c r="AE24" s="101">
        <v>11450</v>
      </c>
      <c r="AF24" s="126"/>
      <c r="AG24" s="101"/>
      <c r="AH24" s="126"/>
      <c r="AI24" s="101"/>
      <c r="AJ24" s="126"/>
      <c r="AK24" s="101"/>
      <c r="AL24" s="99"/>
      <c r="AM24" s="101"/>
      <c r="AN24" s="99"/>
      <c r="AO24" s="101"/>
      <c r="AP24" s="99"/>
      <c r="AQ24" s="101"/>
      <c r="AR24" s="127">
        <v>18</v>
      </c>
      <c r="AS24" s="99"/>
      <c r="AT24" s="101"/>
      <c r="AU24" s="99"/>
      <c r="AV24" s="101"/>
      <c r="AW24" s="99">
        <v>32500</v>
      </c>
      <c r="AX24" s="101"/>
      <c r="AY24" s="99"/>
      <c r="AZ24" s="101"/>
      <c r="BA24" s="99"/>
      <c r="BB24" s="101"/>
      <c r="BC24" s="126"/>
      <c r="BD24" s="101"/>
      <c r="BE24" s="128">
        <f t="shared" si="0"/>
        <v>0</v>
      </c>
    </row>
    <row r="25" spans="1:57" x14ac:dyDescent="0.3">
      <c r="A25" s="122">
        <v>43496</v>
      </c>
      <c r="B25" s="123" t="s">
        <v>7</v>
      </c>
      <c r="C25" s="124">
        <v>19</v>
      </c>
      <c r="D25" s="99"/>
      <c r="E25" s="101"/>
      <c r="F25" s="99"/>
      <c r="G25" s="101"/>
      <c r="H25" s="99"/>
      <c r="I25" s="101"/>
      <c r="J25" s="99"/>
      <c r="K25" s="101"/>
      <c r="L25" s="99"/>
      <c r="M25" s="101"/>
      <c r="N25" s="124">
        <v>19</v>
      </c>
      <c r="O25" s="99"/>
      <c r="P25" s="101"/>
      <c r="Q25" s="99"/>
      <c r="R25" s="101"/>
      <c r="S25" s="99"/>
      <c r="T25" s="101"/>
      <c r="U25" s="99"/>
      <c r="V25" s="101"/>
      <c r="W25" s="99"/>
      <c r="X25" s="101"/>
      <c r="Y25" s="99"/>
      <c r="Z25" s="101"/>
      <c r="AA25" s="99"/>
      <c r="AB25" s="101"/>
      <c r="AC25" s="125">
        <v>19</v>
      </c>
      <c r="AD25" s="99"/>
      <c r="AE25" s="101"/>
      <c r="AF25" s="126"/>
      <c r="AG25" s="101"/>
      <c r="AH25" s="126"/>
      <c r="AI25" s="101"/>
      <c r="AJ25" s="126"/>
      <c r="AK25" s="101"/>
      <c r="AL25" s="99"/>
      <c r="AM25" s="101">
        <v>4583</v>
      </c>
      <c r="AN25" s="99"/>
      <c r="AO25" s="101"/>
      <c r="AP25" s="99"/>
      <c r="AQ25" s="101"/>
      <c r="AR25" s="127">
        <v>19</v>
      </c>
      <c r="AS25" s="99"/>
      <c r="AT25" s="101"/>
      <c r="AU25" s="99"/>
      <c r="AV25" s="101"/>
      <c r="AW25" s="99"/>
      <c r="AX25" s="101"/>
      <c r="AY25" s="99"/>
      <c r="AZ25" s="101"/>
      <c r="BA25" s="99">
        <v>4583</v>
      </c>
      <c r="BB25" s="101"/>
      <c r="BC25" s="126"/>
      <c r="BD25" s="101"/>
      <c r="BE25" s="128">
        <f t="shared" si="0"/>
        <v>0</v>
      </c>
    </row>
    <row r="26" spans="1:57" x14ac:dyDescent="0.3">
      <c r="A26" s="122">
        <v>43496</v>
      </c>
      <c r="B26" s="123" t="s">
        <v>31</v>
      </c>
      <c r="C26" s="124">
        <v>20</v>
      </c>
      <c r="D26" s="99"/>
      <c r="E26" s="101"/>
      <c r="F26" s="99"/>
      <c r="G26" s="101"/>
      <c r="H26" s="99"/>
      <c r="I26" s="101"/>
      <c r="J26" s="99"/>
      <c r="K26" s="101"/>
      <c r="L26" s="99"/>
      <c r="M26" s="101"/>
      <c r="N26" s="124">
        <v>20</v>
      </c>
      <c r="O26" s="99"/>
      <c r="P26" s="101"/>
      <c r="Q26" s="99"/>
      <c r="R26" s="101"/>
      <c r="S26" s="99"/>
      <c r="T26" s="101"/>
      <c r="U26" s="99"/>
      <c r="V26" s="101"/>
      <c r="W26" s="99"/>
      <c r="X26" s="101"/>
      <c r="Y26" s="99"/>
      <c r="Z26" s="101"/>
      <c r="AA26" s="99"/>
      <c r="AB26" s="101"/>
      <c r="AC26" s="125">
        <v>20</v>
      </c>
      <c r="AD26" s="99"/>
      <c r="AE26" s="101"/>
      <c r="AF26" s="126"/>
      <c r="AG26" s="101"/>
      <c r="AH26" s="126"/>
      <c r="AI26" s="101"/>
      <c r="AJ26" s="126"/>
      <c r="AK26" s="101"/>
      <c r="AL26" s="99"/>
      <c r="AM26" s="101"/>
      <c r="AN26" s="99"/>
      <c r="AO26" s="101"/>
      <c r="AP26" s="99"/>
      <c r="AQ26" s="101">
        <v>3900</v>
      </c>
      <c r="AR26" s="127">
        <v>20</v>
      </c>
      <c r="AS26" s="99"/>
      <c r="AT26" s="101"/>
      <c r="AU26" s="99"/>
      <c r="AV26" s="101"/>
      <c r="AW26" s="99"/>
      <c r="AX26" s="101"/>
      <c r="AY26" s="99">
        <v>3900</v>
      </c>
      <c r="AZ26" s="101"/>
      <c r="BA26" s="99"/>
      <c r="BB26" s="101"/>
      <c r="BC26" s="126"/>
      <c r="BD26" s="101"/>
      <c r="BE26" s="128">
        <f t="shared" si="0"/>
        <v>0</v>
      </c>
    </row>
    <row r="27" spans="1:57" x14ac:dyDescent="0.3">
      <c r="A27" s="122">
        <v>43496</v>
      </c>
      <c r="B27" s="123" t="s">
        <v>173</v>
      </c>
      <c r="C27" s="124">
        <v>21</v>
      </c>
      <c r="D27" s="99"/>
      <c r="E27" s="101"/>
      <c r="F27" s="99"/>
      <c r="G27" s="101"/>
      <c r="H27" s="99"/>
      <c r="I27" s="101"/>
      <c r="J27" s="99"/>
      <c r="K27" s="101"/>
      <c r="L27" s="99"/>
      <c r="M27" s="101"/>
      <c r="N27" s="124">
        <v>21</v>
      </c>
      <c r="O27" s="99"/>
      <c r="P27" s="101"/>
      <c r="Q27" s="99"/>
      <c r="R27" s="101"/>
      <c r="S27" s="99"/>
      <c r="T27" s="101"/>
      <c r="U27" s="99"/>
      <c r="V27" s="101"/>
      <c r="W27" s="99"/>
      <c r="X27" s="101"/>
      <c r="Y27" s="99"/>
      <c r="Z27" s="101"/>
      <c r="AA27" s="99"/>
      <c r="AB27" s="101"/>
      <c r="AC27" s="125">
        <v>21</v>
      </c>
      <c r="AD27" s="99"/>
      <c r="AE27" s="101"/>
      <c r="AF27" s="126"/>
      <c r="AG27" s="101"/>
      <c r="AH27" s="126"/>
      <c r="AI27" s="101"/>
      <c r="AJ27" s="126"/>
      <c r="AK27" s="101"/>
      <c r="AL27" s="99"/>
      <c r="AM27" s="101"/>
      <c r="AN27" s="99"/>
      <c r="AO27" s="101">
        <v>550</v>
      </c>
      <c r="AP27" s="99"/>
      <c r="AQ27" s="101"/>
      <c r="AR27" s="127">
        <v>21</v>
      </c>
      <c r="AS27" s="99"/>
      <c r="AT27" s="101"/>
      <c r="AU27" s="99"/>
      <c r="AV27" s="101"/>
      <c r="AW27" s="99"/>
      <c r="AX27" s="101"/>
      <c r="AY27" s="99"/>
      <c r="AZ27" s="101"/>
      <c r="BA27" s="99">
        <v>550</v>
      </c>
      <c r="BB27" s="101"/>
      <c r="BC27" s="126"/>
      <c r="BD27" s="101"/>
      <c r="BE27" s="128">
        <f t="shared" si="0"/>
        <v>0</v>
      </c>
    </row>
    <row r="28" spans="1:57" x14ac:dyDescent="0.3">
      <c r="A28" s="129">
        <v>43496</v>
      </c>
      <c r="B28" s="102" t="s">
        <v>174</v>
      </c>
      <c r="C28" s="130">
        <v>22</v>
      </c>
      <c r="D28" s="103"/>
      <c r="E28" s="104"/>
      <c r="F28" s="103"/>
      <c r="G28" s="104"/>
      <c r="H28" s="103"/>
      <c r="I28" s="104"/>
      <c r="J28" s="103"/>
      <c r="K28" s="104"/>
      <c r="L28" s="103"/>
      <c r="M28" s="104"/>
      <c r="N28" s="130">
        <v>22</v>
      </c>
      <c r="O28" s="103"/>
      <c r="P28" s="104"/>
      <c r="Q28" s="103">
        <v>11450</v>
      </c>
      <c r="R28" s="104"/>
      <c r="S28" s="103"/>
      <c r="T28" s="104"/>
      <c r="U28" s="103"/>
      <c r="V28" s="104"/>
      <c r="W28" s="103"/>
      <c r="X28" s="104">
        <v>11450</v>
      </c>
      <c r="Y28" s="103"/>
      <c r="Z28" s="104"/>
      <c r="AA28" s="103"/>
      <c r="AB28" s="104"/>
      <c r="AC28" s="131">
        <v>22</v>
      </c>
      <c r="AD28" s="103"/>
      <c r="AE28" s="104"/>
      <c r="AF28" s="132"/>
      <c r="AG28" s="104"/>
      <c r="AH28" s="132"/>
      <c r="AI28" s="104"/>
      <c r="AJ28" s="132"/>
      <c r="AK28" s="104"/>
      <c r="AL28" s="103"/>
      <c r="AM28" s="104"/>
      <c r="AN28" s="103"/>
      <c r="AO28" s="104"/>
      <c r="AP28" s="103"/>
      <c r="AQ28" s="104"/>
      <c r="AR28" s="133">
        <v>22</v>
      </c>
      <c r="AS28" s="103"/>
      <c r="AT28" s="104"/>
      <c r="AU28" s="103"/>
      <c r="AV28" s="104"/>
      <c r="AW28" s="103"/>
      <c r="AX28" s="104"/>
      <c r="AY28" s="103"/>
      <c r="AZ28" s="104"/>
      <c r="BA28" s="103"/>
      <c r="BB28" s="104"/>
      <c r="BC28" s="132"/>
      <c r="BD28" s="104"/>
      <c r="BE28" s="134">
        <f t="shared" si="0"/>
        <v>0</v>
      </c>
    </row>
    <row r="30" spans="1:57" ht="16.2" x14ac:dyDescent="0.35">
      <c r="C30" s="47"/>
      <c r="D30" s="135"/>
      <c r="E30" s="105"/>
      <c r="F30" s="105"/>
      <c r="G30" s="105"/>
      <c r="H30" s="105"/>
      <c r="I30" s="105"/>
      <c r="J30" s="105"/>
      <c r="K30" s="105"/>
    </row>
    <row r="31" spans="1:57" x14ac:dyDescent="0.3">
      <c r="C31" s="47"/>
      <c r="D31" s="136"/>
      <c r="E31" s="105"/>
      <c r="F31" s="105"/>
      <c r="G31" s="105"/>
      <c r="H31" s="105"/>
      <c r="I31" s="105"/>
      <c r="J31" s="105"/>
      <c r="K31" s="105"/>
    </row>
    <row r="32" spans="1:57" x14ac:dyDescent="0.3">
      <c r="C32" s="47"/>
      <c r="D32" s="136"/>
      <c r="E32" s="105"/>
      <c r="F32" s="105"/>
      <c r="G32" s="105"/>
      <c r="H32" s="105"/>
      <c r="I32" s="105"/>
      <c r="J32" s="105"/>
      <c r="K32" s="105"/>
    </row>
    <row r="33" spans="3:52" x14ac:dyDescent="0.3">
      <c r="C33" s="47"/>
      <c r="D33" s="105"/>
      <c r="E33" s="105"/>
      <c r="F33" s="105"/>
      <c r="G33" s="105"/>
      <c r="H33" s="105"/>
      <c r="I33" s="105"/>
      <c r="J33" s="105"/>
      <c r="K33" s="105"/>
      <c r="AV33" s="137"/>
      <c r="AZ33" s="137"/>
    </row>
    <row r="34" spans="3:52" x14ac:dyDescent="0.3">
      <c r="AV34" s="137"/>
      <c r="AX34" s="137"/>
    </row>
    <row r="35" spans="3:52" x14ac:dyDescent="0.3">
      <c r="AV35" s="137"/>
    </row>
    <row r="36" spans="3:52" x14ac:dyDescent="0.3">
      <c r="AV36" s="137"/>
    </row>
    <row r="37" spans="3:52" x14ac:dyDescent="0.3">
      <c r="AV37" s="137"/>
    </row>
  </sheetData>
  <mergeCells count="55">
    <mergeCell ref="H5:I5"/>
    <mergeCell ref="J5:K5"/>
    <mergeCell ref="U4:V4"/>
    <mergeCell ref="W4:X4"/>
    <mergeCell ref="C4:C6"/>
    <mergeCell ref="D4:E4"/>
    <mergeCell ref="F4:G4"/>
    <mergeCell ref="H4:I4"/>
    <mergeCell ref="J4:K4"/>
    <mergeCell ref="L4:M4"/>
    <mergeCell ref="D5:E5"/>
    <mergeCell ref="F5:G5"/>
    <mergeCell ref="L5:M5"/>
    <mergeCell ref="O5:P5"/>
    <mergeCell ref="Q5:R5"/>
    <mergeCell ref="S5:T5"/>
    <mergeCell ref="AP5:AQ5"/>
    <mergeCell ref="AH4:AI4"/>
    <mergeCell ref="Y5:Z5"/>
    <mergeCell ref="AA5:AB5"/>
    <mergeCell ref="AD5:AE5"/>
    <mergeCell ref="AF5:AG5"/>
    <mergeCell ref="AH5:AI5"/>
    <mergeCell ref="Y4:Z4"/>
    <mergeCell ref="AA4:AB4"/>
    <mergeCell ref="AC4:AC6"/>
    <mergeCell ref="AD4:AE4"/>
    <mergeCell ref="AF4:AG4"/>
    <mergeCell ref="BC4:BD4"/>
    <mergeCell ref="BE4:BE6"/>
    <mergeCell ref="AU5:AV5"/>
    <mergeCell ref="AW5:AX5"/>
    <mergeCell ref="AY5:AZ5"/>
    <mergeCell ref="BA5:BB5"/>
    <mergeCell ref="BC5:BD5"/>
    <mergeCell ref="AU4:AV4"/>
    <mergeCell ref="AW4:AX4"/>
    <mergeCell ref="AY4:AZ4"/>
    <mergeCell ref="BA4:BB4"/>
    <mergeCell ref="AS5:AT5"/>
    <mergeCell ref="U5:V5"/>
    <mergeCell ref="W5:X5"/>
    <mergeCell ref="N4:N6"/>
    <mergeCell ref="O4:P4"/>
    <mergeCell ref="Q4:R4"/>
    <mergeCell ref="S4:T4"/>
    <mergeCell ref="AS4:AT4"/>
    <mergeCell ref="AJ4:AK4"/>
    <mergeCell ref="AL4:AM4"/>
    <mergeCell ref="AN4:AO4"/>
    <mergeCell ref="AP4:AQ4"/>
    <mergeCell ref="AR4:AR6"/>
    <mergeCell ref="AJ5:AK5"/>
    <mergeCell ref="AL5:AM5"/>
    <mergeCell ref="AN5:AO5"/>
  </mergeCells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9.3</oddHeader>
    <oddFooter>&amp;CSide &amp;P av &amp;N</oddFooter>
  </headerFooter>
  <colBreaks count="3" manualBreakCount="3">
    <brk id="13" max="1048575" man="1"/>
    <brk id="28" max="1048575" man="1"/>
    <brk id="4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58"/>
  <sheetViews>
    <sheetView showGridLines="0" showZeros="0" zoomScaleNormal="100" workbookViewId="0">
      <selection activeCell="E1" sqref="E1"/>
    </sheetView>
  </sheetViews>
  <sheetFormatPr baseColWidth="10" defaultColWidth="11.44140625" defaultRowHeight="15.6" x14ac:dyDescent="0.3"/>
  <cols>
    <col min="1" max="1" width="6.6640625" style="106" bestFit="1" customWidth="1"/>
    <col min="2" max="2" width="19.88671875" style="42" bestFit="1" customWidth="1"/>
    <col min="3" max="3" width="4.44140625" style="42" bestFit="1" customWidth="1"/>
    <col min="4" max="4" width="3.33203125" style="42" bestFit="1" customWidth="1"/>
    <col min="5" max="14" width="9.6640625" style="81" customWidth="1"/>
    <col min="15" max="15" width="3.33203125" style="81" bestFit="1" customWidth="1"/>
    <col min="16" max="18" width="9.6640625" style="81" customWidth="1"/>
    <col min="19" max="19" width="9.5546875" style="81" customWidth="1"/>
    <col min="20" max="29" width="9.6640625" style="81" customWidth="1"/>
    <col min="30" max="30" width="3.33203125" style="81" customWidth="1"/>
    <col min="31" max="44" width="9.6640625" style="81" customWidth="1"/>
    <col min="45" max="45" width="3.33203125" style="81" customWidth="1"/>
    <col min="46" max="53" width="9.6640625" style="81" customWidth="1"/>
    <col min="54" max="54" width="9.6640625" style="138" customWidth="1"/>
    <col min="55" max="57" width="9.6640625" style="42" customWidth="1"/>
    <col min="58" max="58" width="10.44140625" style="42" customWidth="1"/>
    <col min="59" max="59" width="8.88671875" style="42" customWidth="1"/>
    <col min="60" max="16384" width="11.44140625" style="42"/>
  </cols>
  <sheetData>
    <row r="1" spans="1:58" x14ac:dyDescent="0.3">
      <c r="A1" s="165" t="s">
        <v>193</v>
      </c>
      <c r="E1" s="166" t="s">
        <v>314</v>
      </c>
    </row>
    <row r="2" spans="1:58" x14ac:dyDescent="0.3">
      <c r="A2" s="106" t="s">
        <v>81</v>
      </c>
    </row>
    <row r="3" spans="1:58" s="108" customFormat="1" ht="15.75" customHeight="1" x14ac:dyDescent="0.3">
      <c r="A3" s="139"/>
      <c r="B3" s="140"/>
      <c r="C3" s="140"/>
      <c r="D3" s="321" t="s">
        <v>57</v>
      </c>
      <c r="E3" s="330">
        <v>1230</v>
      </c>
      <c r="F3" s="325"/>
      <c r="G3" s="324">
        <v>1250</v>
      </c>
      <c r="H3" s="325"/>
      <c r="I3" s="324" t="s">
        <v>82</v>
      </c>
      <c r="J3" s="325"/>
      <c r="K3" s="324" t="s">
        <v>83</v>
      </c>
      <c r="L3" s="325"/>
      <c r="M3" s="324" t="s">
        <v>84</v>
      </c>
      <c r="N3" s="325"/>
      <c r="O3" s="321" t="s">
        <v>57</v>
      </c>
      <c r="P3" s="324" t="s">
        <v>85</v>
      </c>
      <c r="Q3" s="325"/>
      <c r="R3" s="324">
        <v>1900</v>
      </c>
      <c r="S3" s="325"/>
      <c r="T3" s="324" t="s">
        <v>86</v>
      </c>
      <c r="U3" s="325"/>
      <c r="V3" s="324">
        <v>2050</v>
      </c>
      <c r="W3" s="325"/>
      <c r="X3" s="324">
        <v>2060</v>
      </c>
      <c r="Y3" s="325"/>
      <c r="Z3" s="324">
        <v>2240</v>
      </c>
      <c r="AA3" s="325"/>
      <c r="AB3" s="324">
        <v>2380</v>
      </c>
      <c r="AC3" s="325"/>
      <c r="AD3" s="333" t="s">
        <v>57</v>
      </c>
      <c r="AE3" s="324">
        <v>2600</v>
      </c>
      <c r="AF3" s="325"/>
      <c r="AG3" s="324" t="s">
        <v>24</v>
      </c>
      <c r="AH3" s="325"/>
      <c r="AI3" s="324" t="s">
        <v>61</v>
      </c>
      <c r="AJ3" s="325"/>
      <c r="AK3" s="324">
        <v>2940</v>
      </c>
      <c r="AL3" s="325"/>
      <c r="AM3" s="324">
        <v>3100</v>
      </c>
      <c r="AN3" s="325"/>
      <c r="AO3" s="330">
        <v>5000</v>
      </c>
      <c r="AP3" s="325"/>
      <c r="AQ3" s="324">
        <v>5100</v>
      </c>
      <c r="AR3" s="325"/>
      <c r="AS3" s="333" t="s">
        <v>57</v>
      </c>
      <c r="AT3" s="324">
        <v>5400</v>
      </c>
      <c r="AU3" s="325"/>
      <c r="AV3" s="324" t="s">
        <v>87</v>
      </c>
      <c r="AW3" s="325"/>
      <c r="AX3" s="324">
        <v>6010</v>
      </c>
      <c r="AY3" s="325"/>
      <c r="AZ3" s="324">
        <v>7090</v>
      </c>
      <c r="BA3" s="325"/>
      <c r="BB3" s="324" t="s">
        <v>63</v>
      </c>
      <c r="BC3" s="325"/>
      <c r="BD3" s="324">
        <v>8150</v>
      </c>
      <c r="BE3" s="325"/>
      <c r="BF3" s="340" t="s">
        <v>20</v>
      </c>
    </row>
    <row r="4" spans="1:58" ht="15.75" customHeight="1" x14ac:dyDescent="0.3">
      <c r="A4" s="141"/>
      <c r="B4" s="110"/>
      <c r="C4" s="57" t="s">
        <v>88</v>
      </c>
      <c r="D4" s="322"/>
      <c r="E4" s="329" t="s">
        <v>64</v>
      </c>
      <c r="F4" s="320"/>
      <c r="G4" s="319" t="s">
        <v>65</v>
      </c>
      <c r="H4" s="320"/>
      <c r="I4" s="319" t="s">
        <v>89</v>
      </c>
      <c r="J4" s="320"/>
      <c r="K4" s="319" t="s">
        <v>90</v>
      </c>
      <c r="L4" s="320"/>
      <c r="M4" s="319" t="s">
        <v>91</v>
      </c>
      <c r="N4" s="320"/>
      <c r="O4" s="322"/>
      <c r="P4" s="319" t="s">
        <v>92</v>
      </c>
      <c r="Q4" s="320"/>
      <c r="R4" s="319" t="s">
        <v>68</v>
      </c>
      <c r="S4" s="320"/>
      <c r="T4" s="319" t="s">
        <v>93</v>
      </c>
      <c r="U4" s="320"/>
      <c r="V4" s="319" t="s">
        <v>94</v>
      </c>
      <c r="W4" s="320"/>
      <c r="X4" s="319" t="s">
        <v>95</v>
      </c>
      <c r="Y4" s="320"/>
      <c r="Z4" s="319" t="s">
        <v>178</v>
      </c>
      <c r="AA4" s="320"/>
      <c r="AB4" s="331" t="s">
        <v>72</v>
      </c>
      <c r="AC4" s="332"/>
      <c r="AD4" s="334"/>
      <c r="AE4" s="319" t="s">
        <v>5</v>
      </c>
      <c r="AF4" s="320"/>
      <c r="AG4" s="319" t="s">
        <v>25</v>
      </c>
      <c r="AH4" s="320"/>
      <c r="AI4" s="319" t="s">
        <v>76</v>
      </c>
      <c r="AJ4" s="320"/>
      <c r="AK4" s="319" t="s">
        <v>154</v>
      </c>
      <c r="AL4" s="320"/>
      <c r="AM4" s="319" t="s">
        <v>96</v>
      </c>
      <c r="AN4" s="320"/>
      <c r="AO4" s="329" t="s">
        <v>79</v>
      </c>
      <c r="AP4" s="320"/>
      <c r="AQ4" s="319" t="s">
        <v>31</v>
      </c>
      <c r="AR4" s="320"/>
      <c r="AS4" s="334"/>
      <c r="AT4" s="319" t="s">
        <v>7</v>
      </c>
      <c r="AU4" s="320"/>
      <c r="AV4" s="319" t="s">
        <v>97</v>
      </c>
      <c r="AW4" s="320"/>
      <c r="AX4" s="319" t="s">
        <v>98</v>
      </c>
      <c r="AY4" s="320"/>
      <c r="AZ4" s="319" t="s">
        <v>99</v>
      </c>
      <c r="BA4" s="320"/>
      <c r="BB4" s="319" t="s">
        <v>80</v>
      </c>
      <c r="BC4" s="320"/>
      <c r="BD4" s="319" t="s">
        <v>100</v>
      </c>
      <c r="BE4" s="320"/>
      <c r="BF4" s="341"/>
    </row>
    <row r="5" spans="1:58" x14ac:dyDescent="0.3">
      <c r="A5" s="143" t="s">
        <v>28</v>
      </c>
      <c r="B5" s="54" t="s">
        <v>3</v>
      </c>
      <c r="C5" s="71" t="s">
        <v>101</v>
      </c>
      <c r="D5" s="323"/>
      <c r="E5" s="55" t="s">
        <v>18</v>
      </c>
      <c r="F5" s="55" t="s">
        <v>19</v>
      </c>
      <c r="G5" s="55" t="s">
        <v>18</v>
      </c>
      <c r="H5" s="55" t="s">
        <v>19</v>
      </c>
      <c r="I5" s="55" t="s">
        <v>18</v>
      </c>
      <c r="J5" s="55" t="s">
        <v>19</v>
      </c>
      <c r="K5" s="55" t="s">
        <v>18</v>
      </c>
      <c r="L5" s="55" t="s">
        <v>19</v>
      </c>
      <c r="M5" s="55" t="s">
        <v>18</v>
      </c>
      <c r="N5" s="55" t="s">
        <v>19</v>
      </c>
      <c r="O5" s="323"/>
      <c r="P5" s="55" t="s">
        <v>18</v>
      </c>
      <c r="Q5" s="55" t="s">
        <v>19</v>
      </c>
      <c r="R5" s="55" t="s">
        <v>18</v>
      </c>
      <c r="S5" s="55" t="s">
        <v>19</v>
      </c>
      <c r="T5" s="55" t="s">
        <v>18</v>
      </c>
      <c r="U5" s="55" t="s">
        <v>19</v>
      </c>
      <c r="V5" s="55" t="s">
        <v>18</v>
      </c>
      <c r="W5" s="55" t="s">
        <v>19</v>
      </c>
      <c r="X5" s="55" t="s">
        <v>18</v>
      </c>
      <c r="Y5" s="55" t="s">
        <v>19</v>
      </c>
      <c r="Z5" s="55" t="s">
        <v>18</v>
      </c>
      <c r="AA5" s="55" t="s">
        <v>19</v>
      </c>
      <c r="AB5" s="112" t="s">
        <v>18</v>
      </c>
      <c r="AC5" s="112" t="s">
        <v>19</v>
      </c>
      <c r="AD5" s="335"/>
      <c r="AE5" s="55" t="s">
        <v>18</v>
      </c>
      <c r="AF5" s="55" t="s">
        <v>19</v>
      </c>
      <c r="AG5" s="55" t="s">
        <v>18</v>
      </c>
      <c r="AH5" s="55" t="s">
        <v>19</v>
      </c>
      <c r="AI5" s="55" t="s">
        <v>18</v>
      </c>
      <c r="AJ5" s="55" t="s">
        <v>19</v>
      </c>
      <c r="AK5" s="55" t="s">
        <v>18</v>
      </c>
      <c r="AL5" s="55" t="s">
        <v>19</v>
      </c>
      <c r="AM5" s="55" t="s">
        <v>18</v>
      </c>
      <c r="AN5" s="55" t="s">
        <v>19</v>
      </c>
      <c r="AO5" s="55" t="s">
        <v>18</v>
      </c>
      <c r="AP5" s="55" t="s">
        <v>19</v>
      </c>
      <c r="AQ5" s="55" t="s">
        <v>18</v>
      </c>
      <c r="AR5" s="55" t="s">
        <v>19</v>
      </c>
      <c r="AS5" s="335"/>
      <c r="AT5" s="55" t="s">
        <v>18</v>
      </c>
      <c r="AU5" s="55" t="s">
        <v>19</v>
      </c>
      <c r="AV5" s="55" t="s">
        <v>18</v>
      </c>
      <c r="AW5" s="55" t="s">
        <v>19</v>
      </c>
      <c r="AX5" s="55" t="s">
        <v>18</v>
      </c>
      <c r="AY5" s="55" t="s">
        <v>19</v>
      </c>
      <c r="AZ5" s="114" t="s">
        <v>18</v>
      </c>
      <c r="BA5" s="114" t="s">
        <v>19</v>
      </c>
      <c r="BB5" s="55" t="s">
        <v>18</v>
      </c>
      <c r="BC5" s="55" t="s">
        <v>19</v>
      </c>
      <c r="BD5" s="114" t="s">
        <v>18</v>
      </c>
      <c r="BE5" s="114" t="s">
        <v>19</v>
      </c>
      <c r="BF5" s="342"/>
    </row>
    <row r="6" spans="1:58" x14ac:dyDescent="0.3">
      <c r="A6" s="144">
        <v>38706</v>
      </c>
      <c r="B6" s="91" t="s">
        <v>102</v>
      </c>
      <c r="C6" s="117">
        <v>514</v>
      </c>
      <c r="D6" s="117">
        <v>1</v>
      </c>
      <c r="E6" s="145">
        <v>285000</v>
      </c>
      <c r="F6" s="146"/>
      <c r="G6" s="145">
        <v>84000</v>
      </c>
      <c r="H6" s="146"/>
      <c r="I6" s="145">
        <v>69000</v>
      </c>
      <c r="J6" s="146">
        <v>42000</v>
      </c>
      <c r="K6" s="145">
        <v>131000</v>
      </c>
      <c r="L6" s="146">
        <v>116000</v>
      </c>
      <c r="M6" s="145"/>
      <c r="N6" s="146"/>
      <c r="O6" s="117">
        <v>1</v>
      </c>
      <c r="P6" s="145">
        <v>10000</v>
      </c>
      <c r="Q6" s="146"/>
      <c r="R6" s="145">
        <v>11000</v>
      </c>
      <c r="S6" s="146">
        <v>10000</v>
      </c>
      <c r="T6" s="145">
        <v>73500</v>
      </c>
      <c r="U6" s="146">
        <v>49000</v>
      </c>
      <c r="V6" s="145"/>
      <c r="W6" s="146">
        <v>125000</v>
      </c>
      <c r="X6" s="145">
        <v>150000</v>
      </c>
      <c r="Y6" s="146"/>
      <c r="Z6" s="145">
        <v>4000</v>
      </c>
      <c r="AA6" s="146">
        <v>90000</v>
      </c>
      <c r="AB6" s="145">
        <v>897026</v>
      </c>
      <c r="AC6" s="146">
        <v>980063</v>
      </c>
      <c r="AD6" s="118">
        <v>1</v>
      </c>
      <c r="AE6" s="145">
        <v>49000</v>
      </c>
      <c r="AF6" s="146">
        <v>73500</v>
      </c>
      <c r="AG6" s="145">
        <v>38950</v>
      </c>
      <c r="AH6" s="146">
        <v>50455</v>
      </c>
      <c r="AI6" s="145"/>
      <c r="AJ6" s="146">
        <v>5922</v>
      </c>
      <c r="AK6" s="145"/>
      <c r="AL6" s="146">
        <v>42000</v>
      </c>
      <c r="AM6" s="145"/>
      <c r="AN6" s="146">
        <v>922295</v>
      </c>
      <c r="AO6" s="145">
        <v>350000</v>
      </c>
      <c r="AP6" s="146"/>
      <c r="AQ6" s="145">
        <v>42000</v>
      </c>
      <c r="AR6" s="146"/>
      <c r="AS6" s="118">
        <v>1</v>
      </c>
      <c r="AT6" s="145">
        <v>56377</v>
      </c>
      <c r="AU6" s="146"/>
      <c r="AV6" s="147">
        <v>7840</v>
      </c>
      <c r="AW6" s="146"/>
      <c r="AX6" s="145"/>
      <c r="AY6" s="146"/>
      <c r="AZ6" s="147">
        <v>56450</v>
      </c>
      <c r="BA6" s="146"/>
      <c r="BB6" s="145">
        <v>182143</v>
      </c>
      <c r="BC6" s="146"/>
      <c r="BD6" s="147">
        <v>8949</v>
      </c>
      <c r="BE6" s="146"/>
      <c r="BF6" s="148">
        <f t="shared" ref="BF6:BF16" si="0">E6+G6+I6+K6+M6+P6+R6+T6+V6+X6+Z6+AB6+AE6+AG6+AI6+AK6+AM6+AO6+AQ6+AT6+AX6+AZ6+BB6+BD6-F6-H6-J6-L6-N6-Q6-S6-U6-W6-Y6-AA6-AC6-AF6-AH6-AJ6-AL6-AN6-AP6-AR6-AU6-AY6-BA6-BC6-BE6+AV6-AW6</f>
        <v>0</v>
      </c>
    </row>
    <row r="7" spans="1:58" x14ac:dyDescent="0.3">
      <c r="A7" s="122">
        <v>43820</v>
      </c>
      <c r="B7" s="100" t="s">
        <v>79</v>
      </c>
      <c r="C7" s="124">
        <v>515</v>
      </c>
      <c r="D7" s="124">
        <v>2</v>
      </c>
      <c r="E7" s="149"/>
      <c r="F7" s="150"/>
      <c r="G7" s="149"/>
      <c r="H7" s="150"/>
      <c r="I7" s="149"/>
      <c r="J7" s="150"/>
      <c r="K7" s="149"/>
      <c r="L7" s="150"/>
      <c r="M7" s="149"/>
      <c r="N7" s="150"/>
      <c r="O7" s="124">
        <v>2</v>
      </c>
      <c r="P7" s="149"/>
      <c r="Q7" s="150">
        <v>10000</v>
      </c>
      <c r="R7" s="149"/>
      <c r="S7" s="150"/>
      <c r="T7" s="149"/>
      <c r="U7" s="150"/>
      <c r="V7" s="149"/>
      <c r="W7" s="150"/>
      <c r="X7" s="149"/>
      <c r="Y7" s="150"/>
      <c r="Z7" s="149"/>
      <c r="AA7" s="150"/>
      <c r="AB7" s="149"/>
      <c r="AC7" s="150">
        <v>58000</v>
      </c>
      <c r="AD7" s="125">
        <v>2</v>
      </c>
      <c r="AE7" s="149"/>
      <c r="AF7" s="150">
        <v>12000</v>
      </c>
      <c r="AG7" s="149"/>
      <c r="AH7" s="150"/>
      <c r="AI7" s="149"/>
      <c r="AJ7" s="150"/>
      <c r="AK7" s="149"/>
      <c r="AL7" s="150"/>
      <c r="AM7" s="149"/>
      <c r="AN7" s="150"/>
      <c r="AO7" s="149">
        <v>80000</v>
      </c>
      <c r="AP7" s="150"/>
      <c r="AQ7" s="149"/>
      <c r="AR7" s="150"/>
      <c r="AS7" s="125">
        <v>2</v>
      </c>
      <c r="AT7" s="149"/>
      <c r="AU7" s="150"/>
      <c r="AV7" s="151"/>
      <c r="AW7" s="150"/>
      <c r="AX7" s="149"/>
      <c r="AY7" s="150"/>
      <c r="AZ7" s="151"/>
      <c r="BA7" s="150"/>
      <c r="BB7" s="149"/>
      <c r="BC7" s="150"/>
      <c r="BD7" s="151"/>
      <c r="BE7" s="150"/>
      <c r="BF7" s="152">
        <f t="shared" si="0"/>
        <v>0</v>
      </c>
    </row>
    <row r="8" spans="1:58" x14ac:dyDescent="0.3">
      <c r="A8" s="122">
        <v>43820</v>
      </c>
      <c r="B8" s="100" t="s">
        <v>179</v>
      </c>
      <c r="C8" s="124">
        <v>516</v>
      </c>
      <c r="D8" s="124">
        <v>3</v>
      </c>
      <c r="E8" s="149"/>
      <c r="F8" s="150"/>
      <c r="G8" s="149"/>
      <c r="H8" s="150"/>
      <c r="I8" s="149"/>
      <c r="J8" s="150"/>
      <c r="K8" s="149"/>
      <c r="L8" s="150"/>
      <c r="M8" s="149"/>
      <c r="N8" s="150"/>
      <c r="O8" s="124">
        <v>3</v>
      </c>
      <c r="P8" s="149"/>
      <c r="Q8" s="150"/>
      <c r="R8" s="149"/>
      <c r="S8" s="150"/>
      <c r="T8" s="149">
        <v>12100</v>
      </c>
      <c r="U8" s="150"/>
      <c r="V8" s="149"/>
      <c r="W8" s="150"/>
      <c r="X8" s="149"/>
      <c r="Y8" s="150"/>
      <c r="Z8" s="149"/>
      <c r="AA8" s="150"/>
      <c r="AB8" s="149"/>
      <c r="AC8" s="150">
        <v>12100</v>
      </c>
      <c r="AD8" s="125">
        <v>3</v>
      </c>
      <c r="AE8" s="149"/>
      <c r="AF8" s="150"/>
      <c r="AG8" s="149"/>
      <c r="AH8" s="150"/>
      <c r="AI8" s="149"/>
      <c r="AJ8" s="150"/>
      <c r="AK8" s="149"/>
      <c r="AL8" s="150"/>
      <c r="AM8" s="149"/>
      <c r="AN8" s="150"/>
      <c r="AO8" s="149"/>
      <c r="AP8" s="150"/>
      <c r="AQ8" s="149"/>
      <c r="AR8" s="150"/>
      <c r="AS8" s="125">
        <v>3</v>
      </c>
      <c r="AT8" s="149"/>
      <c r="AU8" s="150"/>
      <c r="AV8" s="151"/>
      <c r="AW8" s="150"/>
      <c r="AX8" s="149"/>
      <c r="AY8" s="150"/>
      <c r="AZ8" s="151"/>
      <c r="BA8" s="150"/>
      <c r="BB8" s="149"/>
      <c r="BC8" s="150"/>
      <c r="BD8" s="151"/>
      <c r="BE8" s="150"/>
      <c r="BF8" s="152">
        <f t="shared" si="0"/>
        <v>0</v>
      </c>
    </row>
    <row r="9" spans="1:58" x14ac:dyDescent="0.3">
      <c r="A9" s="122">
        <v>43820</v>
      </c>
      <c r="B9" s="100" t="s">
        <v>7</v>
      </c>
      <c r="C9" s="124">
        <v>517</v>
      </c>
      <c r="D9" s="124">
        <v>4</v>
      </c>
      <c r="E9" s="149"/>
      <c r="F9" s="150"/>
      <c r="G9" s="149"/>
      <c r="H9" s="150"/>
      <c r="I9" s="149"/>
      <c r="J9" s="150"/>
      <c r="K9" s="149"/>
      <c r="L9" s="150"/>
      <c r="M9" s="149"/>
      <c r="N9" s="150"/>
      <c r="O9" s="124">
        <v>4</v>
      </c>
      <c r="P9" s="149"/>
      <c r="Q9" s="150"/>
      <c r="R9" s="149"/>
      <c r="S9" s="150"/>
      <c r="T9" s="149"/>
      <c r="U9" s="150"/>
      <c r="V9" s="149"/>
      <c r="W9" s="150"/>
      <c r="X9" s="149"/>
      <c r="Y9" s="150"/>
      <c r="Z9" s="149"/>
      <c r="AA9" s="150"/>
      <c r="AB9" s="149"/>
      <c r="AC9" s="150"/>
      <c r="AD9" s="125">
        <v>4</v>
      </c>
      <c r="AE9" s="149"/>
      <c r="AF9" s="150"/>
      <c r="AG9" s="149"/>
      <c r="AH9" s="150">
        <f>AO7*0.141</f>
        <v>11279.999999999998</v>
      </c>
      <c r="AI9" s="149"/>
      <c r="AJ9" s="150"/>
      <c r="AK9" s="149"/>
      <c r="AL9" s="150"/>
      <c r="AM9" s="149"/>
      <c r="AN9" s="150"/>
      <c r="AO9" s="149"/>
      <c r="AP9" s="150"/>
      <c r="AQ9" s="149"/>
      <c r="AR9" s="150"/>
      <c r="AS9" s="125">
        <v>4</v>
      </c>
      <c r="AT9" s="149">
        <f>AH9</f>
        <v>11279.999999999998</v>
      </c>
      <c r="AU9" s="150"/>
      <c r="AV9" s="151"/>
      <c r="AW9" s="150"/>
      <c r="AX9" s="149"/>
      <c r="AY9" s="150"/>
      <c r="AZ9" s="151"/>
      <c r="BA9" s="150"/>
      <c r="BB9" s="149"/>
      <c r="BC9" s="150"/>
      <c r="BD9" s="151"/>
      <c r="BE9" s="150"/>
      <c r="BF9" s="152">
        <f t="shared" si="0"/>
        <v>0</v>
      </c>
    </row>
    <row r="10" spans="1:58" x14ac:dyDescent="0.3">
      <c r="A10" s="122" t="s">
        <v>180</v>
      </c>
      <c r="B10" s="100" t="s">
        <v>154</v>
      </c>
      <c r="C10" s="124">
        <v>518</v>
      </c>
      <c r="D10" s="124">
        <v>5</v>
      </c>
      <c r="E10" s="149"/>
      <c r="F10" s="150"/>
      <c r="G10" s="149"/>
      <c r="H10" s="150"/>
      <c r="I10" s="149"/>
      <c r="J10" s="150"/>
      <c r="K10" s="149"/>
      <c r="L10" s="150"/>
      <c r="M10" s="149"/>
      <c r="N10" s="150"/>
      <c r="O10" s="124">
        <v>5</v>
      </c>
      <c r="P10" s="149"/>
      <c r="Q10" s="150"/>
      <c r="R10" s="149"/>
      <c r="S10" s="150"/>
      <c r="T10" s="149"/>
      <c r="U10" s="150"/>
      <c r="V10" s="149"/>
      <c r="W10" s="150"/>
      <c r="X10" s="149"/>
      <c r="Y10" s="150"/>
      <c r="Z10" s="149"/>
      <c r="AA10" s="150"/>
      <c r="AB10" s="149"/>
      <c r="AC10" s="150"/>
      <c r="AD10" s="125">
        <v>5</v>
      </c>
      <c r="AE10" s="149"/>
      <c r="AF10" s="150"/>
      <c r="AG10" s="149"/>
      <c r="AH10" s="150"/>
      <c r="AI10" s="149"/>
      <c r="AJ10" s="150"/>
      <c r="AK10" s="149"/>
      <c r="AL10" s="150">
        <f>AO7*0.12</f>
        <v>9600</v>
      </c>
      <c r="AM10" s="149"/>
      <c r="AN10" s="150"/>
      <c r="AO10" s="149"/>
      <c r="AP10" s="150"/>
      <c r="AQ10" s="149">
        <f>AL10</f>
        <v>9600</v>
      </c>
      <c r="AR10" s="150"/>
      <c r="AS10" s="125">
        <v>5</v>
      </c>
      <c r="AT10" s="149"/>
      <c r="AU10" s="150"/>
      <c r="AV10" s="151"/>
      <c r="AW10" s="150"/>
      <c r="AX10" s="149"/>
      <c r="AY10" s="150"/>
      <c r="AZ10" s="151"/>
      <c r="BA10" s="150"/>
      <c r="BB10" s="149"/>
      <c r="BC10" s="150"/>
      <c r="BD10" s="151"/>
      <c r="BE10" s="150"/>
      <c r="BF10" s="152">
        <f t="shared" si="0"/>
        <v>0</v>
      </c>
    </row>
    <row r="11" spans="1:58" x14ac:dyDescent="0.3">
      <c r="A11" s="122" t="s">
        <v>180</v>
      </c>
      <c r="B11" s="100" t="s">
        <v>181</v>
      </c>
      <c r="C11" s="124">
        <v>519</v>
      </c>
      <c r="D11" s="124">
        <v>6</v>
      </c>
      <c r="E11" s="149"/>
      <c r="F11" s="150"/>
      <c r="G11" s="149"/>
      <c r="H11" s="150"/>
      <c r="I11" s="149"/>
      <c r="J11" s="150"/>
      <c r="K11" s="149"/>
      <c r="L11" s="150"/>
      <c r="M11" s="149"/>
      <c r="N11" s="150"/>
      <c r="O11" s="124">
        <v>6</v>
      </c>
      <c r="P11" s="149"/>
      <c r="Q11" s="150"/>
      <c r="R11" s="149"/>
      <c r="S11" s="150"/>
      <c r="T11" s="149"/>
      <c r="U11" s="150"/>
      <c r="V11" s="149"/>
      <c r="W11" s="150"/>
      <c r="X11" s="149"/>
      <c r="Y11" s="150"/>
      <c r="Z11" s="149"/>
      <c r="AA11" s="150"/>
      <c r="AB11" s="149"/>
      <c r="AC11" s="150"/>
      <c r="AD11" s="125">
        <v>6</v>
      </c>
      <c r="AE11" s="149"/>
      <c r="AF11" s="150"/>
      <c r="AG11" s="149"/>
      <c r="AH11" s="150"/>
      <c r="AI11" s="149"/>
      <c r="AJ11" s="150">
        <v>1354</v>
      </c>
      <c r="AK11" s="149"/>
      <c r="AL11" s="150"/>
      <c r="AM11" s="149"/>
      <c r="AN11" s="150"/>
      <c r="AO11" s="149"/>
      <c r="AP11" s="150"/>
      <c r="AQ11" s="149"/>
      <c r="AR11" s="150"/>
      <c r="AS11" s="125">
        <v>6</v>
      </c>
      <c r="AT11" s="149">
        <v>1354</v>
      </c>
      <c r="AU11" s="150"/>
      <c r="AV11" s="151"/>
      <c r="AW11" s="150"/>
      <c r="AX11" s="149"/>
      <c r="AY11" s="150"/>
      <c r="AZ11" s="151"/>
      <c r="BA11" s="150"/>
      <c r="BB11" s="149"/>
      <c r="BC11" s="150"/>
      <c r="BD11" s="151"/>
      <c r="BE11" s="150"/>
      <c r="BF11" s="152">
        <f t="shared" si="0"/>
        <v>0</v>
      </c>
    </row>
    <row r="12" spans="1:58" x14ac:dyDescent="0.3">
      <c r="A12" s="122">
        <v>43826</v>
      </c>
      <c r="B12" s="100" t="s">
        <v>182</v>
      </c>
      <c r="C12" s="124">
        <v>520</v>
      </c>
      <c r="D12" s="124">
        <v>7</v>
      </c>
      <c r="E12" s="149"/>
      <c r="F12" s="150"/>
      <c r="G12" s="149"/>
      <c r="H12" s="150"/>
      <c r="I12" s="149"/>
      <c r="J12" s="150"/>
      <c r="K12" s="149"/>
      <c r="L12" s="150"/>
      <c r="M12" s="149">
        <v>8600</v>
      </c>
      <c r="N12" s="150"/>
      <c r="O12" s="124">
        <v>7</v>
      </c>
      <c r="P12" s="149"/>
      <c r="Q12" s="150"/>
      <c r="R12" s="149"/>
      <c r="S12" s="150"/>
      <c r="T12" s="149"/>
      <c r="U12" s="150"/>
      <c r="V12" s="149"/>
      <c r="W12" s="150"/>
      <c r="X12" s="149"/>
      <c r="Y12" s="150"/>
      <c r="Z12" s="149"/>
      <c r="AA12" s="150"/>
      <c r="AB12" s="149"/>
      <c r="AC12" s="150"/>
      <c r="AD12" s="125">
        <v>7</v>
      </c>
      <c r="AE12" s="149"/>
      <c r="AF12" s="150"/>
      <c r="AG12" s="149"/>
      <c r="AH12" s="150"/>
      <c r="AI12" s="149"/>
      <c r="AJ12" s="150"/>
      <c r="AK12" s="149"/>
      <c r="AL12" s="150"/>
      <c r="AM12" s="149"/>
      <c r="AN12" s="150">
        <v>8600</v>
      </c>
      <c r="AO12" s="149"/>
      <c r="AP12" s="150"/>
      <c r="AQ12" s="149"/>
      <c r="AR12" s="150"/>
      <c r="AS12" s="125">
        <v>7</v>
      </c>
      <c r="AT12" s="149"/>
      <c r="AU12" s="150"/>
      <c r="AV12" s="151"/>
      <c r="AW12" s="150"/>
      <c r="AX12" s="149"/>
      <c r="AY12" s="150"/>
      <c r="AZ12" s="151"/>
      <c r="BA12" s="150"/>
      <c r="BB12" s="149"/>
      <c r="BC12" s="150"/>
      <c r="BD12" s="151"/>
      <c r="BE12" s="150"/>
      <c r="BF12" s="152">
        <f t="shared" si="0"/>
        <v>0</v>
      </c>
    </row>
    <row r="13" spans="1:58" x14ac:dyDescent="0.3">
      <c r="A13" s="122">
        <v>43826</v>
      </c>
      <c r="B13" s="100" t="s">
        <v>271</v>
      </c>
      <c r="C13" s="124">
        <v>521</v>
      </c>
      <c r="D13" s="124">
        <v>8</v>
      </c>
      <c r="E13" s="149"/>
      <c r="F13" s="150"/>
      <c r="G13" s="149"/>
      <c r="H13" s="150"/>
      <c r="I13" s="149"/>
      <c r="J13" s="150"/>
      <c r="K13" s="149"/>
      <c r="L13" s="150"/>
      <c r="M13" s="149"/>
      <c r="N13" s="150"/>
      <c r="O13" s="124">
        <v>8</v>
      </c>
      <c r="P13" s="149"/>
      <c r="Q13" s="150"/>
      <c r="R13" s="149"/>
      <c r="S13" s="150"/>
      <c r="T13" s="149"/>
      <c r="U13" s="150"/>
      <c r="V13" s="149"/>
      <c r="W13" s="150"/>
      <c r="X13" s="149"/>
      <c r="Y13" s="150"/>
      <c r="Z13" s="149"/>
      <c r="AA13" s="150"/>
      <c r="AB13" s="149"/>
      <c r="AC13" s="150">
        <v>3650</v>
      </c>
      <c r="AD13" s="125">
        <v>8</v>
      </c>
      <c r="AE13" s="149"/>
      <c r="AF13" s="150"/>
      <c r="AG13" s="149"/>
      <c r="AH13" s="150"/>
      <c r="AI13" s="149"/>
      <c r="AJ13" s="150"/>
      <c r="AK13" s="149"/>
      <c r="AL13" s="150"/>
      <c r="AM13" s="149"/>
      <c r="AN13" s="150"/>
      <c r="AO13" s="149"/>
      <c r="AP13" s="150"/>
      <c r="AQ13" s="149"/>
      <c r="AR13" s="150"/>
      <c r="AS13" s="125">
        <v>8</v>
      </c>
      <c r="AT13" s="149"/>
      <c r="AU13" s="150"/>
      <c r="AV13" s="151"/>
      <c r="AW13" s="150"/>
      <c r="AX13" s="149"/>
      <c r="AY13" s="150"/>
      <c r="AZ13" s="151"/>
      <c r="BA13" s="150"/>
      <c r="BB13" s="149">
        <v>3650</v>
      </c>
      <c r="BC13" s="150"/>
      <c r="BD13" s="151"/>
      <c r="BE13" s="150"/>
      <c r="BF13" s="152">
        <f t="shared" si="0"/>
        <v>0</v>
      </c>
    </row>
    <row r="14" spans="1:58" x14ac:dyDescent="0.3">
      <c r="A14" s="122">
        <v>43827</v>
      </c>
      <c r="B14" s="100" t="s">
        <v>132</v>
      </c>
      <c r="C14" s="124">
        <v>522</v>
      </c>
      <c r="D14" s="124">
        <v>9</v>
      </c>
      <c r="E14" s="149"/>
      <c r="F14" s="150"/>
      <c r="G14" s="149"/>
      <c r="H14" s="150"/>
      <c r="I14" s="149"/>
      <c r="J14" s="150"/>
      <c r="K14" s="149"/>
      <c r="L14" s="150"/>
      <c r="M14" s="149"/>
      <c r="N14" s="150"/>
      <c r="O14" s="124">
        <v>9</v>
      </c>
      <c r="P14" s="149"/>
      <c r="Q14" s="150"/>
      <c r="R14" s="149"/>
      <c r="S14" s="150"/>
      <c r="T14" s="149"/>
      <c r="U14" s="150"/>
      <c r="V14" s="149"/>
      <c r="W14" s="150"/>
      <c r="X14" s="149"/>
      <c r="Y14" s="150"/>
      <c r="Z14" s="149"/>
      <c r="AA14" s="150"/>
      <c r="AB14" s="149"/>
      <c r="AC14" s="150">
        <v>2000</v>
      </c>
      <c r="AD14" s="125">
        <v>9</v>
      </c>
      <c r="AE14" s="149"/>
      <c r="AF14" s="150"/>
      <c r="AG14" s="149"/>
      <c r="AH14" s="150"/>
      <c r="AI14" s="149"/>
      <c r="AJ14" s="150"/>
      <c r="AK14" s="149"/>
      <c r="AL14" s="150"/>
      <c r="AM14" s="149"/>
      <c r="AN14" s="150"/>
      <c r="AO14" s="149"/>
      <c r="AP14" s="150"/>
      <c r="AQ14" s="149"/>
      <c r="AR14" s="150"/>
      <c r="AS14" s="125">
        <v>9</v>
      </c>
      <c r="AT14" s="149"/>
      <c r="AU14" s="150"/>
      <c r="AV14" s="151">
        <v>2000</v>
      </c>
      <c r="AW14" s="150"/>
      <c r="AX14" s="149"/>
      <c r="AY14" s="150"/>
      <c r="AZ14" s="151"/>
      <c r="BA14" s="150"/>
      <c r="BB14" s="149"/>
      <c r="BC14" s="150"/>
      <c r="BD14" s="151"/>
      <c r="BE14" s="150"/>
      <c r="BF14" s="152">
        <f t="shared" si="0"/>
        <v>0</v>
      </c>
    </row>
    <row r="15" spans="1:58" x14ac:dyDescent="0.3">
      <c r="A15" s="122">
        <v>43827</v>
      </c>
      <c r="B15" s="100" t="s">
        <v>7</v>
      </c>
      <c r="C15" s="124">
        <v>523</v>
      </c>
      <c r="D15" s="124">
        <v>10</v>
      </c>
      <c r="E15" s="149"/>
      <c r="F15" s="150"/>
      <c r="G15" s="149"/>
      <c r="H15" s="150"/>
      <c r="I15" s="149"/>
      <c r="J15" s="150"/>
      <c r="K15" s="149"/>
      <c r="L15" s="150"/>
      <c r="M15" s="149"/>
      <c r="N15" s="150"/>
      <c r="O15" s="124">
        <v>10</v>
      </c>
      <c r="P15" s="149"/>
      <c r="Q15" s="150"/>
      <c r="R15" s="149"/>
      <c r="S15" s="150"/>
      <c r="T15" s="149"/>
      <c r="U15" s="150"/>
      <c r="V15" s="149"/>
      <c r="W15" s="150"/>
      <c r="X15" s="149"/>
      <c r="Y15" s="150"/>
      <c r="Z15" s="149"/>
      <c r="AA15" s="150"/>
      <c r="AB15" s="149"/>
      <c r="AC15" s="150"/>
      <c r="AD15" s="125">
        <v>10</v>
      </c>
      <c r="AE15" s="149"/>
      <c r="AF15" s="150"/>
      <c r="AG15" s="149"/>
      <c r="AH15" s="150">
        <f>AC14*0.141</f>
        <v>282</v>
      </c>
      <c r="AI15" s="149"/>
      <c r="AJ15" s="150"/>
      <c r="AK15" s="149"/>
      <c r="AL15" s="150"/>
      <c r="AM15" s="149"/>
      <c r="AN15" s="150"/>
      <c r="AO15" s="149"/>
      <c r="AP15" s="150"/>
      <c r="AQ15" s="149"/>
      <c r="AR15" s="150"/>
      <c r="AS15" s="125">
        <v>10</v>
      </c>
      <c r="AT15" s="149">
        <v>282</v>
      </c>
      <c r="AU15" s="150"/>
      <c r="AV15" s="151"/>
      <c r="AW15" s="150"/>
      <c r="AX15" s="149"/>
      <c r="AY15" s="150"/>
      <c r="AZ15" s="151"/>
      <c r="BA15" s="150"/>
      <c r="BB15" s="149"/>
      <c r="BC15" s="150"/>
      <c r="BD15" s="151"/>
      <c r="BE15" s="150"/>
      <c r="BF15" s="152">
        <f t="shared" si="0"/>
        <v>0</v>
      </c>
    </row>
    <row r="16" spans="1:58" x14ac:dyDescent="0.3">
      <c r="A16" s="153" t="s">
        <v>183</v>
      </c>
      <c r="B16" s="57" t="s">
        <v>184</v>
      </c>
      <c r="C16" s="110">
        <v>524</v>
      </c>
      <c r="D16" s="110">
        <v>11</v>
      </c>
      <c r="E16" s="154"/>
      <c r="F16" s="155"/>
      <c r="G16" s="154"/>
      <c r="H16" s="155"/>
      <c r="I16" s="154"/>
      <c r="J16" s="155"/>
      <c r="K16" s="154"/>
      <c r="L16" s="155"/>
      <c r="M16" s="154"/>
      <c r="N16" s="155"/>
      <c r="O16" s="110">
        <v>11</v>
      </c>
      <c r="P16" s="154"/>
      <c r="Q16" s="155"/>
      <c r="R16" s="154"/>
      <c r="S16" s="155"/>
      <c r="T16" s="154"/>
      <c r="U16" s="155"/>
      <c r="V16" s="154"/>
      <c r="W16" s="155"/>
      <c r="X16" s="154"/>
      <c r="Y16" s="155"/>
      <c r="Z16" s="154"/>
      <c r="AA16" s="155"/>
      <c r="AB16" s="154"/>
      <c r="AC16" s="155">
        <v>4875</v>
      </c>
      <c r="AD16" s="156">
        <v>11</v>
      </c>
      <c r="AE16" s="154"/>
      <c r="AF16" s="155"/>
      <c r="AG16" s="154"/>
      <c r="AH16" s="155"/>
      <c r="AI16" s="154"/>
      <c r="AJ16" s="155"/>
      <c r="AK16" s="154"/>
      <c r="AL16" s="155"/>
      <c r="AM16" s="154"/>
      <c r="AN16" s="155"/>
      <c r="AO16" s="154"/>
      <c r="AP16" s="155"/>
      <c r="AQ16" s="154"/>
      <c r="AR16" s="155"/>
      <c r="AS16" s="156">
        <v>11</v>
      </c>
      <c r="AT16" s="154"/>
      <c r="AU16" s="155"/>
      <c r="AV16" s="157"/>
      <c r="AW16" s="155"/>
      <c r="AX16" s="154"/>
      <c r="AY16" s="155"/>
      <c r="AZ16" s="157"/>
      <c r="BA16" s="155"/>
      <c r="BB16" s="154"/>
      <c r="BC16" s="155"/>
      <c r="BD16" s="157">
        <v>4875</v>
      </c>
      <c r="BE16" s="155"/>
      <c r="BF16" s="152">
        <f t="shared" si="0"/>
        <v>0</v>
      </c>
    </row>
    <row r="17" spans="1:58" s="60" customFormat="1" ht="21" x14ac:dyDescent="0.4">
      <c r="A17" s="158"/>
      <c r="B17" s="159" t="s">
        <v>102</v>
      </c>
      <c r="C17" s="159"/>
      <c r="D17" s="160">
        <v>12</v>
      </c>
      <c r="E17" s="161">
        <f>SUM(E6:E16)</f>
        <v>285000</v>
      </c>
      <c r="F17" s="162">
        <f t="shared" ref="F17:BF17" si="1">SUM(F6:F16)</f>
        <v>0</v>
      </c>
      <c r="G17" s="161">
        <f t="shared" si="1"/>
        <v>84000</v>
      </c>
      <c r="H17" s="162">
        <f t="shared" si="1"/>
        <v>0</v>
      </c>
      <c r="I17" s="161">
        <f t="shared" si="1"/>
        <v>69000</v>
      </c>
      <c r="J17" s="162">
        <f t="shared" si="1"/>
        <v>42000</v>
      </c>
      <c r="K17" s="161">
        <f t="shared" si="1"/>
        <v>131000</v>
      </c>
      <c r="L17" s="162">
        <f t="shared" si="1"/>
        <v>116000</v>
      </c>
      <c r="M17" s="161">
        <f t="shared" si="1"/>
        <v>8600</v>
      </c>
      <c r="N17" s="162">
        <f t="shared" si="1"/>
        <v>0</v>
      </c>
      <c r="O17" s="163">
        <v>12</v>
      </c>
      <c r="P17" s="161">
        <f t="shared" si="1"/>
        <v>10000</v>
      </c>
      <c r="Q17" s="162">
        <f t="shared" si="1"/>
        <v>10000</v>
      </c>
      <c r="R17" s="161">
        <f t="shared" si="1"/>
        <v>11000</v>
      </c>
      <c r="S17" s="162">
        <f t="shared" si="1"/>
        <v>10000</v>
      </c>
      <c r="T17" s="161">
        <f t="shared" si="1"/>
        <v>85600</v>
      </c>
      <c r="U17" s="162">
        <f t="shared" si="1"/>
        <v>49000</v>
      </c>
      <c r="V17" s="161">
        <f t="shared" si="1"/>
        <v>0</v>
      </c>
      <c r="W17" s="162">
        <f t="shared" si="1"/>
        <v>125000</v>
      </c>
      <c r="X17" s="161">
        <f t="shared" si="1"/>
        <v>150000</v>
      </c>
      <c r="Y17" s="162">
        <f t="shared" si="1"/>
        <v>0</v>
      </c>
      <c r="Z17" s="161">
        <f t="shared" si="1"/>
        <v>4000</v>
      </c>
      <c r="AA17" s="162">
        <f t="shared" si="1"/>
        <v>90000</v>
      </c>
      <c r="AB17" s="161">
        <f t="shared" si="1"/>
        <v>897026</v>
      </c>
      <c r="AC17" s="162">
        <f t="shared" si="1"/>
        <v>1060688</v>
      </c>
      <c r="AD17" s="161">
        <f t="shared" si="1"/>
        <v>66</v>
      </c>
      <c r="AE17" s="161">
        <f t="shared" si="1"/>
        <v>49000</v>
      </c>
      <c r="AF17" s="162">
        <f t="shared" si="1"/>
        <v>85500</v>
      </c>
      <c r="AG17" s="161">
        <f t="shared" si="1"/>
        <v>38950</v>
      </c>
      <c r="AH17" s="162">
        <f t="shared" si="1"/>
        <v>62017</v>
      </c>
      <c r="AI17" s="161">
        <f t="shared" si="1"/>
        <v>0</v>
      </c>
      <c r="AJ17" s="162">
        <f t="shared" si="1"/>
        <v>7276</v>
      </c>
      <c r="AK17" s="161">
        <f t="shared" si="1"/>
        <v>0</v>
      </c>
      <c r="AL17" s="162">
        <f t="shared" si="1"/>
        <v>51600</v>
      </c>
      <c r="AM17" s="161">
        <f t="shared" si="1"/>
        <v>0</v>
      </c>
      <c r="AN17" s="162">
        <f t="shared" si="1"/>
        <v>930895</v>
      </c>
      <c r="AO17" s="164">
        <f t="shared" si="1"/>
        <v>430000</v>
      </c>
      <c r="AP17" s="162">
        <f t="shared" si="1"/>
        <v>0</v>
      </c>
      <c r="AQ17" s="164">
        <f t="shared" si="1"/>
        <v>51600</v>
      </c>
      <c r="AR17" s="162">
        <f t="shared" si="1"/>
        <v>0</v>
      </c>
      <c r="AS17" s="163">
        <v>12</v>
      </c>
      <c r="AT17" s="161">
        <f t="shared" si="1"/>
        <v>69293</v>
      </c>
      <c r="AU17" s="162">
        <f t="shared" si="1"/>
        <v>0</v>
      </c>
      <c r="AV17" s="161">
        <f t="shared" si="1"/>
        <v>9840</v>
      </c>
      <c r="AW17" s="162">
        <f t="shared" si="1"/>
        <v>0</v>
      </c>
      <c r="AX17" s="161">
        <f t="shared" si="1"/>
        <v>0</v>
      </c>
      <c r="AY17" s="162">
        <f t="shared" si="1"/>
        <v>0</v>
      </c>
      <c r="AZ17" s="161">
        <f t="shared" si="1"/>
        <v>56450</v>
      </c>
      <c r="BA17" s="162">
        <f t="shared" si="1"/>
        <v>0</v>
      </c>
      <c r="BB17" s="161">
        <f t="shared" si="1"/>
        <v>185793</v>
      </c>
      <c r="BC17" s="162">
        <f t="shared" si="1"/>
        <v>0</v>
      </c>
      <c r="BD17" s="161">
        <f t="shared" si="1"/>
        <v>13824</v>
      </c>
      <c r="BE17" s="162">
        <f t="shared" si="1"/>
        <v>0</v>
      </c>
      <c r="BF17" s="161">
        <f t="shared" si="1"/>
        <v>0</v>
      </c>
    </row>
    <row r="18" spans="1:58" x14ac:dyDescent="0.3">
      <c r="BB18" s="42"/>
    </row>
    <row r="19" spans="1:58" s="237" customFormat="1" ht="13.8" x14ac:dyDescent="0.25">
      <c r="A19" s="239" t="s">
        <v>273</v>
      </c>
      <c r="B19" s="233"/>
      <c r="C19" s="233"/>
      <c r="D19" s="233"/>
      <c r="E19" s="232"/>
      <c r="F19" s="232"/>
      <c r="G19" s="232"/>
      <c r="H19" s="232"/>
      <c r="I19" s="168"/>
      <c r="J19" s="236" t="s">
        <v>103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235" t="s">
        <v>49</v>
      </c>
      <c r="AF19" s="168" t="s">
        <v>189</v>
      </c>
      <c r="AG19" s="168"/>
      <c r="AH19" s="168"/>
      <c r="AI19" s="168"/>
      <c r="AJ19" s="168"/>
      <c r="AK19" s="168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168"/>
      <c r="AX19" s="168"/>
      <c r="AY19" s="168"/>
      <c r="AZ19" s="168"/>
      <c r="BA19" s="168"/>
    </row>
    <row r="20" spans="1:58" s="237" customFormat="1" ht="13.8" x14ac:dyDescent="0.25">
      <c r="A20" s="239" t="s">
        <v>274</v>
      </c>
      <c r="B20" s="233"/>
      <c r="C20" s="233"/>
      <c r="D20" s="233"/>
      <c r="E20" s="232"/>
      <c r="F20" s="232"/>
      <c r="G20" s="232"/>
      <c r="H20" s="232"/>
      <c r="I20" s="168"/>
      <c r="J20" s="167">
        <v>10010</v>
      </c>
      <c r="K20" s="168" t="s">
        <v>104</v>
      </c>
      <c r="L20" s="168"/>
      <c r="M20" s="168"/>
      <c r="N20" s="168">
        <f>I17-J17</f>
        <v>27000</v>
      </c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 t="s">
        <v>187</v>
      </c>
      <c r="AG20" s="168"/>
      <c r="AH20" s="168"/>
      <c r="AI20" s="168"/>
      <c r="AJ20" s="168"/>
      <c r="AK20" s="168"/>
      <c r="AL20" s="232"/>
      <c r="AM20" s="232"/>
      <c r="AN20" s="232"/>
      <c r="AO20" s="232"/>
      <c r="AP20" s="238"/>
      <c r="AQ20" s="232"/>
      <c r="AR20" s="232"/>
      <c r="AS20" s="232"/>
      <c r="AT20" s="232"/>
      <c r="AU20" s="232"/>
      <c r="AV20" s="232"/>
      <c r="AW20" s="168"/>
      <c r="AX20" s="168"/>
      <c r="AY20" s="168"/>
      <c r="AZ20" s="168"/>
      <c r="BA20" s="168"/>
    </row>
    <row r="21" spans="1:58" s="237" customFormat="1" ht="13.8" x14ac:dyDescent="0.25">
      <c r="A21" s="239"/>
      <c r="B21" s="233"/>
      <c r="C21" s="233"/>
      <c r="D21" s="233"/>
      <c r="E21" s="232"/>
      <c r="F21" s="232"/>
      <c r="G21" s="232"/>
      <c r="H21" s="232"/>
      <c r="I21" s="168"/>
      <c r="J21" s="167">
        <v>10015</v>
      </c>
      <c r="K21" s="168" t="s">
        <v>105</v>
      </c>
      <c r="L21" s="168"/>
      <c r="M21" s="168"/>
      <c r="N21" s="169">
        <f>K17-L17</f>
        <v>15000</v>
      </c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 t="s">
        <v>188</v>
      </c>
      <c r="AG21" s="168"/>
      <c r="AH21" s="168"/>
      <c r="AI21" s="168"/>
      <c r="AJ21" s="168"/>
      <c r="AK21" s="168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168"/>
      <c r="AX21" s="168"/>
      <c r="AY21" s="168"/>
      <c r="AZ21" s="168"/>
      <c r="BA21" s="168"/>
    </row>
    <row r="22" spans="1:58" s="237" customFormat="1" ht="13.8" x14ac:dyDescent="0.25">
      <c r="A22" s="249"/>
      <c r="B22" s="232"/>
      <c r="C22" s="232"/>
      <c r="D22" s="232"/>
      <c r="E22" s="240"/>
      <c r="F22" s="240"/>
      <c r="G22" s="232"/>
      <c r="H22" s="232"/>
      <c r="I22" s="168"/>
      <c r="J22" s="167">
        <v>10024</v>
      </c>
      <c r="K22" s="168" t="s">
        <v>106</v>
      </c>
      <c r="L22" s="168"/>
      <c r="M22" s="168"/>
      <c r="N22" s="168">
        <f>M17</f>
        <v>8600</v>
      </c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234"/>
      <c r="AF22" s="168"/>
      <c r="AG22" s="168"/>
      <c r="AH22" s="168"/>
      <c r="AI22" s="241"/>
      <c r="AJ22" s="168"/>
      <c r="AK22" s="168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168"/>
      <c r="AX22" s="168"/>
      <c r="AY22" s="168"/>
      <c r="AZ22" s="168"/>
      <c r="BA22" s="168"/>
    </row>
    <row r="23" spans="1:58" s="237" customFormat="1" ht="14.4" x14ac:dyDescent="0.3">
      <c r="A23" s="250" t="s">
        <v>275</v>
      </c>
      <c r="B23" s="232"/>
      <c r="C23" s="232"/>
      <c r="D23" s="232"/>
      <c r="E23" s="232"/>
      <c r="F23" s="232">
        <f>285000*0.2*4/12</f>
        <v>19000</v>
      </c>
      <c r="G23" s="232"/>
      <c r="H23" s="232"/>
      <c r="I23" s="168"/>
      <c r="J23" s="168"/>
      <c r="K23" s="168"/>
      <c r="L23" s="168"/>
      <c r="M23" s="168"/>
      <c r="N23" s="170">
        <f>SUM(N20:N22)</f>
        <v>50600</v>
      </c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235" t="s">
        <v>126</v>
      </c>
      <c r="AF23" s="168" t="s">
        <v>190</v>
      </c>
      <c r="AG23" s="168"/>
      <c r="AH23" s="168"/>
      <c r="AI23" s="168"/>
      <c r="AJ23" s="168"/>
      <c r="AK23" s="168"/>
      <c r="AL23" s="232"/>
      <c r="AM23" s="233"/>
      <c r="AN23" s="232"/>
      <c r="AO23" s="232"/>
      <c r="AP23" s="232"/>
      <c r="AQ23" s="232"/>
      <c r="AR23" s="232"/>
      <c r="AS23" s="232"/>
      <c r="AT23" s="232"/>
      <c r="AU23" s="232"/>
      <c r="AV23" s="232"/>
      <c r="AW23" s="168"/>
      <c r="AX23" s="168"/>
      <c r="AY23" s="168"/>
      <c r="AZ23" s="168"/>
      <c r="BA23" s="168"/>
    </row>
    <row r="24" spans="1:58" s="237" customFormat="1" ht="14.4" x14ac:dyDescent="0.3">
      <c r="A24" s="250" t="s">
        <v>276</v>
      </c>
      <c r="B24" s="232"/>
      <c r="C24" s="232"/>
      <c r="D24" s="232"/>
      <c r="E24" s="232"/>
      <c r="F24" s="232">
        <f>84000*0.1*4/12</f>
        <v>2800</v>
      </c>
      <c r="G24" s="232"/>
      <c r="H24" s="232"/>
      <c r="N24" s="168"/>
      <c r="O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 t="s">
        <v>191</v>
      </c>
      <c r="AG24" s="168"/>
      <c r="AH24" s="168"/>
      <c r="AI24" s="168"/>
      <c r="AJ24" s="168"/>
      <c r="AK24" s="168"/>
      <c r="AL24" s="232"/>
      <c r="AM24" s="232"/>
      <c r="AN24" s="232"/>
      <c r="AO24" s="244">
        <f>AF6-AE6</f>
        <v>24500</v>
      </c>
      <c r="AP24" s="232"/>
      <c r="AQ24" s="232"/>
      <c r="AR24" s="232"/>
      <c r="AS24" s="232"/>
      <c r="AT24" s="232"/>
      <c r="AU24" s="232"/>
      <c r="AV24" s="232"/>
      <c r="AW24" s="168"/>
      <c r="AX24" s="168"/>
      <c r="AY24" s="168"/>
      <c r="AZ24" s="168"/>
      <c r="BA24" s="168"/>
    </row>
    <row r="25" spans="1:58" s="237" customFormat="1" ht="13.8" x14ac:dyDescent="0.25">
      <c r="A25" s="250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168"/>
      <c r="AX25" s="168"/>
      <c r="AY25" s="168"/>
      <c r="AZ25" s="168"/>
      <c r="BA25" s="168"/>
    </row>
    <row r="26" spans="1:58" s="237" customFormat="1" ht="13.8" x14ac:dyDescent="0.25">
      <c r="A26" s="250"/>
      <c r="B26" s="232"/>
      <c r="C26" s="232"/>
      <c r="D26" s="232"/>
      <c r="E26" s="232"/>
      <c r="F26" s="232"/>
      <c r="G26" s="232"/>
      <c r="H26" s="232"/>
      <c r="I26" s="232"/>
      <c r="J26" s="168"/>
      <c r="K26" s="232"/>
      <c r="L26" s="232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35" t="s">
        <v>33</v>
      </c>
      <c r="AF26" s="168" t="s">
        <v>277</v>
      </c>
      <c r="AG26" s="168"/>
      <c r="AH26" s="168"/>
      <c r="AI26" s="168"/>
      <c r="AJ26" s="168"/>
      <c r="AK26" s="168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168"/>
      <c r="AX26" s="168"/>
      <c r="AY26" s="168"/>
      <c r="AZ26" s="168"/>
      <c r="BA26" s="168"/>
    </row>
    <row r="27" spans="1:58" s="237" customFormat="1" ht="13.8" x14ac:dyDescent="0.25">
      <c r="A27" s="250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 t="s">
        <v>192</v>
      </c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</row>
    <row r="28" spans="1:58" s="237" customFormat="1" ht="13.8" x14ac:dyDescent="0.25">
      <c r="A28" s="251"/>
      <c r="E28" s="168"/>
      <c r="F28" s="168"/>
      <c r="G28" s="232"/>
      <c r="H28" s="232"/>
      <c r="I28" s="232"/>
      <c r="J28" s="232"/>
      <c r="K28" s="232"/>
      <c r="L28" s="232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</row>
    <row r="29" spans="1:58" s="237" customFormat="1" ht="14.4" x14ac:dyDescent="0.3">
      <c r="A29" s="242"/>
      <c r="D29" s="233"/>
      <c r="E29" s="243"/>
      <c r="F29" s="232"/>
      <c r="G29" s="232"/>
      <c r="H29" s="232"/>
      <c r="I29" s="232"/>
      <c r="J29" s="232"/>
      <c r="K29" s="232"/>
      <c r="L29" s="232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</row>
    <row r="30" spans="1:58" x14ac:dyDescent="0.3">
      <c r="A30" s="106" t="s">
        <v>0</v>
      </c>
      <c r="D30" s="47"/>
      <c r="E30" s="105"/>
      <c r="F30" s="105"/>
      <c r="G30" s="105"/>
      <c r="H30" s="105"/>
      <c r="I30" s="105"/>
      <c r="J30" s="105"/>
      <c r="K30" s="105"/>
      <c r="L30" s="105"/>
      <c r="P30" s="42"/>
      <c r="Q30" s="42"/>
      <c r="R30" s="42"/>
      <c r="S30" s="42"/>
      <c r="T30" s="42"/>
      <c r="BB30" s="42"/>
      <c r="BC30" s="81"/>
    </row>
    <row r="31" spans="1:58" x14ac:dyDescent="0.3">
      <c r="A31" s="174"/>
      <c r="B31" s="175"/>
      <c r="C31" s="44"/>
      <c r="D31" s="45"/>
      <c r="E31" s="339" t="s">
        <v>109</v>
      </c>
      <c r="F31" s="339"/>
      <c r="G31" s="339" t="s">
        <v>110</v>
      </c>
      <c r="H31" s="339"/>
      <c r="I31" s="316" t="s">
        <v>111</v>
      </c>
      <c r="J31" s="316"/>
      <c r="K31" s="316" t="s">
        <v>112</v>
      </c>
      <c r="L31" s="316"/>
      <c r="P31" s="176" t="s">
        <v>186</v>
      </c>
      <c r="Q31" s="42"/>
      <c r="R31" s="42"/>
      <c r="S31" s="42"/>
      <c r="T31" s="42"/>
      <c r="U31" s="166" t="s">
        <v>185</v>
      </c>
      <c r="BB31" s="42"/>
    </row>
    <row r="32" spans="1:58" x14ac:dyDescent="0.3">
      <c r="A32" s="89" t="s">
        <v>113</v>
      </c>
      <c r="B32" s="177" t="s">
        <v>9</v>
      </c>
      <c r="C32" s="50"/>
      <c r="D32" s="51"/>
      <c r="E32" s="55" t="s">
        <v>18</v>
      </c>
      <c r="F32" s="55" t="s">
        <v>19</v>
      </c>
      <c r="G32" s="55" t="s">
        <v>18</v>
      </c>
      <c r="H32" s="55" t="s">
        <v>19</v>
      </c>
      <c r="I32" s="55" t="s">
        <v>18</v>
      </c>
      <c r="J32" s="55" t="s">
        <v>19</v>
      </c>
      <c r="K32" s="55" t="s">
        <v>18</v>
      </c>
      <c r="L32" s="55" t="s">
        <v>19</v>
      </c>
      <c r="P32" s="42"/>
      <c r="Q32" s="42"/>
      <c r="R32" s="42"/>
      <c r="S32" s="42"/>
      <c r="T32" s="42"/>
      <c r="AI32" s="105"/>
      <c r="BB32" s="42"/>
    </row>
    <row r="33" spans="1:54" x14ac:dyDescent="0.3">
      <c r="A33" s="178">
        <v>1230</v>
      </c>
      <c r="B33" s="179" t="s">
        <v>64</v>
      </c>
      <c r="C33" s="180"/>
      <c r="D33" s="180"/>
      <c r="E33" s="145">
        <f>E17</f>
        <v>285000</v>
      </c>
      <c r="F33" s="146"/>
      <c r="G33" s="145"/>
      <c r="H33" s="146">
        <f>E33*0.2*4/12</f>
        <v>19000</v>
      </c>
      <c r="I33" s="145"/>
      <c r="J33" s="146"/>
      <c r="K33" s="145">
        <f>E33-H33</f>
        <v>266000</v>
      </c>
      <c r="L33" s="146"/>
      <c r="P33" s="181" t="s">
        <v>114</v>
      </c>
      <c r="Q33" s="168"/>
      <c r="R33" s="168"/>
      <c r="S33" s="168"/>
      <c r="T33" s="168"/>
      <c r="U33" s="182" t="s">
        <v>115</v>
      </c>
      <c r="AE33" s="183"/>
      <c r="AI33" s="105"/>
      <c r="AJ33" s="184"/>
      <c r="BB33" s="42"/>
    </row>
    <row r="34" spans="1:54" x14ac:dyDescent="0.3">
      <c r="A34" s="185">
        <v>1250</v>
      </c>
      <c r="B34" s="186" t="str">
        <f>G4</f>
        <v>Inventar</v>
      </c>
      <c r="C34" s="187"/>
      <c r="D34" s="187"/>
      <c r="E34" s="149">
        <f>G17</f>
        <v>84000</v>
      </c>
      <c r="F34" s="150"/>
      <c r="G34" s="149"/>
      <c r="H34" s="150">
        <f>E34*0.1*4/12</f>
        <v>2800</v>
      </c>
      <c r="I34" s="149"/>
      <c r="J34" s="150"/>
      <c r="K34" s="149">
        <f>E34-H34</f>
        <v>81200</v>
      </c>
      <c r="L34" s="150"/>
      <c r="P34" s="81" t="s">
        <v>96</v>
      </c>
      <c r="S34" s="172">
        <f>J46</f>
        <v>930895</v>
      </c>
      <c r="U34" s="81" t="s">
        <v>64</v>
      </c>
      <c r="X34" s="81">
        <f>K33</f>
        <v>266000</v>
      </c>
      <c r="AE34" s="188"/>
      <c r="AI34" s="105"/>
      <c r="BB34" s="42"/>
    </row>
    <row r="35" spans="1:54" x14ac:dyDescent="0.3">
      <c r="A35" s="185">
        <v>1500</v>
      </c>
      <c r="B35" s="189" t="s">
        <v>116</v>
      </c>
      <c r="C35" s="187"/>
      <c r="D35" s="187"/>
      <c r="E35" s="149">
        <f>N23</f>
        <v>50600</v>
      </c>
      <c r="F35" s="150"/>
      <c r="G35" s="149"/>
      <c r="H35" s="150"/>
      <c r="I35" s="149"/>
      <c r="J35" s="150"/>
      <c r="K35" s="149">
        <f t="shared" ref="K35:K37" si="2">E35-H35</f>
        <v>50600</v>
      </c>
      <c r="L35" s="150"/>
      <c r="U35" s="81" t="s">
        <v>65</v>
      </c>
      <c r="X35" s="80">
        <f>K34</f>
        <v>81200</v>
      </c>
      <c r="AE35" s="183"/>
      <c r="AI35" s="105"/>
      <c r="BB35" s="42"/>
    </row>
    <row r="36" spans="1:54" x14ac:dyDescent="0.3">
      <c r="A36" s="185">
        <v>1900</v>
      </c>
      <c r="B36" s="189" t="s">
        <v>68</v>
      </c>
      <c r="C36" s="187"/>
      <c r="D36" s="187"/>
      <c r="E36" s="149">
        <f>R17-S17</f>
        <v>1000</v>
      </c>
      <c r="F36" s="150"/>
      <c r="G36" s="149"/>
      <c r="H36" s="150"/>
      <c r="I36" s="149"/>
      <c r="J36" s="150"/>
      <c r="K36" s="149">
        <f t="shared" si="2"/>
        <v>1000</v>
      </c>
      <c r="L36" s="150"/>
      <c r="P36" s="182" t="s">
        <v>117</v>
      </c>
      <c r="U36" s="81" t="s">
        <v>116</v>
      </c>
      <c r="X36" s="80">
        <f>K35</f>
        <v>50600</v>
      </c>
      <c r="AE36" s="183"/>
      <c r="AI36" s="190"/>
      <c r="BB36" s="42"/>
    </row>
    <row r="37" spans="1:54" x14ac:dyDescent="0.3">
      <c r="A37" s="185">
        <v>1950</v>
      </c>
      <c r="B37" s="189" t="s">
        <v>118</v>
      </c>
      <c r="C37" s="187"/>
      <c r="D37" s="187"/>
      <c r="E37" s="149">
        <f>T17-U17</f>
        <v>36600</v>
      </c>
      <c r="F37" s="150"/>
      <c r="G37" s="149"/>
      <c r="H37" s="150"/>
      <c r="I37" s="149"/>
      <c r="J37" s="150"/>
      <c r="K37" s="149">
        <f t="shared" si="2"/>
        <v>36600</v>
      </c>
      <c r="L37" s="150"/>
      <c r="P37" s="81" t="s">
        <v>158</v>
      </c>
      <c r="S37" s="81">
        <f>I47+I48+I49+I50</f>
        <v>560733</v>
      </c>
      <c r="U37" s="81" t="s">
        <v>119</v>
      </c>
      <c r="X37" s="81">
        <f>K36+K37</f>
        <v>37600</v>
      </c>
      <c r="Y37" s="184" t="s">
        <v>120</v>
      </c>
      <c r="AE37" s="188"/>
      <c r="AI37" s="105"/>
      <c r="AJ37" s="184"/>
      <c r="BB37" s="42"/>
    </row>
    <row r="38" spans="1:54" x14ac:dyDescent="0.3">
      <c r="A38" s="185">
        <v>2050</v>
      </c>
      <c r="B38" s="189" t="s">
        <v>94</v>
      </c>
      <c r="C38" s="187"/>
      <c r="D38" s="187"/>
      <c r="E38" s="149"/>
      <c r="F38" s="150">
        <f>W17</f>
        <v>125000</v>
      </c>
      <c r="G38" s="149">
        <f>H39</f>
        <v>150000</v>
      </c>
      <c r="H38" s="150">
        <f>G55</f>
        <v>92295</v>
      </c>
      <c r="I38" s="149"/>
      <c r="J38" s="150"/>
      <c r="K38" s="149"/>
      <c r="L38" s="150">
        <f>F38-G38+H38</f>
        <v>67295</v>
      </c>
      <c r="P38" s="81" t="s">
        <v>98</v>
      </c>
      <c r="S38" s="80">
        <f>I51</f>
        <v>21800</v>
      </c>
      <c r="U38" s="81" t="s">
        <v>121</v>
      </c>
      <c r="X38" s="171">
        <f>SUM(X34:X37)</f>
        <v>435400</v>
      </c>
      <c r="BB38" s="42"/>
    </row>
    <row r="39" spans="1:54" x14ac:dyDescent="0.3">
      <c r="A39" s="185">
        <v>2060</v>
      </c>
      <c r="B39" s="189" t="s">
        <v>95</v>
      </c>
      <c r="C39" s="187"/>
      <c r="D39" s="187"/>
      <c r="E39" s="149">
        <f>X17</f>
        <v>150000</v>
      </c>
      <c r="F39" s="150"/>
      <c r="G39" s="149"/>
      <c r="H39" s="150">
        <f>E39</f>
        <v>150000</v>
      </c>
      <c r="I39" s="149"/>
      <c r="J39" s="150"/>
      <c r="K39" s="149"/>
      <c r="L39" s="150"/>
      <c r="P39" s="81" t="str">
        <f>B52</f>
        <v>Varebilkostnader</v>
      </c>
      <c r="S39" s="80">
        <f>I52</f>
        <v>56450</v>
      </c>
      <c r="BB39" s="42"/>
    </row>
    <row r="40" spans="1:54" x14ac:dyDescent="0.3">
      <c r="A40" s="185">
        <v>2240</v>
      </c>
      <c r="B40" s="189" t="s">
        <v>178</v>
      </c>
      <c r="C40" s="187"/>
      <c r="D40" s="187"/>
      <c r="E40" s="149"/>
      <c r="F40" s="150">
        <f>AA17-Z17</f>
        <v>86000</v>
      </c>
      <c r="G40" s="149"/>
      <c r="H40" s="150"/>
      <c r="I40" s="149"/>
      <c r="J40" s="150"/>
      <c r="K40" s="149"/>
      <c r="L40" s="150">
        <f>F40</f>
        <v>86000</v>
      </c>
      <c r="P40" s="81" t="str">
        <f>B53</f>
        <v>Andre driftskostnader</v>
      </c>
      <c r="S40" s="80">
        <f>I53</f>
        <v>185793</v>
      </c>
      <c r="U40" s="182" t="s">
        <v>122</v>
      </c>
      <c r="BB40" s="42"/>
    </row>
    <row r="41" spans="1:54" x14ac:dyDescent="0.3">
      <c r="A41" s="185">
        <v>2380</v>
      </c>
      <c r="B41" s="189" t="s">
        <v>72</v>
      </c>
      <c r="C41" s="187"/>
      <c r="D41" s="187"/>
      <c r="E41" s="149"/>
      <c r="F41" s="150">
        <f>AC17-AB17</f>
        <v>163662</v>
      </c>
      <c r="G41" s="149"/>
      <c r="H41" s="150"/>
      <c r="I41" s="149"/>
      <c r="J41" s="150"/>
      <c r="K41" s="149"/>
      <c r="L41" s="150">
        <f t="shared" ref="L41:L45" si="3">F41</f>
        <v>163662</v>
      </c>
      <c r="P41" s="81" t="str">
        <f>B54</f>
        <v>Rentekostnader</v>
      </c>
      <c r="S41" s="81">
        <f>I54</f>
        <v>13824</v>
      </c>
      <c r="U41" s="81" t="s">
        <v>70</v>
      </c>
      <c r="X41" s="172">
        <f>L38</f>
        <v>67295</v>
      </c>
      <c r="BB41" s="42"/>
    </row>
    <row r="42" spans="1:54" x14ac:dyDescent="0.3">
      <c r="A42" s="185">
        <v>2600</v>
      </c>
      <c r="B42" s="189" t="s">
        <v>5</v>
      </c>
      <c r="C42" s="187"/>
      <c r="D42" s="187"/>
      <c r="E42" s="149"/>
      <c r="F42" s="150">
        <f>AF17-AE17</f>
        <v>36500</v>
      </c>
      <c r="G42" s="149"/>
      <c r="H42" s="150"/>
      <c r="I42" s="149"/>
      <c r="J42" s="150"/>
      <c r="K42" s="149"/>
      <c r="L42" s="150">
        <f t="shared" si="3"/>
        <v>36500</v>
      </c>
      <c r="P42" s="81" t="s">
        <v>123</v>
      </c>
      <c r="S42" s="171">
        <f>SUM(S37:S41)</f>
        <v>838600</v>
      </c>
      <c r="BB42" s="42"/>
    </row>
    <row r="43" spans="1:54" x14ac:dyDescent="0.3">
      <c r="A43" s="185">
        <v>2770</v>
      </c>
      <c r="B43" s="189" t="s">
        <v>124</v>
      </c>
      <c r="C43" s="187"/>
      <c r="D43" s="187"/>
      <c r="E43" s="149"/>
      <c r="F43" s="150">
        <f>AH17-AG17</f>
        <v>23067</v>
      </c>
      <c r="G43" s="149"/>
      <c r="H43" s="150"/>
      <c r="I43" s="149"/>
      <c r="J43" s="150"/>
      <c r="K43" s="149"/>
      <c r="L43" s="150">
        <f t="shared" si="3"/>
        <v>23067</v>
      </c>
      <c r="U43" s="182" t="s">
        <v>125</v>
      </c>
      <c r="AE43" s="173"/>
      <c r="BB43" s="42"/>
    </row>
    <row r="44" spans="1:54" x14ac:dyDescent="0.3">
      <c r="A44" s="185">
        <v>2780</v>
      </c>
      <c r="B44" s="189" t="s">
        <v>127</v>
      </c>
      <c r="C44" s="187"/>
      <c r="D44" s="187"/>
      <c r="E44" s="149"/>
      <c r="F44" s="150">
        <f>AJ17</f>
        <v>7276</v>
      </c>
      <c r="G44" s="149"/>
      <c r="H44" s="150"/>
      <c r="I44" s="149"/>
      <c r="J44" s="150"/>
      <c r="K44" s="149"/>
      <c r="L44" s="150">
        <f t="shared" si="3"/>
        <v>7276</v>
      </c>
      <c r="P44" s="81" t="s">
        <v>111</v>
      </c>
      <c r="S44" s="172">
        <f>S34-S42</f>
        <v>92295</v>
      </c>
      <c r="U44" s="81" t="s">
        <v>178</v>
      </c>
      <c r="X44" s="81">
        <f>L40</f>
        <v>86000</v>
      </c>
      <c r="AE44" s="173"/>
      <c r="BB44" s="42"/>
    </row>
    <row r="45" spans="1:54" x14ac:dyDescent="0.3">
      <c r="A45" s="185">
        <v>2940</v>
      </c>
      <c r="B45" s="189" t="s">
        <v>154</v>
      </c>
      <c r="C45" s="187"/>
      <c r="D45" s="187"/>
      <c r="E45" s="149"/>
      <c r="F45" s="150">
        <f>AL17</f>
        <v>51600</v>
      </c>
      <c r="G45" s="149"/>
      <c r="H45" s="150"/>
      <c r="I45" s="149"/>
      <c r="J45" s="150"/>
      <c r="K45" s="149"/>
      <c r="L45" s="150">
        <f t="shared" si="3"/>
        <v>51600</v>
      </c>
      <c r="U45" s="81" t="s">
        <v>72</v>
      </c>
      <c r="X45" s="80">
        <f>L41</f>
        <v>163662</v>
      </c>
      <c r="AE45" s="173"/>
    </row>
    <row r="46" spans="1:54" x14ac:dyDescent="0.3">
      <c r="A46" s="185">
        <v>3100</v>
      </c>
      <c r="B46" s="189" t="s">
        <v>96</v>
      </c>
      <c r="C46" s="187"/>
      <c r="D46" s="187"/>
      <c r="E46" s="149"/>
      <c r="F46" s="150">
        <f>AN17</f>
        <v>930895</v>
      </c>
      <c r="G46" s="149"/>
      <c r="H46" s="150"/>
      <c r="I46" s="149"/>
      <c r="J46" s="150">
        <f>F46</f>
        <v>930895</v>
      </c>
      <c r="K46" s="149"/>
      <c r="L46" s="150"/>
      <c r="U46" s="81" t="s">
        <v>128</v>
      </c>
      <c r="X46" s="80">
        <f>L42+L43+L44</f>
        <v>66843</v>
      </c>
      <c r="Y46" s="184" t="s">
        <v>129</v>
      </c>
      <c r="AK46" s="105"/>
    </row>
    <row r="47" spans="1:54" x14ac:dyDescent="0.3">
      <c r="A47" s="185">
        <v>5000</v>
      </c>
      <c r="B47" s="189" t="s">
        <v>79</v>
      </c>
      <c r="C47" s="187"/>
      <c r="D47" s="187"/>
      <c r="E47" s="149">
        <f>AO17</f>
        <v>430000</v>
      </c>
      <c r="F47" s="150"/>
      <c r="G47" s="149"/>
      <c r="H47" s="150"/>
      <c r="I47" s="149">
        <f>SUM(E47:H47)</f>
        <v>430000</v>
      </c>
      <c r="J47" s="150"/>
      <c r="K47" s="149"/>
      <c r="L47" s="150"/>
      <c r="P47" s="81" t="s">
        <v>272</v>
      </c>
      <c r="U47" s="81" t="s">
        <v>8</v>
      </c>
      <c r="X47" s="81">
        <f>L45</f>
        <v>51600</v>
      </c>
      <c r="AK47" s="105"/>
    </row>
    <row r="48" spans="1:54" x14ac:dyDescent="0.3">
      <c r="A48" s="185">
        <v>5100</v>
      </c>
      <c r="B48" s="189" t="s">
        <v>31</v>
      </c>
      <c r="C48" s="187"/>
      <c r="D48" s="187"/>
      <c r="E48" s="149">
        <f>AQ17</f>
        <v>51600</v>
      </c>
      <c r="F48" s="150"/>
      <c r="G48" s="149"/>
      <c r="H48" s="150"/>
      <c r="I48" s="149">
        <f t="shared" ref="I48:I54" si="4">SUM(E48:H48)</f>
        <v>51600</v>
      </c>
      <c r="J48" s="150"/>
      <c r="K48" s="149"/>
      <c r="L48" s="150"/>
      <c r="P48" s="191" t="s">
        <v>79</v>
      </c>
      <c r="U48" s="81" t="s">
        <v>130</v>
      </c>
      <c r="X48" s="171">
        <f>SUM(X44:X47)</f>
        <v>368105</v>
      </c>
      <c r="AE48" s="188"/>
      <c r="AK48" s="105"/>
    </row>
    <row r="49" spans="1:54" x14ac:dyDescent="0.3">
      <c r="A49" s="185">
        <v>5400</v>
      </c>
      <c r="B49" s="189" t="s">
        <v>7</v>
      </c>
      <c r="C49" s="187"/>
      <c r="D49" s="187"/>
      <c r="E49" s="149">
        <f>AT17</f>
        <v>69293</v>
      </c>
      <c r="F49" s="150"/>
      <c r="G49" s="149"/>
      <c r="H49" s="150"/>
      <c r="I49" s="149">
        <f t="shared" si="4"/>
        <v>69293</v>
      </c>
      <c r="J49" s="150"/>
      <c r="K49" s="149"/>
      <c r="L49" s="150"/>
      <c r="P49" s="191" t="s">
        <v>31</v>
      </c>
      <c r="AE49" s="188"/>
      <c r="AK49" s="105"/>
    </row>
    <row r="50" spans="1:54" x14ac:dyDescent="0.3">
      <c r="A50" s="185">
        <v>5420</v>
      </c>
      <c r="B50" s="189" t="s">
        <v>107</v>
      </c>
      <c r="C50" s="187"/>
      <c r="D50" s="187"/>
      <c r="E50" s="149">
        <f>AV17</f>
        <v>9840</v>
      </c>
      <c r="F50" s="150"/>
      <c r="G50" s="149"/>
      <c r="H50" s="150"/>
      <c r="I50" s="149">
        <f t="shared" si="4"/>
        <v>9840</v>
      </c>
      <c r="J50" s="150"/>
      <c r="K50" s="149"/>
      <c r="L50" s="150"/>
      <c r="P50" s="191" t="s">
        <v>7</v>
      </c>
      <c r="U50" s="81" t="s">
        <v>131</v>
      </c>
      <c r="X50" s="172">
        <f>X41+X48</f>
        <v>435400</v>
      </c>
      <c r="AK50" s="105"/>
    </row>
    <row r="51" spans="1:54" x14ac:dyDescent="0.3">
      <c r="A51" s="185">
        <v>6010</v>
      </c>
      <c r="B51" s="189" t="s">
        <v>98</v>
      </c>
      <c r="C51" s="187"/>
      <c r="D51" s="187"/>
      <c r="E51" s="149"/>
      <c r="F51" s="150"/>
      <c r="G51" s="149">
        <f>H33+H34</f>
        <v>21800</v>
      </c>
      <c r="H51" s="150"/>
      <c r="I51" s="149">
        <f t="shared" si="4"/>
        <v>21800</v>
      </c>
      <c r="J51" s="150"/>
      <c r="K51" s="149"/>
      <c r="L51" s="150"/>
      <c r="P51" s="191" t="s">
        <v>132</v>
      </c>
    </row>
    <row r="52" spans="1:54" x14ac:dyDescent="0.3">
      <c r="A52" s="185">
        <v>7090</v>
      </c>
      <c r="B52" s="189" t="s">
        <v>99</v>
      </c>
      <c r="C52" s="187"/>
      <c r="D52" s="187"/>
      <c r="E52" s="149">
        <f>AZ17</f>
        <v>56450</v>
      </c>
      <c r="F52" s="150"/>
      <c r="G52" s="149"/>
      <c r="H52" s="150"/>
      <c r="I52" s="149">
        <f t="shared" si="4"/>
        <v>56450</v>
      </c>
      <c r="J52" s="150"/>
      <c r="K52" s="149"/>
      <c r="L52" s="150"/>
    </row>
    <row r="53" spans="1:54" x14ac:dyDescent="0.3">
      <c r="A53" s="185">
        <v>7790</v>
      </c>
      <c r="B53" s="189" t="s">
        <v>108</v>
      </c>
      <c r="C53" s="187"/>
      <c r="D53" s="187"/>
      <c r="E53" s="149">
        <f>BB17</f>
        <v>185793</v>
      </c>
      <c r="F53" s="150"/>
      <c r="G53" s="149"/>
      <c r="H53" s="150"/>
      <c r="I53" s="149">
        <f t="shared" si="4"/>
        <v>185793</v>
      </c>
      <c r="J53" s="150"/>
      <c r="K53" s="149"/>
      <c r="L53" s="150"/>
    </row>
    <row r="54" spans="1:54" x14ac:dyDescent="0.3">
      <c r="A54" s="185">
        <v>8150</v>
      </c>
      <c r="B54" s="189" t="s">
        <v>100</v>
      </c>
      <c r="C54" s="187"/>
      <c r="D54" s="187"/>
      <c r="E54" s="149">
        <f>BD17</f>
        <v>13824</v>
      </c>
      <c r="F54" s="150"/>
      <c r="G54" s="149"/>
      <c r="H54" s="150"/>
      <c r="I54" s="149">
        <f t="shared" si="4"/>
        <v>13824</v>
      </c>
      <c r="J54" s="150"/>
      <c r="K54" s="149"/>
      <c r="L54" s="150"/>
    </row>
    <row r="55" spans="1:54" x14ac:dyDescent="0.3">
      <c r="A55" s="192">
        <v>8800</v>
      </c>
      <c r="B55" s="193" t="s">
        <v>111</v>
      </c>
      <c r="C55" s="194"/>
      <c r="D55" s="194"/>
      <c r="E55" s="195"/>
      <c r="F55" s="196"/>
      <c r="G55" s="195">
        <f>J46-I47-I48-I49-I50-I51-I52-I53-I54</f>
        <v>92295</v>
      </c>
      <c r="H55" s="196"/>
      <c r="I55" s="195">
        <f>G55</f>
        <v>92295</v>
      </c>
      <c r="J55" s="196"/>
      <c r="K55" s="195"/>
      <c r="L55" s="196"/>
    </row>
    <row r="56" spans="1:54" s="60" customFormat="1" ht="21" x14ac:dyDescent="0.4">
      <c r="A56" s="197"/>
      <c r="B56" s="198"/>
      <c r="C56" s="199"/>
      <c r="D56" s="199"/>
      <c r="E56" s="161">
        <f>SUM(E33:E54)</f>
        <v>1424000</v>
      </c>
      <c r="F56" s="162">
        <f t="shared" ref="F56:L56" si="5">SUM(F33:F55)</f>
        <v>1424000</v>
      </c>
      <c r="G56" s="161">
        <f t="shared" si="5"/>
        <v>264095</v>
      </c>
      <c r="H56" s="162">
        <f t="shared" si="5"/>
        <v>264095</v>
      </c>
      <c r="I56" s="161">
        <f t="shared" si="5"/>
        <v>930895</v>
      </c>
      <c r="J56" s="162">
        <f t="shared" si="5"/>
        <v>930895</v>
      </c>
      <c r="K56" s="161">
        <f t="shared" si="5"/>
        <v>435400</v>
      </c>
      <c r="L56" s="162">
        <f t="shared" si="5"/>
        <v>435400</v>
      </c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1"/>
    </row>
    <row r="58" spans="1:54" x14ac:dyDescent="0.3">
      <c r="F58" s="81">
        <f>F56-E56</f>
        <v>0</v>
      </c>
    </row>
  </sheetData>
  <mergeCells count="59">
    <mergeCell ref="X3:Y3"/>
    <mergeCell ref="D3:D5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T3:U3"/>
    <mergeCell ref="V3:W3"/>
    <mergeCell ref="Z3:AA3"/>
    <mergeCell ref="AB3:AC3"/>
    <mergeCell ref="AD3:AD5"/>
    <mergeCell ref="AE3:AF3"/>
    <mergeCell ref="AG3:AH3"/>
    <mergeCell ref="AM3:AN3"/>
    <mergeCell ref="AO3:AP3"/>
    <mergeCell ref="AQ3:AR3"/>
    <mergeCell ref="AS3:AS5"/>
    <mergeCell ref="AI3:AJ3"/>
    <mergeCell ref="BD3:BE3"/>
    <mergeCell ref="BF3:BF5"/>
    <mergeCell ref="AV4:AW4"/>
    <mergeCell ref="AX4:AY4"/>
    <mergeCell ref="AZ4:BA4"/>
    <mergeCell ref="BB4:BC4"/>
    <mergeCell ref="BD4:BE4"/>
    <mergeCell ref="AV3:AW3"/>
    <mergeCell ref="AX3:AY3"/>
    <mergeCell ref="AZ3:BA3"/>
    <mergeCell ref="BB3:BC3"/>
    <mergeCell ref="AT4:AU4"/>
    <mergeCell ref="M4:N4"/>
    <mergeCell ref="P4:Q4"/>
    <mergeCell ref="R4:S4"/>
    <mergeCell ref="T4:U4"/>
    <mergeCell ref="V4:W4"/>
    <mergeCell ref="X4:Y4"/>
    <mergeCell ref="O3:O5"/>
    <mergeCell ref="P3:Q3"/>
    <mergeCell ref="R3:S3"/>
    <mergeCell ref="AK4:AL4"/>
    <mergeCell ref="AM4:AN4"/>
    <mergeCell ref="AO4:AP4"/>
    <mergeCell ref="AQ4:AR4"/>
    <mergeCell ref="AT3:AU3"/>
    <mergeCell ref="AK3:AL3"/>
    <mergeCell ref="E31:F31"/>
    <mergeCell ref="G31:H31"/>
    <mergeCell ref="I31:J31"/>
    <mergeCell ref="K31:L31"/>
    <mergeCell ref="AI4:AJ4"/>
    <mergeCell ref="Z4:AA4"/>
    <mergeCell ref="AB4:AC4"/>
    <mergeCell ref="AE4:AF4"/>
    <mergeCell ref="AG4:AH4"/>
  </mergeCells>
  <pageMargins left="0.19685039370078741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Header>&amp;COppgave 9.4</oddHeader>
    <oddFooter>&amp;CSide &amp;P av &amp;N</oddFooter>
  </headerFooter>
  <rowBreaks count="1" manualBreakCount="1">
    <brk id="29" max="16383" man="1"/>
  </rowBreaks>
  <colBreaks count="3" manualBreakCount="3">
    <brk id="14" max="1048575" man="1"/>
    <brk id="29" max="1048575" man="1"/>
    <brk id="4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7"/>
  <sheetViews>
    <sheetView showGridLines="0" showZeros="0" workbookViewId="0">
      <selection activeCell="I9" sqref="I9"/>
    </sheetView>
  </sheetViews>
  <sheetFormatPr baseColWidth="10" defaultColWidth="11.44140625" defaultRowHeight="15.6" x14ac:dyDescent="0.3"/>
  <cols>
    <col min="1" max="1" width="6.44140625" style="42" customWidth="1"/>
    <col min="2" max="2" width="27.5546875" style="42" customWidth="1"/>
    <col min="3" max="21" width="9.6640625" style="42" customWidth="1"/>
    <col min="22" max="16384" width="11.44140625" style="42"/>
  </cols>
  <sheetData>
    <row r="1" spans="1:7" x14ac:dyDescent="0.3">
      <c r="A1" s="176" t="s">
        <v>194</v>
      </c>
    </row>
    <row r="3" spans="1:7" x14ac:dyDescent="0.3">
      <c r="A3" s="42" t="s">
        <v>0</v>
      </c>
    </row>
    <row r="4" spans="1:7" x14ac:dyDescent="0.3">
      <c r="A4" s="67" t="s">
        <v>133</v>
      </c>
      <c r="B4" s="44"/>
      <c r="C4" s="44"/>
      <c r="D4" s="44" t="s">
        <v>13</v>
      </c>
      <c r="E4" s="44" t="s">
        <v>134</v>
      </c>
      <c r="F4" s="45"/>
    </row>
    <row r="5" spans="1:7" x14ac:dyDescent="0.3">
      <c r="A5" s="49"/>
      <c r="B5" s="50"/>
      <c r="C5" s="50"/>
      <c r="D5" s="50" t="s">
        <v>135</v>
      </c>
      <c r="E5" s="50"/>
      <c r="F5" s="51"/>
    </row>
    <row r="6" spans="1:7" x14ac:dyDescent="0.3">
      <c r="A6" s="43" t="s">
        <v>3</v>
      </c>
      <c r="B6" s="44"/>
      <c r="C6" s="44"/>
      <c r="D6" s="87" t="s">
        <v>9</v>
      </c>
      <c r="E6" s="69" t="s">
        <v>11</v>
      </c>
      <c r="F6" s="88" t="s">
        <v>136</v>
      </c>
    </row>
    <row r="7" spans="1:7" x14ac:dyDescent="0.3">
      <c r="A7" s="89"/>
      <c r="B7" s="50"/>
      <c r="C7" s="50"/>
      <c r="D7" s="89"/>
      <c r="E7" s="71" t="s">
        <v>10</v>
      </c>
      <c r="F7" s="90" t="s">
        <v>12</v>
      </c>
    </row>
    <row r="8" spans="1:7" x14ac:dyDescent="0.3">
      <c r="A8" s="73">
        <v>1</v>
      </c>
      <c r="B8" s="202" t="s">
        <v>4</v>
      </c>
      <c r="C8" s="202"/>
      <c r="D8" s="203">
        <v>5000</v>
      </c>
      <c r="E8" s="92">
        <v>102300</v>
      </c>
      <c r="F8" s="204"/>
    </row>
    <row r="9" spans="1:7" x14ac:dyDescent="0.3">
      <c r="A9" s="76">
        <v>2</v>
      </c>
      <c r="B9" s="77" t="s">
        <v>5</v>
      </c>
      <c r="C9" s="77"/>
      <c r="D9" s="205">
        <v>2600</v>
      </c>
      <c r="E9" s="99"/>
      <c r="F9" s="206">
        <v>31713</v>
      </c>
    </row>
    <row r="10" spans="1:7" x14ac:dyDescent="0.3">
      <c r="A10" s="76">
        <v>3</v>
      </c>
      <c r="B10" s="77" t="s">
        <v>6</v>
      </c>
      <c r="C10" s="77"/>
      <c r="D10" s="205">
        <v>2380</v>
      </c>
      <c r="E10" s="99"/>
      <c r="F10" s="206">
        <f>E8-F9</f>
        <v>70587</v>
      </c>
      <c r="G10" s="207"/>
    </row>
    <row r="11" spans="1:7" x14ac:dyDescent="0.3">
      <c r="A11" s="76"/>
      <c r="B11" s="77"/>
      <c r="C11" s="77"/>
      <c r="D11" s="205"/>
      <c r="E11" s="99"/>
      <c r="F11" s="206"/>
      <c r="G11" s="207"/>
    </row>
    <row r="12" spans="1:7" x14ac:dyDescent="0.3">
      <c r="A12" s="76">
        <v>4</v>
      </c>
      <c r="B12" s="77" t="s">
        <v>7</v>
      </c>
      <c r="C12" s="77"/>
      <c r="D12" s="205">
        <v>5400</v>
      </c>
      <c r="E12" s="99">
        <v>14424</v>
      </c>
      <c r="F12" s="206"/>
    </row>
    <row r="13" spans="1:7" x14ac:dyDescent="0.3">
      <c r="A13" s="76"/>
      <c r="B13" s="77"/>
      <c r="C13" s="77"/>
      <c r="D13" s="205">
        <v>2770</v>
      </c>
      <c r="E13" s="99"/>
      <c r="F13" s="206">
        <v>14424</v>
      </c>
    </row>
    <row r="14" spans="1:7" x14ac:dyDescent="0.3">
      <c r="A14" s="76">
        <v>5</v>
      </c>
      <c r="B14" s="77" t="s">
        <v>154</v>
      </c>
      <c r="C14" s="77"/>
      <c r="D14" s="205">
        <v>5100</v>
      </c>
      <c r="E14" s="99">
        <v>12276</v>
      </c>
      <c r="F14" s="206"/>
    </row>
    <row r="15" spans="1:7" x14ac:dyDescent="0.3">
      <c r="A15" s="76"/>
      <c r="B15" s="77"/>
      <c r="C15" s="77"/>
      <c r="D15" s="205">
        <v>2940</v>
      </c>
      <c r="E15" s="99"/>
      <c r="F15" s="206">
        <v>12276</v>
      </c>
    </row>
    <row r="16" spans="1:7" x14ac:dyDescent="0.3">
      <c r="A16" s="76">
        <v>6</v>
      </c>
      <c r="B16" s="77" t="s">
        <v>137</v>
      </c>
      <c r="C16" s="77"/>
      <c r="D16" s="205">
        <v>5400</v>
      </c>
      <c r="E16" s="99">
        <v>1731</v>
      </c>
      <c r="F16" s="206"/>
    </row>
    <row r="17" spans="1:21" x14ac:dyDescent="0.3">
      <c r="A17" s="208"/>
      <c r="B17" s="84"/>
      <c r="C17" s="84"/>
      <c r="D17" s="208">
        <v>2780</v>
      </c>
      <c r="E17" s="103"/>
      <c r="F17" s="209">
        <v>1731</v>
      </c>
    </row>
    <row r="19" spans="1:21" x14ac:dyDescent="0.3">
      <c r="A19" s="42" t="s">
        <v>49</v>
      </c>
    </row>
    <row r="20" spans="1:21" x14ac:dyDescent="0.3">
      <c r="A20" s="52" t="s">
        <v>28</v>
      </c>
      <c r="B20" s="45" t="s">
        <v>3</v>
      </c>
      <c r="C20" s="314">
        <v>1950</v>
      </c>
      <c r="D20" s="315"/>
      <c r="E20" s="314">
        <v>2380</v>
      </c>
      <c r="F20" s="315"/>
      <c r="G20" s="313">
        <v>2600</v>
      </c>
      <c r="H20" s="313"/>
      <c r="I20" s="314" t="s">
        <v>24</v>
      </c>
      <c r="J20" s="315"/>
      <c r="K20" s="313" t="s">
        <v>26</v>
      </c>
      <c r="L20" s="313"/>
      <c r="M20" s="314">
        <v>2940</v>
      </c>
      <c r="N20" s="315"/>
      <c r="O20" s="313">
        <v>5000</v>
      </c>
      <c r="P20" s="313"/>
      <c r="Q20" s="314">
        <v>5100</v>
      </c>
      <c r="R20" s="315"/>
      <c r="S20" s="313">
        <v>5400</v>
      </c>
      <c r="T20" s="313"/>
      <c r="U20" s="69" t="s">
        <v>20</v>
      </c>
    </row>
    <row r="21" spans="1:21" x14ac:dyDescent="0.3">
      <c r="A21" s="57"/>
      <c r="B21" s="48"/>
      <c r="C21" s="308" t="s">
        <v>69</v>
      </c>
      <c r="D21" s="309"/>
      <c r="E21" s="308" t="s">
        <v>72</v>
      </c>
      <c r="F21" s="309"/>
      <c r="G21" s="310" t="s">
        <v>23</v>
      </c>
      <c r="H21" s="310"/>
      <c r="I21" s="308" t="s">
        <v>25</v>
      </c>
      <c r="J21" s="309"/>
      <c r="K21" s="310" t="s">
        <v>25</v>
      </c>
      <c r="L21" s="310"/>
      <c r="M21" s="308" t="s">
        <v>154</v>
      </c>
      <c r="N21" s="309"/>
      <c r="O21" s="310" t="s">
        <v>79</v>
      </c>
      <c r="P21" s="310"/>
      <c r="Q21" s="308" t="s">
        <v>31</v>
      </c>
      <c r="R21" s="309"/>
      <c r="S21" s="310" t="s">
        <v>7</v>
      </c>
      <c r="T21" s="310"/>
      <c r="U21" s="142"/>
    </row>
    <row r="22" spans="1:21" x14ac:dyDescent="0.3">
      <c r="A22" s="54"/>
      <c r="B22" s="51"/>
      <c r="C22" s="53" t="s">
        <v>18</v>
      </c>
      <c r="D22" s="53" t="s">
        <v>19</v>
      </c>
      <c r="E22" s="53" t="s">
        <v>18</v>
      </c>
      <c r="F22" s="53" t="s">
        <v>19</v>
      </c>
      <c r="G22" s="53" t="s">
        <v>18</v>
      </c>
      <c r="H22" s="53" t="s">
        <v>19</v>
      </c>
      <c r="I22" s="53" t="s">
        <v>18</v>
      </c>
      <c r="J22" s="53" t="s">
        <v>19</v>
      </c>
      <c r="K22" s="53" t="s">
        <v>18</v>
      </c>
      <c r="L22" s="53" t="s">
        <v>19</v>
      </c>
      <c r="M22" s="53" t="s">
        <v>18</v>
      </c>
      <c r="N22" s="53" t="s">
        <v>19</v>
      </c>
      <c r="O22" s="53" t="s">
        <v>18</v>
      </c>
      <c r="P22" s="53" t="s">
        <v>19</v>
      </c>
      <c r="Q22" s="53" t="s">
        <v>18</v>
      </c>
      <c r="R22" s="53" t="s">
        <v>19</v>
      </c>
      <c r="S22" s="53" t="s">
        <v>18</v>
      </c>
      <c r="T22" s="53" t="s">
        <v>19</v>
      </c>
      <c r="U22" s="71"/>
    </row>
    <row r="23" spans="1:21" x14ac:dyDescent="0.3">
      <c r="A23" s="210" t="s">
        <v>138</v>
      </c>
      <c r="B23" s="202" t="s">
        <v>139</v>
      </c>
      <c r="C23" s="211"/>
      <c r="D23" s="93"/>
      <c r="E23" s="92"/>
      <c r="F23" s="93">
        <v>70587</v>
      </c>
      <c r="G23" s="92"/>
      <c r="H23" s="93">
        <v>31713</v>
      </c>
      <c r="I23" s="92"/>
      <c r="J23" s="93"/>
      <c r="K23" s="92"/>
      <c r="L23" s="93"/>
      <c r="M23" s="92"/>
      <c r="N23" s="93"/>
      <c r="O23" s="92">
        <v>102300</v>
      </c>
      <c r="P23" s="93"/>
      <c r="Q23" s="92"/>
      <c r="R23" s="93"/>
      <c r="S23" s="92"/>
      <c r="T23" s="93"/>
      <c r="U23" s="91">
        <f>C23+E23+G23+I23+K23+M23+O23+Q23+S23-T23-R23-P23-N23-L23-J23-H23-F23-D23</f>
        <v>0</v>
      </c>
    </row>
    <row r="24" spans="1:21" x14ac:dyDescent="0.3">
      <c r="A24" s="212" t="s">
        <v>140</v>
      </c>
      <c r="B24" s="77" t="s">
        <v>7</v>
      </c>
      <c r="C24" s="213"/>
      <c r="D24" s="101"/>
      <c r="E24" s="99"/>
      <c r="F24" s="101"/>
      <c r="G24" s="99"/>
      <c r="H24" s="101"/>
      <c r="I24" s="99"/>
      <c r="J24" s="101">
        <v>14424</v>
      </c>
      <c r="K24" s="99"/>
      <c r="L24" s="101"/>
      <c r="M24" s="99"/>
      <c r="N24" s="101"/>
      <c r="O24" s="99"/>
      <c r="P24" s="101"/>
      <c r="Q24" s="99"/>
      <c r="R24" s="101"/>
      <c r="S24" s="99">
        <v>14424</v>
      </c>
      <c r="T24" s="101"/>
      <c r="U24" s="100">
        <f>C24+E24+G24+I24+K24+M24+O24+Q24+S24-T24-R24-P24-N24-L24-J24-H24-F24-D24</f>
        <v>0</v>
      </c>
    </row>
    <row r="25" spans="1:21" x14ac:dyDescent="0.3">
      <c r="A25" s="212" t="s">
        <v>138</v>
      </c>
      <c r="B25" s="77" t="s">
        <v>154</v>
      </c>
      <c r="C25" s="213"/>
      <c r="D25" s="101"/>
      <c r="E25" s="99"/>
      <c r="F25" s="101"/>
      <c r="G25" s="99"/>
      <c r="H25" s="101"/>
      <c r="I25" s="99"/>
      <c r="J25" s="101"/>
      <c r="K25" s="99"/>
      <c r="L25" s="101"/>
      <c r="M25" s="99"/>
      <c r="N25" s="101">
        <v>12276</v>
      </c>
      <c r="O25" s="99"/>
      <c r="P25" s="101"/>
      <c r="Q25" s="99">
        <v>12276</v>
      </c>
      <c r="R25" s="101"/>
      <c r="S25" s="99"/>
      <c r="T25" s="101"/>
      <c r="U25" s="100">
        <f>C25+E25+G25+I25+K25+M25+O25+Q25+S25-T25-R25-P25-N25-L25-J25-H25-F25-D25</f>
        <v>0</v>
      </c>
    </row>
    <row r="26" spans="1:21" x14ac:dyDescent="0.3">
      <c r="A26" s="212" t="s">
        <v>140</v>
      </c>
      <c r="B26" s="77" t="s">
        <v>141</v>
      </c>
      <c r="C26" s="213"/>
      <c r="D26" s="101"/>
      <c r="E26" s="99"/>
      <c r="F26" s="101"/>
      <c r="G26" s="99"/>
      <c r="H26" s="101"/>
      <c r="I26" s="99"/>
      <c r="J26" s="101"/>
      <c r="K26" s="99"/>
      <c r="L26" s="101">
        <v>1731</v>
      </c>
      <c r="M26" s="99"/>
      <c r="N26" s="101"/>
      <c r="O26" s="99"/>
      <c r="P26" s="101"/>
      <c r="Q26" s="99"/>
      <c r="R26" s="101"/>
      <c r="S26" s="99">
        <v>1731</v>
      </c>
      <c r="T26" s="101"/>
      <c r="U26" s="100">
        <f>C26+E26+G26+I26+K26+M26+O26+Q26+S26-T26-R26-P26-N26-L26-J26-H26-F26-D26</f>
        <v>0</v>
      </c>
    </row>
    <row r="27" spans="1:21" x14ac:dyDescent="0.3">
      <c r="A27" s="214" t="s">
        <v>140</v>
      </c>
      <c r="B27" s="84" t="s">
        <v>142</v>
      </c>
      <c r="C27" s="215">
        <v>31713</v>
      </c>
      <c r="D27" s="104"/>
      <c r="E27" s="103"/>
      <c r="F27" s="104">
        <v>31713</v>
      </c>
      <c r="G27" s="103"/>
      <c r="H27" s="104"/>
      <c r="I27" s="103"/>
      <c r="J27" s="104"/>
      <c r="K27" s="103"/>
      <c r="L27" s="104"/>
      <c r="M27" s="103"/>
      <c r="N27" s="104"/>
      <c r="O27" s="103"/>
      <c r="P27" s="104"/>
      <c r="Q27" s="103"/>
      <c r="R27" s="104"/>
      <c r="S27" s="103"/>
      <c r="T27" s="104"/>
      <c r="U27" s="102">
        <f>C27+E27+G27+I27+K27+M27+O27+Q27+S27-T27-R27-P27-N27-L27-J27-H27-F27-D27</f>
        <v>0</v>
      </c>
    </row>
  </sheetData>
  <mergeCells count="18">
    <mergeCell ref="M21:N21"/>
    <mergeCell ref="O21:P21"/>
    <mergeCell ref="C20:D20"/>
    <mergeCell ref="E20:F20"/>
    <mergeCell ref="G20:H20"/>
    <mergeCell ref="I20:J20"/>
    <mergeCell ref="K20:L20"/>
    <mergeCell ref="M20:N20"/>
    <mergeCell ref="C21:D21"/>
    <mergeCell ref="E21:F21"/>
    <mergeCell ref="G21:H21"/>
    <mergeCell ref="I21:J21"/>
    <mergeCell ref="K21:L21"/>
    <mergeCell ref="Q21:R21"/>
    <mergeCell ref="S21:T21"/>
    <mergeCell ref="O20:P20"/>
    <mergeCell ref="Q20:R20"/>
    <mergeCell ref="S20:T20"/>
  </mergeCells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&amp;COppgave 9.5</oddHeader>
    <oddFooter>&amp;CSide &amp;P av &amp;N</oddFoot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showGridLines="0" showZeros="0" tabSelected="1" workbookViewId="0">
      <selection activeCell="F14" sqref="F14"/>
    </sheetView>
  </sheetViews>
  <sheetFormatPr baseColWidth="10" defaultColWidth="11.44140625" defaultRowHeight="15.6" x14ac:dyDescent="0.3"/>
  <cols>
    <col min="1" max="1" width="6.6640625" style="42" customWidth="1"/>
    <col min="2" max="2" width="14.109375" style="42" bestFit="1" customWidth="1"/>
    <col min="3" max="14" width="9.33203125" style="42" customWidth="1"/>
    <col min="15" max="15" width="8.88671875" style="81" customWidth="1"/>
    <col min="16" max="16384" width="11.44140625" style="42"/>
  </cols>
  <sheetData>
    <row r="1" spans="1:15" x14ac:dyDescent="0.3">
      <c r="A1" s="176" t="s">
        <v>195</v>
      </c>
      <c r="D1" s="176" t="s">
        <v>316</v>
      </c>
    </row>
    <row r="2" spans="1:15" x14ac:dyDescent="0.3">
      <c r="B2" s="176"/>
    </row>
    <row r="4" spans="1:15" x14ac:dyDescent="0.3">
      <c r="A4" s="52" t="s">
        <v>28</v>
      </c>
      <c r="B4" s="44" t="s">
        <v>3</v>
      </c>
      <c r="C4" s="340">
        <v>1920</v>
      </c>
      <c r="D4" s="340"/>
      <c r="E4" s="340">
        <v>2710</v>
      </c>
      <c r="F4" s="340"/>
      <c r="G4" s="340">
        <v>6860</v>
      </c>
      <c r="H4" s="340"/>
      <c r="I4" s="340">
        <v>7100</v>
      </c>
      <c r="J4" s="340"/>
      <c r="K4" s="340">
        <v>7140</v>
      </c>
      <c r="L4" s="340"/>
      <c r="M4" s="340">
        <v>7150</v>
      </c>
      <c r="N4" s="340"/>
      <c r="O4" s="245" t="s">
        <v>20</v>
      </c>
    </row>
    <row r="5" spans="1:15" x14ac:dyDescent="0.3">
      <c r="A5" s="57"/>
      <c r="B5" s="47"/>
      <c r="C5" s="342" t="s">
        <v>143</v>
      </c>
      <c r="D5" s="342"/>
      <c r="E5" s="342" t="s">
        <v>144</v>
      </c>
      <c r="F5" s="342"/>
      <c r="G5" s="342" t="s">
        <v>145</v>
      </c>
      <c r="H5" s="342"/>
      <c r="I5" s="342" t="s">
        <v>146</v>
      </c>
      <c r="J5" s="342"/>
      <c r="K5" s="342" t="s">
        <v>147</v>
      </c>
      <c r="L5" s="342"/>
      <c r="M5" s="342" t="s">
        <v>148</v>
      </c>
      <c r="N5" s="342"/>
      <c r="O5" s="246"/>
    </row>
    <row r="6" spans="1:15" x14ac:dyDescent="0.3">
      <c r="A6" s="54"/>
      <c r="B6" s="50"/>
      <c r="C6" s="53" t="s">
        <v>18</v>
      </c>
      <c r="D6" s="53" t="s">
        <v>19</v>
      </c>
      <c r="E6" s="53" t="s">
        <v>18</v>
      </c>
      <c r="F6" s="53" t="s">
        <v>19</v>
      </c>
      <c r="G6" s="53" t="s">
        <v>18</v>
      </c>
      <c r="H6" s="53" t="s">
        <v>19</v>
      </c>
      <c r="I6" s="53" t="s">
        <v>18</v>
      </c>
      <c r="J6" s="53" t="s">
        <v>19</v>
      </c>
      <c r="K6" s="53" t="s">
        <v>18</v>
      </c>
      <c r="L6" s="53" t="s">
        <v>19</v>
      </c>
      <c r="M6" s="53" t="s">
        <v>18</v>
      </c>
      <c r="N6" s="53" t="s">
        <v>19</v>
      </c>
      <c r="O6" s="247"/>
    </row>
    <row r="7" spans="1:15" x14ac:dyDescent="0.3">
      <c r="A7" s="54"/>
      <c r="B7" s="50" t="s">
        <v>149</v>
      </c>
      <c r="C7" s="62"/>
      <c r="D7" s="216">
        <v>13620</v>
      </c>
      <c r="E7" s="62">
        <v>160</v>
      </c>
      <c r="F7" s="216"/>
      <c r="G7" s="62">
        <v>9000</v>
      </c>
      <c r="H7" s="216"/>
      <c r="I7" s="62">
        <v>1260</v>
      </c>
      <c r="J7" s="216"/>
      <c r="K7" s="62">
        <v>2000</v>
      </c>
      <c r="L7" s="216"/>
      <c r="M7" s="62">
        <v>1200</v>
      </c>
      <c r="N7" s="216"/>
      <c r="O7" s="247">
        <f>C7+E7+G7+I7+K7+M7-D7-F7-H7-J7-L7-N7</f>
        <v>0</v>
      </c>
    </row>
    <row r="9" spans="1:15" x14ac:dyDescent="0.3">
      <c r="F9" s="81"/>
    </row>
    <row r="10" spans="1:15" x14ac:dyDescent="0.3">
      <c r="B10" s="42" t="s">
        <v>199</v>
      </c>
      <c r="F10" s="81">
        <f>360*3.5</f>
        <v>1260</v>
      </c>
    </row>
    <row r="11" spans="1:15" x14ac:dyDescent="0.3">
      <c r="B11" s="42" t="s">
        <v>196</v>
      </c>
      <c r="F11" s="81">
        <v>9000</v>
      </c>
    </row>
    <row r="12" spans="1:15" x14ac:dyDescent="0.3">
      <c r="B12" s="42" t="s">
        <v>197</v>
      </c>
      <c r="F12" s="81">
        <v>2160</v>
      </c>
    </row>
    <row r="13" spans="1:15" x14ac:dyDescent="0.3">
      <c r="B13" s="42" t="s">
        <v>315</v>
      </c>
      <c r="F13" s="81">
        <v>1200</v>
      </c>
    </row>
    <row r="14" spans="1:15" s="60" customFormat="1" ht="21" x14ac:dyDescent="0.4">
      <c r="A14" s="42"/>
      <c r="B14" s="42" t="s">
        <v>198</v>
      </c>
      <c r="C14" s="42"/>
      <c r="D14" s="42"/>
      <c r="E14" s="42"/>
      <c r="F14" s="171">
        <f>SUM(F10:F13)</f>
        <v>13620</v>
      </c>
      <c r="G14" s="42"/>
      <c r="H14" s="42"/>
      <c r="I14" s="42"/>
      <c r="J14" s="42"/>
      <c r="K14" s="42"/>
      <c r="L14" s="42"/>
      <c r="M14" s="42"/>
      <c r="N14" s="42"/>
      <c r="O14" s="81"/>
    </row>
    <row r="15" spans="1:15" x14ac:dyDescent="0.3">
      <c r="F15" s="81"/>
    </row>
    <row r="16" spans="1:15" x14ac:dyDescent="0.3">
      <c r="F16" s="81"/>
    </row>
    <row r="17" spans="6:6" x14ac:dyDescent="0.3">
      <c r="F17" s="81"/>
    </row>
    <row r="18" spans="6:6" x14ac:dyDescent="0.3">
      <c r="F18" s="81"/>
    </row>
    <row r="19" spans="6:6" x14ac:dyDescent="0.3">
      <c r="F19" s="81"/>
    </row>
    <row r="20" spans="6:6" x14ac:dyDescent="0.3">
      <c r="F20" s="81"/>
    </row>
    <row r="21" spans="6:6" x14ac:dyDescent="0.3">
      <c r="F21" s="81"/>
    </row>
    <row r="22" spans="6:6" x14ac:dyDescent="0.3">
      <c r="F22" s="81"/>
    </row>
    <row r="23" spans="6:6" x14ac:dyDescent="0.3">
      <c r="F23" s="81"/>
    </row>
  </sheetData>
  <mergeCells count="12">
    <mergeCell ref="M4:N4"/>
    <mergeCell ref="C5:D5"/>
    <mergeCell ref="E5:F5"/>
    <mergeCell ref="G5:H5"/>
    <mergeCell ref="I5:J5"/>
    <mergeCell ref="K5:L5"/>
    <mergeCell ref="M5:N5"/>
    <mergeCell ref="C4:D4"/>
    <mergeCell ref="E4:F4"/>
    <mergeCell ref="G4:H4"/>
    <mergeCell ref="I4:J4"/>
    <mergeCell ref="K4:L4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Header>&amp;COppgave 9.6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I30"/>
  <sheetViews>
    <sheetView showGridLines="0" showZeros="0" zoomScaleNormal="100" workbookViewId="0">
      <selection activeCell="R31" sqref="R31"/>
    </sheetView>
  </sheetViews>
  <sheetFormatPr baseColWidth="10" defaultColWidth="11.44140625" defaultRowHeight="15.6" x14ac:dyDescent="0.3"/>
  <cols>
    <col min="1" max="1" width="6" style="42" bestFit="1" customWidth="1"/>
    <col min="2" max="2" width="18.109375" style="42" customWidth="1"/>
    <col min="3" max="3" width="4.44140625" style="42" bestFit="1" customWidth="1"/>
    <col min="4" max="4" width="3.33203125" style="42" bestFit="1" customWidth="1"/>
    <col min="5" max="16" width="9.44140625" style="42" customWidth="1"/>
    <col min="17" max="17" width="3.33203125" style="42" bestFit="1" customWidth="1"/>
    <col min="18" max="31" width="9.6640625" style="42" customWidth="1"/>
    <col min="32" max="32" width="3.33203125" style="42" bestFit="1" customWidth="1"/>
    <col min="33" max="47" width="9.6640625" style="42" customWidth="1"/>
    <col min="48" max="48" width="2.33203125" style="42" customWidth="1"/>
    <col min="49" max="49" width="3.88671875" style="42" customWidth="1"/>
    <col min="50" max="50" width="3.6640625" style="42" customWidth="1"/>
    <col min="51" max="16384" width="11.44140625" style="42"/>
  </cols>
  <sheetData>
    <row r="1" spans="1:56" x14ac:dyDescent="0.3">
      <c r="A1" s="176" t="s">
        <v>200</v>
      </c>
      <c r="AC1" s="81"/>
      <c r="AP1" s="81"/>
    </row>
    <row r="2" spans="1:56" x14ac:dyDescent="0.3">
      <c r="A2" s="42" t="s">
        <v>0</v>
      </c>
    </row>
    <row r="3" spans="1:56" ht="15.75" customHeight="1" x14ac:dyDescent="0.3">
      <c r="A3" s="139"/>
      <c r="B3" s="140"/>
      <c r="C3" s="255"/>
      <c r="D3" s="321" t="s">
        <v>57</v>
      </c>
      <c r="E3" s="330">
        <v>1230</v>
      </c>
      <c r="F3" s="325"/>
      <c r="G3" s="324">
        <v>10002</v>
      </c>
      <c r="H3" s="325"/>
      <c r="I3" s="324">
        <v>1920</v>
      </c>
      <c r="J3" s="325"/>
      <c r="K3" s="324">
        <v>1950</v>
      </c>
      <c r="L3" s="325"/>
      <c r="M3" s="324">
        <v>2060</v>
      </c>
      <c r="N3" s="325"/>
      <c r="O3" s="324">
        <v>20009</v>
      </c>
      <c r="P3" s="325"/>
      <c r="Q3" s="333" t="s">
        <v>57</v>
      </c>
      <c r="R3" s="324">
        <v>20017</v>
      </c>
      <c r="S3" s="325"/>
      <c r="T3" s="324">
        <v>2600</v>
      </c>
      <c r="U3" s="325"/>
      <c r="V3" s="324" t="s">
        <v>58</v>
      </c>
      <c r="W3" s="325"/>
      <c r="X3" s="324" t="s">
        <v>59</v>
      </c>
      <c r="Y3" s="325"/>
      <c r="Z3" s="324" t="s">
        <v>60</v>
      </c>
      <c r="AA3" s="325"/>
      <c r="AB3" s="324" t="s">
        <v>24</v>
      </c>
      <c r="AC3" s="325"/>
      <c r="AD3" s="324" t="s">
        <v>26</v>
      </c>
      <c r="AE3" s="325"/>
      <c r="AF3" s="333" t="s">
        <v>57</v>
      </c>
      <c r="AG3" s="324">
        <v>2940</v>
      </c>
      <c r="AH3" s="325"/>
      <c r="AI3" s="324">
        <v>3000</v>
      </c>
      <c r="AJ3" s="325"/>
      <c r="AK3" s="324">
        <v>4300</v>
      </c>
      <c r="AL3" s="325"/>
      <c r="AM3" s="324">
        <v>5000</v>
      </c>
      <c r="AN3" s="325"/>
      <c r="AO3" s="324">
        <v>5100</v>
      </c>
      <c r="AP3" s="325"/>
      <c r="AQ3" s="324">
        <v>5400</v>
      </c>
      <c r="AR3" s="325"/>
      <c r="AS3" s="324">
        <v>6800</v>
      </c>
      <c r="AT3" s="325"/>
      <c r="AU3" s="52"/>
      <c r="AW3" s="42" t="s">
        <v>126</v>
      </c>
      <c r="AX3" s="256">
        <v>1</v>
      </c>
      <c r="AY3" s="42" t="s">
        <v>288</v>
      </c>
    </row>
    <row r="4" spans="1:56" x14ac:dyDescent="0.3">
      <c r="A4" s="141"/>
      <c r="B4" s="110"/>
      <c r="C4" s="253" t="s">
        <v>88</v>
      </c>
      <c r="D4" s="322"/>
      <c r="E4" s="329" t="s">
        <v>150</v>
      </c>
      <c r="F4" s="320"/>
      <c r="G4" s="319" t="s">
        <v>151</v>
      </c>
      <c r="H4" s="320"/>
      <c r="I4" s="319" t="s">
        <v>143</v>
      </c>
      <c r="J4" s="320"/>
      <c r="K4" s="319" t="s">
        <v>69</v>
      </c>
      <c r="L4" s="320"/>
      <c r="M4" s="319" t="s">
        <v>71</v>
      </c>
      <c r="N4" s="320"/>
      <c r="O4" s="319" t="s">
        <v>289</v>
      </c>
      <c r="P4" s="320"/>
      <c r="Q4" s="334"/>
      <c r="R4" s="319" t="s">
        <v>290</v>
      </c>
      <c r="S4" s="320"/>
      <c r="T4" s="319" t="s">
        <v>5</v>
      </c>
      <c r="U4" s="320"/>
      <c r="V4" s="319" t="s">
        <v>75</v>
      </c>
      <c r="W4" s="320"/>
      <c r="X4" s="319" t="s">
        <v>75</v>
      </c>
      <c r="Y4" s="320"/>
      <c r="Z4" s="319" t="s">
        <v>75</v>
      </c>
      <c r="AA4" s="320"/>
      <c r="AB4" s="319" t="s">
        <v>25</v>
      </c>
      <c r="AC4" s="320"/>
      <c r="AD4" s="319" t="s">
        <v>291</v>
      </c>
      <c r="AE4" s="320"/>
      <c r="AF4" s="334"/>
      <c r="AG4" s="319" t="s">
        <v>154</v>
      </c>
      <c r="AH4" s="320"/>
      <c r="AI4" s="319" t="s">
        <v>292</v>
      </c>
      <c r="AJ4" s="320"/>
      <c r="AK4" s="319" t="s">
        <v>78</v>
      </c>
      <c r="AL4" s="320"/>
      <c r="AM4" s="319" t="s">
        <v>79</v>
      </c>
      <c r="AN4" s="320"/>
      <c r="AO4" s="319" t="s">
        <v>31</v>
      </c>
      <c r="AP4" s="320"/>
      <c r="AQ4" s="319" t="s">
        <v>7</v>
      </c>
      <c r="AR4" s="320"/>
      <c r="AS4" s="319" t="s">
        <v>293</v>
      </c>
      <c r="AT4" s="320"/>
      <c r="AU4" s="57"/>
      <c r="AY4" s="42" t="s">
        <v>294</v>
      </c>
    </row>
    <row r="5" spans="1:56" x14ac:dyDescent="0.3">
      <c r="A5" s="217" t="s">
        <v>28</v>
      </c>
      <c r="B5" s="54" t="s">
        <v>3</v>
      </c>
      <c r="C5" s="254" t="s">
        <v>101</v>
      </c>
      <c r="D5" s="323"/>
      <c r="E5" s="252" t="s">
        <v>18</v>
      </c>
      <c r="F5" s="252" t="s">
        <v>19</v>
      </c>
      <c r="G5" s="252" t="s">
        <v>18</v>
      </c>
      <c r="H5" s="252" t="s">
        <v>19</v>
      </c>
      <c r="I5" s="252" t="s">
        <v>18</v>
      </c>
      <c r="J5" s="252" t="s">
        <v>19</v>
      </c>
      <c r="K5" s="252" t="s">
        <v>18</v>
      </c>
      <c r="L5" s="252" t="s">
        <v>19</v>
      </c>
      <c r="M5" s="252" t="s">
        <v>18</v>
      </c>
      <c r="N5" s="252" t="s">
        <v>19</v>
      </c>
      <c r="O5" s="252" t="s">
        <v>18</v>
      </c>
      <c r="P5" s="252" t="s">
        <v>19</v>
      </c>
      <c r="Q5" s="335"/>
      <c r="R5" s="252" t="s">
        <v>18</v>
      </c>
      <c r="S5" s="252" t="s">
        <v>19</v>
      </c>
      <c r="T5" s="252" t="s">
        <v>18</v>
      </c>
      <c r="U5" s="252" t="s">
        <v>19</v>
      </c>
      <c r="V5" s="252" t="s">
        <v>18</v>
      </c>
      <c r="W5" s="252" t="s">
        <v>19</v>
      </c>
      <c r="X5" s="252" t="s">
        <v>18</v>
      </c>
      <c r="Y5" s="252" t="s">
        <v>19</v>
      </c>
      <c r="Z5" s="252" t="s">
        <v>18</v>
      </c>
      <c r="AA5" s="252" t="s">
        <v>19</v>
      </c>
      <c r="AB5" s="252" t="s">
        <v>18</v>
      </c>
      <c r="AC5" s="252" t="s">
        <v>19</v>
      </c>
      <c r="AD5" s="252" t="s">
        <v>18</v>
      </c>
      <c r="AE5" s="252" t="s">
        <v>19</v>
      </c>
      <c r="AF5" s="335"/>
      <c r="AG5" s="252" t="s">
        <v>18</v>
      </c>
      <c r="AH5" s="252" t="s">
        <v>19</v>
      </c>
      <c r="AI5" s="252" t="s">
        <v>18</v>
      </c>
      <c r="AJ5" s="252" t="s">
        <v>19</v>
      </c>
      <c r="AK5" s="252" t="s">
        <v>18</v>
      </c>
      <c r="AL5" s="252" t="s">
        <v>19</v>
      </c>
      <c r="AM5" s="252" t="s">
        <v>18</v>
      </c>
      <c r="AN5" s="252" t="s">
        <v>19</v>
      </c>
      <c r="AO5" s="252" t="s">
        <v>18</v>
      </c>
      <c r="AP5" s="252" t="s">
        <v>19</v>
      </c>
      <c r="AQ5" s="252" t="s">
        <v>18</v>
      </c>
      <c r="AR5" s="252" t="s">
        <v>19</v>
      </c>
      <c r="AS5" s="252" t="s">
        <v>18</v>
      </c>
      <c r="AT5" s="252" t="s">
        <v>19</v>
      </c>
      <c r="AU5" s="253" t="s">
        <v>20</v>
      </c>
    </row>
    <row r="6" spans="1:56" x14ac:dyDescent="0.3">
      <c r="A6" s="218">
        <v>39872</v>
      </c>
      <c r="B6" s="219" t="s">
        <v>262</v>
      </c>
      <c r="C6" s="220"/>
      <c r="D6" s="117">
        <v>1</v>
      </c>
      <c r="E6" s="145"/>
      <c r="F6" s="146"/>
      <c r="G6" s="145">
        <v>42000</v>
      </c>
      <c r="H6" s="146">
        <v>20000</v>
      </c>
      <c r="I6" s="145">
        <v>826500</v>
      </c>
      <c r="J6" s="146">
        <v>431500</v>
      </c>
      <c r="K6" s="145">
        <v>71000</v>
      </c>
      <c r="L6" s="146">
        <v>43000</v>
      </c>
      <c r="M6" s="145">
        <v>22000</v>
      </c>
      <c r="N6" s="146"/>
      <c r="O6" s="145"/>
      <c r="P6" s="146"/>
      <c r="Q6" s="118">
        <v>1</v>
      </c>
      <c r="R6" s="145"/>
      <c r="S6" s="146">
        <v>25000</v>
      </c>
      <c r="T6" s="145">
        <v>43000</v>
      </c>
      <c r="U6" s="146">
        <v>71000</v>
      </c>
      <c r="V6" s="145">
        <v>750</v>
      </c>
      <c r="W6" s="146">
        <v>154500</v>
      </c>
      <c r="X6" s="145">
        <v>110400</v>
      </c>
      <c r="Y6" s="146">
        <v>1100</v>
      </c>
      <c r="Z6" s="145">
        <v>106000</v>
      </c>
      <c r="AA6" s="146">
        <v>106000</v>
      </c>
      <c r="AB6" s="145">
        <v>22500</v>
      </c>
      <c r="AC6" s="146">
        <v>34344</v>
      </c>
      <c r="AD6" s="145"/>
      <c r="AE6" s="146">
        <v>14685</v>
      </c>
      <c r="AF6" s="118">
        <v>1</v>
      </c>
      <c r="AG6" s="145"/>
      <c r="AH6" s="146">
        <v>104160</v>
      </c>
      <c r="AI6" s="145">
        <v>3000</v>
      </c>
      <c r="AJ6" s="146">
        <v>618000</v>
      </c>
      <c r="AK6" s="145">
        <v>403000</v>
      </c>
      <c r="AL6" s="146">
        <v>1400</v>
      </c>
      <c r="AM6" s="145">
        <v>80000</v>
      </c>
      <c r="AN6" s="146"/>
      <c r="AO6" s="145">
        <v>8160</v>
      </c>
      <c r="AP6" s="146"/>
      <c r="AQ6" s="145">
        <v>12995</v>
      </c>
      <c r="AR6" s="146"/>
      <c r="AS6" s="145">
        <v>2000</v>
      </c>
      <c r="AT6" s="146"/>
      <c r="AU6" s="145"/>
      <c r="AX6" s="256">
        <v>2</v>
      </c>
      <c r="AY6" s="42" t="s">
        <v>295</v>
      </c>
    </row>
    <row r="7" spans="1:56" x14ac:dyDescent="0.3">
      <c r="A7" s="221">
        <v>43516</v>
      </c>
      <c r="B7" s="222" t="s">
        <v>79</v>
      </c>
      <c r="C7" s="223">
        <v>202</v>
      </c>
      <c r="D7" s="124">
        <v>2</v>
      </c>
      <c r="E7" s="149"/>
      <c r="F7" s="150"/>
      <c r="G7" s="149"/>
      <c r="H7" s="150"/>
      <c r="I7" s="149"/>
      <c r="J7" s="150">
        <v>56000</v>
      </c>
      <c r="K7" s="149"/>
      <c r="L7" s="150"/>
      <c r="M7" s="149"/>
      <c r="N7" s="150"/>
      <c r="O7" s="149"/>
      <c r="P7" s="150"/>
      <c r="Q7" s="125">
        <v>2</v>
      </c>
      <c r="R7" s="149"/>
      <c r="S7" s="150"/>
      <c r="T7" s="149"/>
      <c r="U7" s="150">
        <v>26000</v>
      </c>
      <c r="V7" s="149"/>
      <c r="W7" s="150"/>
      <c r="X7" s="149"/>
      <c r="Y7" s="150"/>
      <c r="Z7" s="149"/>
      <c r="AA7" s="150"/>
      <c r="AB7" s="149"/>
      <c r="AC7" s="150"/>
      <c r="AD7" s="149"/>
      <c r="AE7" s="150"/>
      <c r="AF7" s="125">
        <v>2</v>
      </c>
      <c r="AG7" s="149"/>
      <c r="AH7" s="150"/>
      <c r="AI7" s="149"/>
      <c r="AJ7" s="150"/>
      <c r="AK7" s="149"/>
      <c r="AL7" s="150"/>
      <c r="AM7" s="149">
        <v>82000</v>
      </c>
      <c r="AN7" s="150"/>
      <c r="AO7" s="149"/>
      <c r="AP7" s="150"/>
      <c r="AQ7" s="149"/>
      <c r="AR7" s="150"/>
      <c r="AS7" s="149"/>
      <c r="AT7" s="150"/>
      <c r="AU7" s="149">
        <f t="shared" ref="AU7:AU23" si="0">E7+G7+I7+K7+M7+O7+R7+T7+V7+X7+Z7+AB7+AD7+AG7+AI7+AK7+AM7+AO7+AQ7+AS7-F7-H7-J7-L7-N7-P7-S7-U7-W7-Y7-AA7-AC7-AE7-AH7-AJ7-AL7-AN7-AP7-AR7-AT7</f>
        <v>0</v>
      </c>
      <c r="AY7" s="50"/>
      <c r="AZ7" s="50"/>
      <c r="BA7" s="50"/>
      <c r="BB7" s="50"/>
      <c r="BC7" s="50"/>
      <c r="BD7" s="50"/>
    </row>
    <row r="8" spans="1:56" x14ac:dyDescent="0.3">
      <c r="A8" s="221">
        <v>43516</v>
      </c>
      <c r="B8" s="222" t="s">
        <v>7</v>
      </c>
      <c r="C8" s="223">
        <v>203</v>
      </c>
      <c r="D8" s="124">
        <v>3</v>
      </c>
      <c r="E8" s="149"/>
      <c r="F8" s="150"/>
      <c r="G8" s="149"/>
      <c r="H8" s="150"/>
      <c r="I8" s="149"/>
      <c r="J8" s="150"/>
      <c r="K8" s="149"/>
      <c r="L8" s="150"/>
      <c r="M8" s="149"/>
      <c r="N8" s="150"/>
      <c r="O8" s="149"/>
      <c r="P8" s="150"/>
      <c r="Q8" s="125">
        <v>3</v>
      </c>
      <c r="R8" s="149"/>
      <c r="S8" s="150"/>
      <c r="T8" s="149"/>
      <c r="U8" s="150"/>
      <c r="V8" s="149"/>
      <c r="W8" s="150"/>
      <c r="X8" s="149"/>
      <c r="Y8" s="150"/>
      <c r="Z8" s="149"/>
      <c r="AA8" s="150"/>
      <c r="AB8" s="149"/>
      <c r="AC8" s="150">
        <v>11562</v>
      </c>
      <c r="AD8" s="149"/>
      <c r="AE8" s="150"/>
      <c r="AF8" s="125">
        <v>3</v>
      </c>
      <c r="AG8" s="149"/>
      <c r="AH8" s="150"/>
      <c r="AI8" s="149"/>
      <c r="AJ8" s="150"/>
      <c r="AK8" s="149"/>
      <c r="AL8" s="150"/>
      <c r="AM8" s="149"/>
      <c r="AN8" s="150"/>
      <c r="AO8" s="149"/>
      <c r="AP8" s="150"/>
      <c r="AQ8" s="149">
        <v>11562</v>
      </c>
      <c r="AR8" s="150"/>
      <c r="AS8" s="149"/>
      <c r="AT8" s="150"/>
      <c r="AU8" s="149">
        <f t="shared" si="0"/>
        <v>0</v>
      </c>
      <c r="AY8" s="42" t="s">
        <v>296</v>
      </c>
      <c r="BA8" s="81">
        <v>22500</v>
      </c>
      <c r="BB8" s="46" t="s">
        <v>297</v>
      </c>
      <c r="BD8" s="81">
        <v>22500</v>
      </c>
    </row>
    <row r="9" spans="1:56" x14ac:dyDescent="0.3">
      <c r="A9" s="221">
        <v>43516</v>
      </c>
      <c r="B9" s="222" t="s">
        <v>31</v>
      </c>
      <c r="C9" s="223">
        <v>204</v>
      </c>
      <c r="D9" s="124">
        <v>4</v>
      </c>
      <c r="E9" s="149"/>
      <c r="F9" s="150"/>
      <c r="G9" s="149"/>
      <c r="H9" s="150"/>
      <c r="I9" s="149"/>
      <c r="J9" s="150"/>
      <c r="K9" s="149"/>
      <c r="L9" s="150"/>
      <c r="M9" s="149"/>
      <c r="N9" s="150"/>
      <c r="O9" s="149"/>
      <c r="P9" s="150"/>
      <c r="Q9" s="125">
        <v>4</v>
      </c>
      <c r="R9" s="149"/>
      <c r="S9" s="150"/>
      <c r="T9" s="149"/>
      <c r="U9" s="150"/>
      <c r="V9" s="149"/>
      <c r="W9" s="150"/>
      <c r="X9" s="149"/>
      <c r="Y9" s="150"/>
      <c r="Z9" s="149"/>
      <c r="AA9" s="150"/>
      <c r="AB9" s="149"/>
      <c r="AC9" s="150"/>
      <c r="AD9" s="149"/>
      <c r="AE9" s="150"/>
      <c r="AF9" s="125">
        <v>4</v>
      </c>
      <c r="AG9" s="149"/>
      <c r="AH9" s="150">
        <v>8364</v>
      </c>
      <c r="AI9" s="149"/>
      <c r="AJ9" s="150"/>
      <c r="AK9" s="149"/>
      <c r="AL9" s="150"/>
      <c r="AM9" s="149"/>
      <c r="AN9" s="150"/>
      <c r="AO9" s="149">
        <v>8364</v>
      </c>
      <c r="AP9" s="150"/>
      <c r="AQ9" s="149"/>
      <c r="AR9" s="150"/>
      <c r="AS9" s="149"/>
      <c r="AT9" s="150"/>
      <c r="AU9" s="149">
        <f t="shared" si="0"/>
        <v>0</v>
      </c>
      <c r="BA9" s="81"/>
      <c r="BB9" s="46" t="s">
        <v>298</v>
      </c>
      <c r="BD9" s="81">
        <f>AC6-AB6</f>
        <v>11844</v>
      </c>
    </row>
    <row r="10" spans="1:56" x14ac:dyDescent="0.3">
      <c r="A10" s="221">
        <v>43516</v>
      </c>
      <c r="B10" s="222" t="s">
        <v>201</v>
      </c>
      <c r="C10" s="223">
        <v>205</v>
      </c>
      <c r="D10" s="124">
        <v>5</v>
      </c>
      <c r="E10" s="149"/>
      <c r="F10" s="150"/>
      <c r="G10" s="149"/>
      <c r="H10" s="150"/>
      <c r="I10" s="149"/>
      <c r="J10" s="150"/>
      <c r="K10" s="149"/>
      <c r="L10" s="150"/>
      <c r="M10" s="149"/>
      <c r="N10" s="150"/>
      <c r="O10" s="149"/>
      <c r="P10" s="150"/>
      <c r="Q10" s="125">
        <v>5</v>
      </c>
      <c r="R10" s="149"/>
      <c r="S10" s="150"/>
      <c r="T10" s="149"/>
      <c r="U10" s="150"/>
      <c r="V10" s="149"/>
      <c r="W10" s="150"/>
      <c r="X10" s="149"/>
      <c r="Y10" s="150"/>
      <c r="Z10" s="149"/>
      <c r="AA10" s="150"/>
      <c r="AB10" s="149"/>
      <c r="AC10" s="150"/>
      <c r="AD10" s="149"/>
      <c r="AE10" s="150">
        <v>1179</v>
      </c>
      <c r="AF10" s="125">
        <v>5</v>
      </c>
      <c r="AG10" s="149"/>
      <c r="AH10" s="150"/>
      <c r="AI10" s="149"/>
      <c r="AJ10" s="150"/>
      <c r="AK10" s="149"/>
      <c r="AL10" s="150"/>
      <c r="AM10" s="149"/>
      <c r="AN10" s="150"/>
      <c r="AO10" s="149"/>
      <c r="AP10" s="150"/>
      <c r="AQ10" s="149">
        <v>1179</v>
      </c>
      <c r="AR10" s="150"/>
      <c r="AS10" s="149"/>
      <c r="AT10" s="150"/>
      <c r="AU10" s="149">
        <f t="shared" si="0"/>
        <v>0</v>
      </c>
      <c r="BA10" s="81"/>
      <c r="BB10" s="46"/>
      <c r="BD10" s="81"/>
    </row>
    <row r="11" spans="1:56" x14ac:dyDescent="0.3">
      <c r="A11" s="221">
        <v>43516</v>
      </c>
      <c r="B11" s="222" t="s">
        <v>202</v>
      </c>
      <c r="C11" s="223">
        <v>206</v>
      </c>
      <c r="D11" s="124">
        <v>6</v>
      </c>
      <c r="E11" s="149"/>
      <c r="F11" s="150"/>
      <c r="G11" s="149"/>
      <c r="H11" s="150"/>
      <c r="I11" s="149"/>
      <c r="J11" s="150">
        <v>24000</v>
      </c>
      <c r="K11" s="149"/>
      <c r="L11" s="150"/>
      <c r="M11" s="149"/>
      <c r="N11" s="150"/>
      <c r="O11" s="149"/>
      <c r="P11" s="150"/>
      <c r="Q11" s="125">
        <v>6</v>
      </c>
      <c r="R11" s="149"/>
      <c r="S11" s="150"/>
      <c r="T11" s="149"/>
      <c r="U11" s="150">
        <v>1000</v>
      </c>
      <c r="V11" s="149"/>
      <c r="W11" s="150"/>
      <c r="X11" s="149"/>
      <c r="Y11" s="150"/>
      <c r="Z11" s="149"/>
      <c r="AA11" s="150"/>
      <c r="AB11" s="149"/>
      <c r="AC11" s="150"/>
      <c r="AD11" s="149"/>
      <c r="AE11" s="150"/>
      <c r="AF11" s="125">
        <v>6</v>
      </c>
      <c r="AG11" s="149">
        <v>25000</v>
      </c>
      <c r="AH11" s="150"/>
      <c r="AI11" s="149"/>
      <c r="AJ11" s="150"/>
      <c r="AK11" s="149"/>
      <c r="AL11" s="150"/>
      <c r="AM11" s="149"/>
      <c r="AN11" s="150"/>
      <c r="AO11" s="149"/>
      <c r="AP11" s="150"/>
      <c r="AQ11" s="149"/>
      <c r="AR11" s="150"/>
      <c r="AS11" s="149"/>
      <c r="AT11" s="150"/>
      <c r="AU11" s="149">
        <f t="shared" si="0"/>
        <v>0</v>
      </c>
      <c r="BA11" s="81"/>
      <c r="BB11" s="47"/>
      <c r="BD11" s="81"/>
    </row>
    <row r="12" spans="1:56" x14ac:dyDescent="0.3">
      <c r="A12" s="221">
        <v>43516</v>
      </c>
      <c r="B12" s="222" t="s">
        <v>203</v>
      </c>
      <c r="C12" s="223">
        <v>207</v>
      </c>
      <c r="D12" s="124">
        <v>7</v>
      </c>
      <c r="E12" s="149"/>
      <c r="F12" s="150"/>
      <c r="G12" s="149"/>
      <c r="H12" s="150"/>
      <c r="I12" s="149"/>
      <c r="J12" s="150"/>
      <c r="K12" s="149"/>
      <c r="L12" s="150"/>
      <c r="M12" s="149"/>
      <c r="N12" s="150"/>
      <c r="O12" s="149"/>
      <c r="P12" s="150"/>
      <c r="Q12" s="125">
        <v>7</v>
      </c>
      <c r="R12" s="149"/>
      <c r="S12" s="150"/>
      <c r="T12" s="149"/>
      <c r="U12" s="150"/>
      <c r="V12" s="149"/>
      <c r="W12" s="150"/>
      <c r="X12" s="149"/>
      <c r="Y12" s="150"/>
      <c r="Z12" s="149"/>
      <c r="AA12" s="150"/>
      <c r="AB12" s="149"/>
      <c r="AC12" s="150">
        <v>3525</v>
      </c>
      <c r="AD12" s="149">
        <v>3525</v>
      </c>
      <c r="AE12" s="150"/>
      <c r="AF12" s="125">
        <v>7</v>
      </c>
      <c r="AG12" s="149"/>
      <c r="AH12" s="150"/>
      <c r="AI12" s="149"/>
      <c r="AJ12" s="150"/>
      <c r="AK12" s="149"/>
      <c r="AL12" s="150"/>
      <c r="AM12" s="149"/>
      <c r="AN12" s="150"/>
      <c r="AO12" s="149"/>
      <c r="AP12" s="150"/>
      <c r="AQ12" s="149"/>
      <c r="AR12" s="150"/>
      <c r="AS12" s="149"/>
      <c r="AT12" s="150"/>
      <c r="AU12" s="149">
        <f t="shared" si="0"/>
        <v>0</v>
      </c>
      <c r="AY12" s="42" t="s">
        <v>299</v>
      </c>
    </row>
    <row r="13" spans="1:56" x14ac:dyDescent="0.3">
      <c r="A13" s="221">
        <v>43516</v>
      </c>
      <c r="B13" s="222" t="s">
        <v>204</v>
      </c>
      <c r="C13" s="223">
        <v>208</v>
      </c>
      <c r="D13" s="124">
        <v>8</v>
      </c>
      <c r="E13" s="149"/>
      <c r="F13" s="150"/>
      <c r="G13" s="149"/>
      <c r="H13" s="150"/>
      <c r="I13" s="149"/>
      <c r="J13" s="150">
        <v>27000</v>
      </c>
      <c r="K13" s="149">
        <v>27000</v>
      </c>
      <c r="L13" s="150"/>
      <c r="M13" s="149"/>
      <c r="N13" s="150"/>
      <c r="O13" s="149"/>
      <c r="P13" s="150"/>
      <c r="Q13" s="125">
        <v>8</v>
      </c>
      <c r="R13" s="149"/>
      <c r="S13" s="150"/>
      <c r="T13" s="149"/>
      <c r="U13" s="150"/>
      <c r="V13" s="149"/>
      <c r="W13" s="150"/>
      <c r="X13" s="149"/>
      <c r="Y13" s="150"/>
      <c r="Z13" s="149"/>
      <c r="AA13" s="150"/>
      <c r="AB13" s="149"/>
      <c r="AC13" s="150"/>
      <c r="AD13" s="149"/>
      <c r="AE13" s="150"/>
      <c r="AF13" s="125">
        <v>8</v>
      </c>
      <c r="AG13" s="149"/>
      <c r="AH13" s="150"/>
      <c r="AI13" s="149"/>
      <c r="AJ13" s="150"/>
      <c r="AK13" s="149"/>
      <c r="AL13" s="150"/>
      <c r="AM13" s="149"/>
      <c r="AN13" s="150"/>
      <c r="AO13" s="149"/>
      <c r="AP13" s="150"/>
      <c r="AQ13" s="149"/>
      <c r="AR13" s="150"/>
      <c r="AS13" s="149"/>
      <c r="AT13" s="150"/>
      <c r="AU13" s="149">
        <f t="shared" si="0"/>
        <v>0</v>
      </c>
      <c r="AY13" s="42" t="s">
        <v>300</v>
      </c>
    </row>
    <row r="14" spans="1:56" x14ac:dyDescent="0.3">
      <c r="A14" s="221">
        <v>43517</v>
      </c>
      <c r="B14" s="222" t="s">
        <v>205</v>
      </c>
      <c r="C14" s="223">
        <v>209</v>
      </c>
      <c r="D14" s="124">
        <v>9</v>
      </c>
      <c r="E14" s="149"/>
      <c r="F14" s="150"/>
      <c r="G14" s="149"/>
      <c r="H14" s="150"/>
      <c r="I14" s="149"/>
      <c r="J14" s="150">
        <v>1875</v>
      </c>
      <c r="K14" s="149"/>
      <c r="L14" s="150"/>
      <c r="M14" s="149">
        <v>1875</v>
      </c>
      <c r="N14" s="150"/>
      <c r="O14" s="149"/>
      <c r="P14" s="150"/>
      <c r="Q14" s="125">
        <v>9</v>
      </c>
      <c r="R14" s="149"/>
      <c r="S14" s="150"/>
      <c r="T14" s="149"/>
      <c r="U14" s="150"/>
      <c r="V14" s="149"/>
      <c r="W14" s="150"/>
      <c r="X14" s="149"/>
      <c r="Y14" s="150"/>
      <c r="Z14" s="149"/>
      <c r="AA14" s="150"/>
      <c r="AB14" s="149"/>
      <c r="AC14" s="150"/>
      <c r="AD14" s="149"/>
      <c r="AE14" s="150"/>
      <c r="AF14" s="125">
        <v>9</v>
      </c>
      <c r="AG14" s="149"/>
      <c r="AH14" s="150"/>
      <c r="AI14" s="149"/>
      <c r="AJ14" s="150"/>
      <c r="AK14" s="149"/>
      <c r="AL14" s="150"/>
      <c r="AM14" s="149"/>
      <c r="AN14" s="150"/>
      <c r="AO14" s="149"/>
      <c r="AP14" s="150"/>
      <c r="AQ14" s="149"/>
      <c r="AR14" s="150"/>
      <c r="AS14" s="149"/>
      <c r="AT14" s="150"/>
      <c r="AU14" s="149">
        <f t="shared" si="0"/>
        <v>0</v>
      </c>
      <c r="AY14" s="42" t="s">
        <v>301</v>
      </c>
    </row>
    <row r="15" spans="1:56" x14ac:dyDescent="0.3">
      <c r="A15" s="221">
        <v>43519</v>
      </c>
      <c r="B15" s="222" t="s">
        <v>206</v>
      </c>
      <c r="C15" s="223">
        <v>210</v>
      </c>
      <c r="D15" s="124">
        <v>10</v>
      </c>
      <c r="E15" s="149"/>
      <c r="F15" s="150"/>
      <c r="G15" s="149"/>
      <c r="H15" s="150">
        <v>21560</v>
      </c>
      <c r="I15" s="149">
        <v>21560</v>
      </c>
      <c r="J15" s="150"/>
      <c r="K15" s="149"/>
      <c r="L15" s="150"/>
      <c r="M15" s="149"/>
      <c r="N15" s="150"/>
      <c r="O15" s="149"/>
      <c r="P15" s="150"/>
      <c r="Q15" s="125">
        <v>10</v>
      </c>
      <c r="R15" s="149"/>
      <c r="S15" s="150"/>
      <c r="T15" s="149"/>
      <c r="U15" s="150"/>
      <c r="V15" s="149"/>
      <c r="W15" s="150"/>
      <c r="X15" s="149"/>
      <c r="Y15" s="150"/>
      <c r="Z15" s="149"/>
      <c r="AA15" s="150"/>
      <c r="AB15" s="149"/>
      <c r="AC15" s="150"/>
      <c r="AD15" s="149"/>
      <c r="AE15" s="150"/>
      <c r="AF15" s="125">
        <v>10</v>
      </c>
      <c r="AG15" s="149"/>
      <c r="AH15" s="150"/>
      <c r="AI15" s="149"/>
      <c r="AJ15" s="150"/>
      <c r="AK15" s="149"/>
      <c r="AL15" s="150"/>
      <c r="AM15" s="149"/>
      <c r="AN15" s="150"/>
      <c r="AO15" s="149"/>
      <c r="AP15" s="150"/>
      <c r="AQ15" s="149"/>
      <c r="AR15" s="150"/>
      <c r="AS15" s="149"/>
      <c r="AT15" s="150"/>
      <c r="AU15" s="149">
        <f t="shared" si="0"/>
        <v>0</v>
      </c>
    </row>
    <row r="16" spans="1:56" x14ac:dyDescent="0.3">
      <c r="A16" s="221">
        <v>43519</v>
      </c>
      <c r="B16" s="222" t="s">
        <v>207</v>
      </c>
      <c r="C16" s="223">
        <v>211</v>
      </c>
      <c r="D16" s="124">
        <v>11</v>
      </c>
      <c r="E16" s="149"/>
      <c r="F16" s="150"/>
      <c r="G16" s="149"/>
      <c r="H16" s="150">
        <v>440</v>
      </c>
      <c r="I16" s="149"/>
      <c r="J16" s="150"/>
      <c r="K16" s="149"/>
      <c r="L16" s="150"/>
      <c r="M16" s="149"/>
      <c r="N16" s="150"/>
      <c r="O16" s="149"/>
      <c r="P16" s="150"/>
      <c r="Q16" s="125">
        <v>11</v>
      </c>
      <c r="R16" s="149"/>
      <c r="S16" s="150"/>
      <c r="T16" s="149"/>
      <c r="U16" s="150"/>
      <c r="V16" s="149">
        <v>88</v>
      </c>
      <c r="W16" s="150"/>
      <c r="X16" s="149"/>
      <c r="Y16" s="150"/>
      <c r="Z16" s="149"/>
      <c r="AA16" s="150"/>
      <c r="AB16" s="149"/>
      <c r="AC16" s="150"/>
      <c r="AD16" s="149"/>
      <c r="AE16" s="150"/>
      <c r="AF16" s="125">
        <v>11</v>
      </c>
      <c r="AG16" s="149"/>
      <c r="AH16" s="150"/>
      <c r="AI16" s="149">
        <f>440-88</f>
        <v>352</v>
      </c>
      <c r="AJ16" s="150"/>
      <c r="AK16" s="149"/>
      <c r="AL16" s="150"/>
      <c r="AM16" s="149"/>
      <c r="AN16" s="150"/>
      <c r="AO16" s="149"/>
      <c r="AP16" s="150"/>
      <c r="AQ16" s="149"/>
      <c r="AR16" s="150"/>
      <c r="AS16" s="149"/>
      <c r="AT16" s="150"/>
      <c r="AU16" s="149">
        <f t="shared" si="0"/>
        <v>0</v>
      </c>
      <c r="AX16" s="256">
        <v>3</v>
      </c>
      <c r="AY16" s="257" t="s">
        <v>302</v>
      </c>
    </row>
    <row r="17" spans="1:61" x14ac:dyDescent="0.3">
      <c r="A17" s="221">
        <v>43520</v>
      </c>
      <c r="B17" s="222" t="s">
        <v>150</v>
      </c>
      <c r="C17" s="223">
        <v>212</v>
      </c>
      <c r="D17" s="124">
        <v>12</v>
      </c>
      <c r="E17" s="149">
        <v>230000</v>
      </c>
      <c r="F17" s="150"/>
      <c r="G17" s="149"/>
      <c r="H17" s="150"/>
      <c r="I17" s="149"/>
      <c r="J17" s="150"/>
      <c r="K17" s="149"/>
      <c r="L17" s="150"/>
      <c r="M17" s="149"/>
      <c r="N17" s="150"/>
      <c r="O17" s="149"/>
      <c r="P17" s="150">
        <v>282000</v>
      </c>
      <c r="Q17" s="125">
        <v>12</v>
      </c>
      <c r="R17" s="149"/>
      <c r="S17" s="150"/>
      <c r="T17" s="149"/>
      <c r="U17" s="150"/>
      <c r="V17" s="149"/>
      <c r="W17" s="150"/>
      <c r="X17" s="149">
        <v>52000</v>
      </c>
      <c r="Y17" s="150"/>
      <c r="Z17" s="149"/>
      <c r="AA17" s="150"/>
      <c r="AB17" s="149"/>
      <c r="AC17" s="150"/>
      <c r="AD17" s="149"/>
      <c r="AE17" s="150"/>
      <c r="AF17" s="125">
        <v>12</v>
      </c>
      <c r="AG17" s="149"/>
      <c r="AH17" s="150"/>
      <c r="AI17" s="149"/>
      <c r="AJ17" s="150"/>
      <c r="AK17" s="149"/>
      <c r="AL17" s="150"/>
      <c r="AM17" s="149"/>
      <c r="AN17" s="150"/>
      <c r="AO17" s="149"/>
      <c r="AP17" s="150"/>
      <c r="AQ17" s="149"/>
      <c r="AR17" s="150"/>
      <c r="AS17" s="149"/>
      <c r="AT17" s="150"/>
      <c r="AU17" s="149">
        <f t="shared" si="0"/>
        <v>0</v>
      </c>
      <c r="AY17" s="42" t="s">
        <v>303</v>
      </c>
    </row>
    <row r="18" spans="1:61" x14ac:dyDescent="0.3">
      <c r="A18" s="221">
        <v>43520</v>
      </c>
      <c r="B18" s="222" t="s">
        <v>208</v>
      </c>
      <c r="C18" s="223">
        <v>213</v>
      </c>
      <c r="D18" s="124">
        <v>13</v>
      </c>
      <c r="E18" s="149"/>
      <c r="F18" s="150"/>
      <c r="G18" s="149"/>
      <c r="H18" s="150"/>
      <c r="I18" s="149"/>
      <c r="J18" s="150"/>
      <c r="K18" s="149"/>
      <c r="L18" s="150"/>
      <c r="M18" s="149"/>
      <c r="N18" s="150"/>
      <c r="O18" s="149"/>
      <c r="P18" s="150"/>
      <c r="Q18" s="125">
        <v>13</v>
      </c>
      <c r="R18" s="149">
        <v>2000</v>
      </c>
      <c r="S18" s="150"/>
      <c r="T18" s="149"/>
      <c r="U18" s="150"/>
      <c r="V18" s="149"/>
      <c r="W18" s="150"/>
      <c r="X18" s="149"/>
      <c r="Y18" s="150">
        <v>400</v>
      </c>
      <c r="Z18" s="149"/>
      <c r="AA18" s="150"/>
      <c r="AB18" s="149"/>
      <c r="AC18" s="150"/>
      <c r="AD18" s="149"/>
      <c r="AE18" s="150"/>
      <c r="AF18" s="125">
        <v>13</v>
      </c>
      <c r="AG18" s="149"/>
      <c r="AH18" s="150"/>
      <c r="AI18" s="149"/>
      <c r="AJ18" s="150"/>
      <c r="AK18" s="149"/>
      <c r="AL18" s="150">
        <v>1600</v>
      </c>
      <c r="AM18" s="149"/>
      <c r="AN18" s="150"/>
      <c r="AO18" s="149"/>
      <c r="AP18" s="150"/>
      <c r="AQ18" s="149"/>
      <c r="AR18" s="150"/>
      <c r="AS18" s="149"/>
      <c r="AT18" s="150"/>
      <c r="AU18" s="149">
        <f t="shared" si="0"/>
        <v>0</v>
      </c>
      <c r="AY18" s="42" t="s">
        <v>304</v>
      </c>
    </row>
    <row r="19" spans="1:61" x14ac:dyDescent="0.3">
      <c r="A19" s="221">
        <v>43524</v>
      </c>
      <c r="B19" s="222" t="s">
        <v>206</v>
      </c>
      <c r="C19" s="223">
        <v>214</v>
      </c>
      <c r="D19" s="124">
        <v>14</v>
      </c>
      <c r="E19" s="149"/>
      <c r="F19" s="150"/>
      <c r="G19" s="149"/>
      <c r="H19" s="150"/>
      <c r="I19" s="149"/>
      <c r="J19" s="150">
        <v>22540</v>
      </c>
      <c r="K19" s="149"/>
      <c r="L19" s="150"/>
      <c r="M19" s="149"/>
      <c r="N19" s="150"/>
      <c r="O19" s="149"/>
      <c r="P19" s="150"/>
      <c r="Q19" s="125">
        <v>14</v>
      </c>
      <c r="R19" s="149">
        <v>22540</v>
      </c>
      <c r="S19" s="150"/>
      <c r="T19" s="149"/>
      <c r="U19" s="150"/>
      <c r="V19" s="149"/>
      <c r="W19" s="150"/>
      <c r="X19" s="149"/>
      <c r="Y19" s="150"/>
      <c r="Z19" s="149"/>
      <c r="AA19" s="150"/>
      <c r="AB19" s="149"/>
      <c r="AC19" s="150"/>
      <c r="AD19" s="149"/>
      <c r="AE19" s="150"/>
      <c r="AF19" s="125">
        <v>14</v>
      </c>
      <c r="AG19" s="149"/>
      <c r="AH19" s="150"/>
      <c r="AI19" s="149"/>
      <c r="AJ19" s="150"/>
      <c r="AK19" s="149"/>
      <c r="AL19" s="150"/>
      <c r="AM19" s="149"/>
      <c r="AN19" s="150"/>
      <c r="AO19" s="149"/>
      <c r="AP19" s="150"/>
      <c r="AQ19" s="149"/>
      <c r="AR19" s="150"/>
      <c r="AS19" s="149"/>
      <c r="AT19" s="150"/>
      <c r="AU19" s="149">
        <f t="shared" si="0"/>
        <v>0</v>
      </c>
      <c r="AY19" s="42" t="s">
        <v>305</v>
      </c>
    </row>
    <row r="20" spans="1:61" x14ac:dyDescent="0.3">
      <c r="A20" s="221">
        <v>43524</v>
      </c>
      <c r="B20" s="222" t="s">
        <v>207</v>
      </c>
      <c r="C20" s="223">
        <v>215</v>
      </c>
      <c r="D20" s="124">
        <v>15</v>
      </c>
      <c r="E20" s="149"/>
      <c r="F20" s="150"/>
      <c r="G20" s="149"/>
      <c r="H20" s="150"/>
      <c r="I20" s="149"/>
      <c r="J20" s="150"/>
      <c r="K20" s="149"/>
      <c r="L20" s="150"/>
      <c r="M20" s="149"/>
      <c r="N20" s="150"/>
      <c r="O20" s="149"/>
      <c r="P20" s="150"/>
      <c r="Q20" s="125">
        <v>15</v>
      </c>
      <c r="R20" s="149">
        <v>460</v>
      </c>
      <c r="S20" s="150"/>
      <c r="T20" s="149"/>
      <c r="U20" s="150"/>
      <c r="V20" s="149"/>
      <c r="W20" s="150"/>
      <c r="X20" s="149"/>
      <c r="Y20" s="150">
        <v>92</v>
      </c>
      <c r="Z20" s="149"/>
      <c r="AA20" s="150"/>
      <c r="AB20" s="149"/>
      <c r="AC20" s="150"/>
      <c r="AD20" s="149"/>
      <c r="AE20" s="150"/>
      <c r="AF20" s="125">
        <v>15</v>
      </c>
      <c r="AG20" s="149"/>
      <c r="AH20" s="150"/>
      <c r="AI20" s="149"/>
      <c r="AJ20" s="150"/>
      <c r="AK20" s="149"/>
      <c r="AL20" s="150">
        <v>368</v>
      </c>
      <c r="AM20" s="149"/>
      <c r="AN20" s="150"/>
      <c r="AO20" s="149"/>
      <c r="AP20" s="150"/>
      <c r="AQ20" s="149"/>
      <c r="AR20" s="150"/>
      <c r="AS20" s="149"/>
      <c r="AT20" s="150"/>
      <c r="AU20" s="149">
        <f t="shared" si="0"/>
        <v>0</v>
      </c>
    </row>
    <row r="21" spans="1:61" x14ac:dyDescent="0.3">
      <c r="A21" s="221">
        <v>43524</v>
      </c>
      <c r="B21" s="222" t="s">
        <v>209</v>
      </c>
      <c r="C21" s="223">
        <v>216</v>
      </c>
      <c r="D21" s="124">
        <v>16</v>
      </c>
      <c r="E21" s="149"/>
      <c r="F21" s="150"/>
      <c r="G21" s="149"/>
      <c r="H21" s="150"/>
      <c r="I21" s="149"/>
      <c r="J21" s="150">
        <v>1375</v>
      </c>
      <c r="K21" s="149"/>
      <c r="L21" s="150"/>
      <c r="M21" s="149"/>
      <c r="N21" s="150"/>
      <c r="O21" s="149"/>
      <c r="P21" s="150"/>
      <c r="Q21" s="125">
        <v>16</v>
      </c>
      <c r="R21" s="149"/>
      <c r="S21" s="150"/>
      <c r="T21" s="149"/>
      <c r="U21" s="150"/>
      <c r="V21" s="149"/>
      <c r="W21" s="150"/>
      <c r="X21" s="149">
        <v>275</v>
      </c>
      <c r="Y21" s="150"/>
      <c r="Z21" s="149"/>
      <c r="AA21" s="150"/>
      <c r="AB21" s="149"/>
      <c r="AC21" s="150"/>
      <c r="AD21" s="149"/>
      <c r="AE21" s="150"/>
      <c r="AF21" s="125">
        <v>16</v>
      </c>
      <c r="AG21" s="149"/>
      <c r="AH21" s="150"/>
      <c r="AI21" s="149"/>
      <c r="AJ21" s="150"/>
      <c r="AK21" s="149"/>
      <c r="AL21" s="150"/>
      <c r="AM21" s="149"/>
      <c r="AN21" s="150"/>
      <c r="AO21" s="149"/>
      <c r="AP21" s="150"/>
      <c r="AQ21" s="149"/>
      <c r="AR21" s="150"/>
      <c r="AS21" s="149">
        <v>1100</v>
      </c>
      <c r="AT21" s="150"/>
      <c r="AU21" s="149">
        <f t="shared" si="0"/>
        <v>0</v>
      </c>
      <c r="AY21" s="257" t="s">
        <v>306</v>
      </c>
    </row>
    <row r="22" spans="1:61" x14ac:dyDescent="0.3">
      <c r="A22" s="221" t="s">
        <v>210</v>
      </c>
      <c r="B22" s="222" t="s">
        <v>211</v>
      </c>
      <c r="C22" s="223">
        <v>217</v>
      </c>
      <c r="D22" s="124">
        <v>17</v>
      </c>
      <c r="E22" s="149"/>
      <c r="F22" s="150"/>
      <c r="G22" s="149"/>
      <c r="H22" s="150"/>
      <c r="I22" s="149"/>
      <c r="J22" s="150"/>
      <c r="K22" s="149"/>
      <c r="L22" s="150"/>
      <c r="M22" s="149"/>
      <c r="N22" s="150"/>
      <c r="O22" s="149"/>
      <c r="P22" s="150"/>
      <c r="Q22" s="125">
        <v>17</v>
      </c>
      <c r="R22" s="149"/>
      <c r="S22" s="150"/>
      <c r="T22" s="149"/>
      <c r="U22" s="150"/>
      <c r="V22" s="149">
        <f>W6-V6-V16</f>
        <v>153662</v>
      </c>
      <c r="W22" s="150"/>
      <c r="X22" s="149"/>
      <c r="Y22" s="150"/>
      <c r="Z22" s="149"/>
      <c r="AA22" s="150">
        <f>V22</f>
        <v>153662</v>
      </c>
      <c r="AB22" s="149"/>
      <c r="AC22" s="150"/>
      <c r="AD22" s="149"/>
      <c r="AE22" s="150"/>
      <c r="AF22" s="125">
        <v>17</v>
      </c>
      <c r="AG22" s="149"/>
      <c r="AH22" s="150"/>
      <c r="AI22" s="149"/>
      <c r="AJ22" s="150"/>
      <c r="AK22" s="149"/>
      <c r="AL22" s="150"/>
      <c r="AM22" s="149"/>
      <c r="AN22" s="150"/>
      <c r="AO22" s="149"/>
      <c r="AP22" s="150"/>
      <c r="AQ22" s="149"/>
      <c r="AR22" s="150"/>
      <c r="AS22" s="149"/>
      <c r="AT22" s="150"/>
      <c r="AU22" s="149">
        <f t="shared" si="0"/>
        <v>0</v>
      </c>
      <c r="AY22" s="42" t="s">
        <v>307</v>
      </c>
    </row>
    <row r="23" spans="1:61" x14ac:dyDescent="0.3">
      <c r="A23" s="224">
        <v>43524</v>
      </c>
      <c r="B23" s="225" t="s">
        <v>212</v>
      </c>
      <c r="C23" s="226">
        <v>218</v>
      </c>
      <c r="D23" s="124">
        <v>18</v>
      </c>
      <c r="E23" s="195"/>
      <c r="F23" s="196"/>
      <c r="G23" s="195"/>
      <c r="H23" s="196"/>
      <c r="I23" s="195"/>
      <c r="J23" s="196"/>
      <c r="K23" s="195"/>
      <c r="L23" s="196"/>
      <c r="M23" s="195"/>
      <c r="N23" s="196"/>
      <c r="O23" s="195"/>
      <c r="P23" s="196"/>
      <c r="Q23" s="125">
        <v>18</v>
      </c>
      <c r="R23" s="195"/>
      <c r="S23" s="196"/>
      <c r="T23" s="195"/>
      <c r="U23" s="196"/>
      <c r="V23" s="195"/>
      <c r="W23" s="196"/>
      <c r="X23" s="195"/>
      <c r="Y23" s="196">
        <f>X6+X17+X21-Y6-Y18-Y20</f>
        <v>161083</v>
      </c>
      <c r="Z23" s="195">
        <f>Y23</f>
        <v>161083</v>
      </c>
      <c r="AA23" s="196"/>
      <c r="AB23" s="195"/>
      <c r="AC23" s="196"/>
      <c r="AD23" s="195"/>
      <c r="AE23" s="196"/>
      <c r="AF23" s="125">
        <v>18</v>
      </c>
      <c r="AG23" s="195"/>
      <c r="AH23" s="196"/>
      <c r="AI23" s="195"/>
      <c r="AJ23" s="196"/>
      <c r="AK23" s="195"/>
      <c r="AL23" s="196"/>
      <c r="AM23" s="195"/>
      <c r="AN23" s="196"/>
      <c r="AO23" s="195"/>
      <c r="AP23" s="196"/>
      <c r="AQ23" s="195"/>
      <c r="AR23" s="196"/>
      <c r="AS23" s="195"/>
      <c r="AT23" s="196"/>
      <c r="AU23" s="195">
        <f t="shared" si="0"/>
        <v>0</v>
      </c>
      <c r="AY23" s="42" t="s">
        <v>308</v>
      </c>
    </row>
    <row r="24" spans="1:61" s="60" customFormat="1" ht="21" x14ac:dyDescent="0.4">
      <c r="A24" s="227"/>
      <c r="B24" s="159" t="s">
        <v>102</v>
      </c>
      <c r="C24" s="159"/>
      <c r="D24" s="160">
        <v>19</v>
      </c>
      <c r="E24" s="161">
        <f t="shared" ref="E24:P24" si="1">SUM(E6:E23)</f>
        <v>230000</v>
      </c>
      <c r="F24" s="162">
        <f t="shared" si="1"/>
        <v>0</v>
      </c>
      <c r="G24" s="161">
        <f t="shared" si="1"/>
        <v>42000</v>
      </c>
      <c r="H24" s="162">
        <f t="shared" si="1"/>
        <v>42000</v>
      </c>
      <c r="I24" s="161">
        <f t="shared" si="1"/>
        <v>848060</v>
      </c>
      <c r="J24" s="162">
        <f t="shared" si="1"/>
        <v>564290</v>
      </c>
      <c r="K24" s="161">
        <f t="shared" si="1"/>
        <v>98000</v>
      </c>
      <c r="L24" s="162">
        <f t="shared" si="1"/>
        <v>43000</v>
      </c>
      <c r="M24" s="161">
        <f t="shared" si="1"/>
        <v>23875</v>
      </c>
      <c r="N24" s="162">
        <f t="shared" si="1"/>
        <v>0</v>
      </c>
      <c r="O24" s="161">
        <f t="shared" si="1"/>
        <v>0</v>
      </c>
      <c r="P24" s="162">
        <f t="shared" si="1"/>
        <v>282000</v>
      </c>
      <c r="Q24" s="163">
        <v>19</v>
      </c>
      <c r="R24" s="161">
        <f t="shared" ref="R24:AE24" si="2">SUM(R6:R23)</f>
        <v>25000</v>
      </c>
      <c r="S24" s="162">
        <f t="shared" si="2"/>
        <v>25000</v>
      </c>
      <c r="T24" s="161">
        <f t="shared" si="2"/>
        <v>43000</v>
      </c>
      <c r="U24" s="162">
        <f t="shared" si="2"/>
        <v>98000</v>
      </c>
      <c r="V24" s="161">
        <f t="shared" si="2"/>
        <v>154500</v>
      </c>
      <c r="W24" s="162">
        <f t="shared" si="2"/>
        <v>154500</v>
      </c>
      <c r="X24" s="161">
        <f t="shared" si="2"/>
        <v>162675</v>
      </c>
      <c r="Y24" s="162">
        <f t="shared" si="2"/>
        <v>162675</v>
      </c>
      <c r="Z24" s="161">
        <f t="shared" si="2"/>
        <v>267083</v>
      </c>
      <c r="AA24" s="162">
        <f t="shared" si="2"/>
        <v>259662</v>
      </c>
      <c r="AB24" s="161">
        <f t="shared" si="2"/>
        <v>22500</v>
      </c>
      <c r="AC24" s="162">
        <f t="shared" si="2"/>
        <v>49431</v>
      </c>
      <c r="AD24" s="161">
        <f t="shared" si="2"/>
        <v>3525</v>
      </c>
      <c r="AE24" s="162">
        <f t="shared" si="2"/>
        <v>15864</v>
      </c>
      <c r="AF24" s="163">
        <v>19</v>
      </c>
      <c r="AG24" s="161">
        <f t="shared" ref="AG24:AT24" si="3">SUM(AG6:AG23)</f>
        <v>25000</v>
      </c>
      <c r="AH24" s="162">
        <f t="shared" si="3"/>
        <v>112524</v>
      </c>
      <c r="AI24" s="161">
        <f t="shared" si="3"/>
        <v>3352</v>
      </c>
      <c r="AJ24" s="162">
        <f t="shared" si="3"/>
        <v>618000</v>
      </c>
      <c r="AK24" s="161">
        <f t="shared" si="3"/>
        <v>403000</v>
      </c>
      <c r="AL24" s="162">
        <f t="shared" si="3"/>
        <v>3368</v>
      </c>
      <c r="AM24" s="161">
        <f t="shared" si="3"/>
        <v>162000</v>
      </c>
      <c r="AN24" s="162">
        <f t="shared" si="3"/>
        <v>0</v>
      </c>
      <c r="AO24" s="161">
        <f t="shared" si="3"/>
        <v>16524</v>
      </c>
      <c r="AP24" s="162">
        <f t="shared" si="3"/>
        <v>0</v>
      </c>
      <c r="AQ24" s="161">
        <f t="shared" si="3"/>
        <v>25736</v>
      </c>
      <c r="AR24" s="162">
        <f t="shared" si="3"/>
        <v>0</v>
      </c>
      <c r="AS24" s="161">
        <f t="shared" si="3"/>
        <v>3100</v>
      </c>
      <c r="AT24" s="162">
        <f t="shared" si="3"/>
        <v>0</v>
      </c>
      <c r="AU24" s="159"/>
      <c r="AY24" s="42" t="s">
        <v>309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</row>
    <row r="26" spans="1:61" x14ac:dyDescent="0.3">
      <c r="B26" s="42" t="s">
        <v>152</v>
      </c>
      <c r="AA26" s="81"/>
      <c r="AX26" s="256">
        <v>4</v>
      </c>
      <c r="AY26" s="42" t="s">
        <v>264</v>
      </c>
    </row>
    <row r="27" spans="1:61" x14ac:dyDescent="0.3">
      <c r="Z27" s="81"/>
      <c r="AY27" s="42" t="s">
        <v>265</v>
      </c>
    </row>
    <row r="28" spans="1:61" x14ac:dyDescent="0.3">
      <c r="B28" s="176" t="s">
        <v>266</v>
      </c>
      <c r="AY28" s="42" t="s">
        <v>268</v>
      </c>
    </row>
    <row r="29" spans="1:61" x14ac:dyDescent="0.3">
      <c r="B29" s="42" t="s">
        <v>267</v>
      </c>
      <c r="AA29" s="81"/>
    </row>
    <row r="30" spans="1:61" x14ac:dyDescent="0.3">
      <c r="B30" s="42" t="s">
        <v>310</v>
      </c>
    </row>
  </sheetData>
  <mergeCells count="43">
    <mergeCell ref="M3:N3"/>
    <mergeCell ref="D3:D5"/>
    <mergeCell ref="E3:F3"/>
    <mergeCell ref="G3:H3"/>
    <mergeCell ref="I3:J3"/>
    <mergeCell ref="K3:L3"/>
    <mergeCell ref="V3:W3"/>
    <mergeCell ref="X3:Y3"/>
    <mergeCell ref="O4:P4"/>
    <mergeCell ref="R4:S4"/>
    <mergeCell ref="T4:U4"/>
    <mergeCell ref="V4:W4"/>
    <mergeCell ref="X4:Y4"/>
    <mergeCell ref="AS3:AT3"/>
    <mergeCell ref="E4:F4"/>
    <mergeCell ref="G4:H4"/>
    <mergeCell ref="I4:J4"/>
    <mergeCell ref="K4:L4"/>
    <mergeCell ref="M4:N4"/>
    <mergeCell ref="Z3:AA3"/>
    <mergeCell ref="AB3:AC3"/>
    <mergeCell ref="AD3:AE3"/>
    <mergeCell ref="AF3:AF5"/>
    <mergeCell ref="AG3:AH3"/>
    <mergeCell ref="AI3:AJ3"/>
    <mergeCell ref="O3:P3"/>
    <mergeCell ref="Q3:Q5"/>
    <mergeCell ref="R3:S3"/>
    <mergeCell ref="T3:U3"/>
    <mergeCell ref="AK3:AL3"/>
    <mergeCell ref="AM3:AN3"/>
    <mergeCell ref="AO3:AP3"/>
    <mergeCell ref="AQ3:AR3"/>
    <mergeCell ref="AM4:AN4"/>
    <mergeCell ref="AO4:AP4"/>
    <mergeCell ref="AQ4:AR4"/>
    <mergeCell ref="AS4:AT4"/>
    <mergeCell ref="Z4:AA4"/>
    <mergeCell ref="AB4:AC4"/>
    <mergeCell ref="AD4:AE4"/>
    <mergeCell ref="AG4:AH4"/>
    <mergeCell ref="AK4:AL4"/>
    <mergeCell ref="AI4:AJ4"/>
  </mergeCells>
  <pageMargins left="0" right="0" top="0.98425196850393704" bottom="0.98425196850393704" header="0.51181102362204722" footer="0.51181102362204722"/>
  <pageSetup paperSize="9" scale="98" orientation="landscape" horizontalDpi="300" verticalDpi="300" r:id="rId1"/>
  <headerFooter alignWithMargins="0">
    <oddHeader>&amp;COppgave 9.7</oddHeader>
    <oddFooter>&amp;CSide &amp;P av &amp;N</oddFooter>
  </headerFooter>
  <colBreaks count="3" manualBreakCount="3">
    <brk id="16" max="1048575" man="1"/>
    <brk id="31" max="1048575" man="1"/>
    <brk id="4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1"/>
  <sheetViews>
    <sheetView showGridLines="0" showZeros="0" topLeftCell="A25" workbookViewId="0">
      <selection activeCell="M64" sqref="M64"/>
    </sheetView>
  </sheetViews>
  <sheetFormatPr baseColWidth="10" defaultColWidth="9.109375" defaultRowHeight="14.4" x14ac:dyDescent="0.3"/>
  <cols>
    <col min="1" max="1" width="5.109375" style="281" customWidth="1"/>
    <col min="2" max="2" width="48.44140625" style="281" bestFit="1" customWidth="1"/>
    <col min="3" max="3" width="11.6640625" style="285" customWidth="1"/>
    <col min="4" max="4" width="3.33203125" style="286" customWidth="1"/>
    <col min="5" max="5" width="11.6640625" style="285" customWidth="1"/>
    <col min="6" max="6" width="3.33203125" style="281" customWidth="1"/>
    <col min="7" max="16384" width="9.109375" style="281"/>
  </cols>
  <sheetData>
    <row r="1" spans="1:6" s="261" customFormat="1" ht="15.6" x14ac:dyDescent="0.3">
      <c r="A1" s="258" t="s">
        <v>213</v>
      </c>
      <c r="B1" s="258"/>
      <c r="C1" s="259"/>
      <c r="D1" s="260"/>
      <c r="E1" s="259"/>
      <c r="F1" s="258"/>
    </row>
    <row r="2" spans="1:6" s="265" customFormat="1" ht="10.199999999999999" x14ac:dyDescent="0.2">
      <c r="A2" s="262"/>
      <c r="B2" s="262"/>
      <c r="C2" s="263"/>
      <c r="D2" s="264"/>
      <c r="E2" s="263"/>
      <c r="F2" s="262"/>
    </row>
    <row r="3" spans="1:6" s="270" customFormat="1" x14ac:dyDescent="0.3">
      <c r="A3" s="266" t="s">
        <v>214</v>
      </c>
      <c r="B3" s="267" t="s">
        <v>215</v>
      </c>
      <c r="C3" s="268" t="s">
        <v>216</v>
      </c>
      <c r="D3" s="269"/>
      <c r="E3" s="268" t="s">
        <v>217</v>
      </c>
      <c r="F3" s="267"/>
    </row>
    <row r="4" spans="1:6" s="275" customFormat="1" ht="6.6" x14ac:dyDescent="0.15">
      <c r="A4" s="271"/>
      <c r="B4" s="272"/>
      <c r="C4" s="273"/>
      <c r="D4" s="274"/>
      <c r="E4" s="273"/>
      <c r="F4" s="272"/>
    </row>
    <row r="5" spans="1:6" x14ac:dyDescent="0.3">
      <c r="A5" s="276"/>
      <c r="B5" s="277" t="s">
        <v>218</v>
      </c>
      <c r="C5" s="278"/>
      <c r="D5" s="279"/>
      <c r="E5" s="280"/>
      <c r="F5" s="277"/>
    </row>
    <row r="6" spans="1:6" x14ac:dyDescent="0.3">
      <c r="A6" s="276"/>
      <c r="B6" s="277" t="s">
        <v>219</v>
      </c>
      <c r="C6" s="280"/>
      <c r="D6" s="279"/>
      <c r="E6" s="280"/>
      <c r="F6" s="277"/>
    </row>
    <row r="7" spans="1:6" s="275" customFormat="1" ht="6.6" x14ac:dyDescent="0.15">
      <c r="A7" s="271"/>
      <c r="B7" s="272"/>
      <c r="C7" s="273"/>
      <c r="D7" s="274"/>
      <c r="E7" s="273"/>
      <c r="F7" s="272"/>
    </row>
    <row r="8" spans="1:6" x14ac:dyDescent="0.3">
      <c r="A8" s="276"/>
      <c r="B8" s="277" t="s">
        <v>220</v>
      </c>
      <c r="C8" s="278" t="e">
        <f>C13</f>
        <v>#REF!</v>
      </c>
      <c r="D8" s="279"/>
      <c r="E8" s="280"/>
      <c r="F8" s="277"/>
    </row>
    <row r="9" spans="1:6" x14ac:dyDescent="0.3">
      <c r="A9" s="276"/>
      <c r="B9" s="277" t="s">
        <v>221</v>
      </c>
      <c r="C9" s="280"/>
      <c r="D9" s="279"/>
      <c r="E9" s="280"/>
      <c r="F9" s="277"/>
    </row>
    <row r="10" spans="1:6" s="275" customFormat="1" ht="6.6" x14ac:dyDescent="0.15">
      <c r="A10" s="271"/>
      <c r="B10" s="272"/>
      <c r="C10" s="273"/>
      <c r="D10" s="274"/>
      <c r="E10" s="273"/>
      <c r="F10" s="272"/>
    </row>
    <row r="11" spans="1:6" s="270" customFormat="1" x14ac:dyDescent="0.3">
      <c r="A11" s="266" t="s">
        <v>222</v>
      </c>
      <c r="B11" s="267" t="s">
        <v>223</v>
      </c>
      <c r="C11" s="282"/>
      <c r="D11" s="269"/>
      <c r="E11" s="282"/>
      <c r="F11" s="267"/>
    </row>
    <row r="12" spans="1:6" s="275" customFormat="1" ht="6.6" x14ac:dyDescent="0.15">
      <c r="A12" s="271"/>
      <c r="B12" s="272"/>
      <c r="C12" s="273"/>
      <c r="D12" s="274"/>
      <c r="E12" s="273"/>
      <c r="F12" s="272"/>
    </row>
    <row r="13" spans="1:6" x14ac:dyDescent="0.3">
      <c r="A13" s="276"/>
      <c r="B13" s="277" t="s">
        <v>224</v>
      </c>
      <c r="C13" s="278" t="e">
        <f>#REF!-#REF!</f>
        <v>#REF!</v>
      </c>
      <c r="D13" s="283" t="s">
        <v>225</v>
      </c>
      <c r="E13" s="278" t="e">
        <f>ROUNDDOWN(C13*0.25,0)</f>
        <v>#REF!</v>
      </c>
      <c r="F13" s="277"/>
    </row>
    <row r="14" spans="1:6" x14ac:dyDescent="0.3">
      <c r="A14" s="276"/>
      <c r="B14" s="277" t="s">
        <v>226</v>
      </c>
      <c r="C14" s="280"/>
      <c r="D14" s="279"/>
      <c r="E14" s="280"/>
      <c r="F14" s="277"/>
    </row>
    <row r="15" spans="1:6" s="275" customFormat="1" ht="6.6" x14ac:dyDescent="0.15">
      <c r="A15" s="271"/>
      <c r="B15" s="272"/>
      <c r="C15" s="273"/>
      <c r="D15" s="274"/>
      <c r="E15" s="273"/>
      <c r="F15" s="272"/>
    </row>
    <row r="16" spans="1:6" x14ac:dyDescent="0.3">
      <c r="A16" s="276"/>
      <c r="B16" s="277" t="s">
        <v>227</v>
      </c>
      <c r="C16" s="278"/>
      <c r="D16" s="283" t="s">
        <v>225</v>
      </c>
      <c r="E16" s="278"/>
      <c r="F16" s="277"/>
    </row>
    <row r="17" spans="1:6" x14ac:dyDescent="0.3">
      <c r="A17" s="276"/>
      <c r="B17" s="277" t="s">
        <v>228</v>
      </c>
      <c r="C17" s="280"/>
      <c r="D17" s="279"/>
      <c r="E17" s="280"/>
      <c r="F17" s="277"/>
    </row>
    <row r="18" spans="1:6" s="275" customFormat="1" ht="6.6" x14ac:dyDescent="0.15">
      <c r="A18" s="271"/>
      <c r="B18" s="272"/>
      <c r="C18" s="273"/>
      <c r="D18" s="274"/>
      <c r="E18" s="273"/>
      <c r="F18" s="272"/>
    </row>
    <row r="19" spans="1:6" x14ac:dyDescent="0.3">
      <c r="A19" s="276"/>
      <c r="B19" s="277" t="s">
        <v>229</v>
      </c>
      <c r="C19" s="278"/>
      <c r="D19" s="283" t="s">
        <v>225</v>
      </c>
      <c r="E19" s="278"/>
      <c r="F19" s="277"/>
    </row>
    <row r="20" spans="1:6" x14ac:dyDescent="0.3">
      <c r="A20" s="276"/>
      <c r="B20" s="277" t="s">
        <v>230</v>
      </c>
      <c r="C20" s="280"/>
      <c r="D20" s="279"/>
      <c r="E20" s="280"/>
      <c r="F20" s="277"/>
    </row>
    <row r="21" spans="1:6" s="275" customFormat="1" ht="6.6" x14ac:dyDescent="0.15">
      <c r="A21" s="271"/>
      <c r="B21" s="272"/>
      <c r="C21" s="273"/>
      <c r="D21" s="274"/>
      <c r="E21" s="273"/>
      <c r="F21" s="272"/>
    </row>
    <row r="22" spans="1:6" x14ac:dyDescent="0.3">
      <c r="A22" s="276"/>
      <c r="B22" s="277" t="s">
        <v>231</v>
      </c>
      <c r="C22" s="278"/>
      <c r="D22" s="279"/>
      <c r="E22" s="280"/>
      <c r="F22" s="277"/>
    </row>
    <row r="23" spans="1:6" x14ac:dyDescent="0.3">
      <c r="A23" s="276"/>
      <c r="B23" s="277" t="s">
        <v>75</v>
      </c>
      <c r="C23" s="280"/>
      <c r="D23" s="279"/>
      <c r="E23" s="280"/>
      <c r="F23" s="277"/>
    </row>
    <row r="24" spans="1:6" s="275" customFormat="1" ht="6.6" x14ac:dyDescent="0.15">
      <c r="A24" s="272"/>
      <c r="B24" s="272"/>
      <c r="C24" s="273"/>
      <c r="D24" s="274"/>
      <c r="E24" s="273"/>
      <c r="F24" s="272"/>
    </row>
    <row r="25" spans="1:6" x14ac:dyDescent="0.3">
      <c r="A25" s="277"/>
      <c r="B25" s="277" t="s">
        <v>232</v>
      </c>
      <c r="C25" s="278"/>
      <c r="D25" s="279"/>
      <c r="E25" s="280"/>
      <c r="F25" s="277"/>
    </row>
    <row r="26" spans="1:6" x14ac:dyDescent="0.3">
      <c r="A26" s="277"/>
      <c r="B26" s="277" t="s">
        <v>233</v>
      </c>
      <c r="C26" s="280"/>
      <c r="D26" s="279"/>
      <c r="E26" s="280"/>
      <c r="F26" s="277"/>
    </row>
    <row r="27" spans="1:6" s="275" customFormat="1" ht="6.6" x14ac:dyDescent="0.15">
      <c r="A27" s="272"/>
      <c r="B27" s="272"/>
      <c r="C27" s="273"/>
      <c r="D27" s="274"/>
      <c r="E27" s="273"/>
      <c r="F27" s="272"/>
    </row>
    <row r="28" spans="1:6" s="270" customFormat="1" x14ac:dyDescent="0.3">
      <c r="A28" s="266" t="s">
        <v>234</v>
      </c>
      <c r="B28" s="267" t="s">
        <v>235</v>
      </c>
      <c r="C28" s="282"/>
      <c r="D28" s="269"/>
      <c r="E28" s="282"/>
      <c r="F28" s="267"/>
    </row>
    <row r="29" spans="1:6" s="275" customFormat="1" ht="6.6" x14ac:dyDescent="0.15">
      <c r="A29" s="272"/>
      <c r="B29" s="272"/>
      <c r="C29" s="273"/>
      <c r="D29" s="274"/>
      <c r="E29" s="273"/>
      <c r="F29" s="272"/>
    </row>
    <row r="30" spans="1:6" x14ac:dyDescent="0.3">
      <c r="A30" s="277"/>
      <c r="B30" s="277" t="s">
        <v>236</v>
      </c>
      <c r="C30" s="278"/>
      <c r="D30" s="283"/>
      <c r="E30" s="284"/>
      <c r="F30" s="277"/>
    </row>
    <row r="31" spans="1:6" x14ac:dyDescent="0.3">
      <c r="A31" s="277"/>
      <c r="B31" s="277" t="s">
        <v>75</v>
      </c>
      <c r="C31" s="280"/>
      <c r="D31" s="279"/>
      <c r="E31" s="280"/>
      <c r="F31" s="277"/>
    </row>
    <row r="32" spans="1:6" s="275" customFormat="1" ht="6.6" x14ac:dyDescent="0.15">
      <c r="A32" s="272"/>
      <c r="B32" s="272"/>
      <c r="C32" s="273"/>
      <c r="D32" s="274"/>
      <c r="E32" s="273"/>
      <c r="F32" s="272"/>
    </row>
    <row r="33" spans="1:6" s="270" customFormat="1" x14ac:dyDescent="0.3">
      <c r="A33" s="266" t="s">
        <v>237</v>
      </c>
      <c r="B33" s="267" t="s">
        <v>238</v>
      </c>
      <c r="C33" s="282"/>
      <c r="D33" s="269"/>
      <c r="E33" s="282"/>
      <c r="F33" s="267"/>
    </row>
    <row r="34" spans="1:6" s="275" customFormat="1" ht="6.6" x14ac:dyDescent="0.15">
      <c r="A34" s="272"/>
      <c r="B34" s="272"/>
      <c r="C34" s="273"/>
      <c r="D34" s="274"/>
      <c r="E34" s="273"/>
      <c r="F34" s="272"/>
    </row>
    <row r="35" spans="1:6" x14ac:dyDescent="0.3">
      <c r="A35" s="277"/>
      <c r="B35" s="277" t="s">
        <v>239</v>
      </c>
      <c r="C35" s="278"/>
      <c r="D35" s="283" t="s">
        <v>225</v>
      </c>
      <c r="E35" s="278"/>
      <c r="F35" s="277"/>
    </row>
    <row r="36" spans="1:6" s="275" customFormat="1" ht="6.6" x14ac:dyDescent="0.15">
      <c r="A36" s="272"/>
      <c r="B36" s="272"/>
      <c r="C36" s="273"/>
      <c r="D36" s="274"/>
      <c r="E36" s="273"/>
      <c r="F36" s="272"/>
    </row>
    <row r="37" spans="1:6" x14ac:dyDescent="0.3">
      <c r="A37" s="277"/>
      <c r="B37" s="277" t="s">
        <v>240</v>
      </c>
      <c r="C37" s="278"/>
      <c r="D37" s="283" t="s">
        <v>225</v>
      </c>
      <c r="E37" s="278"/>
      <c r="F37" s="277"/>
    </row>
    <row r="38" spans="1:6" s="275" customFormat="1" ht="6.6" x14ac:dyDescent="0.15">
      <c r="A38" s="272"/>
      <c r="B38" s="272"/>
      <c r="C38" s="273"/>
      <c r="D38" s="274"/>
      <c r="E38" s="273"/>
      <c r="F38" s="272"/>
    </row>
    <row r="39" spans="1:6" x14ac:dyDescent="0.3">
      <c r="A39" s="277"/>
      <c r="B39" s="277" t="s">
        <v>241</v>
      </c>
      <c r="C39" s="278"/>
      <c r="D39" s="279"/>
      <c r="E39" s="280"/>
      <c r="F39" s="277"/>
    </row>
    <row r="40" spans="1:6" x14ac:dyDescent="0.3">
      <c r="A40" s="277"/>
      <c r="B40" s="277" t="s">
        <v>242</v>
      </c>
      <c r="C40" s="280"/>
      <c r="D40" s="279"/>
      <c r="E40" s="280"/>
      <c r="F40" s="277"/>
    </row>
    <row r="41" spans="1:6" s="275" customFormat="1" ht="6.6" x14ac:dyDescent="0.15">
      <c r="A41" s="272"/>
      <c r="B41" s="272"/>
      <c r="C41" s="273"/>
      <c r="D41" s="274"/>
      <c r="E41" s="273"/>
      <c r="F41" s="272"/>
    </row>
    <row r="42" spans="1:6" s="270" customFormat="1" x14ac:dyDescent="0.3">
      <c r="A42" s="266" t="s">
        <v>243</v>
      </c>
      <c r="B42" s="267" t="s">
        <v>244</v>
      </c>
      <c r="C42" s="282"/>
      <c r="D42" s="269"/>
      <c r="E42" s="282"/>
      <c r="F42" s="267"/>
    </row>
    <row r="43" spans="1:6" s="275" customFormat="1" ht="6.6" x14ac:dyDescent="0.15">
      <c r="A43" s="272"/>
      <c r="B43" s="272"/>
      <c r="C43" s="273"/>
      <c r="D43" s="274"/>
      <c r="E43" s="273"/>
      <c r="F43" s="272"/>
    </row>
    <row r="44" spans="1:6" x14ac:dyDescent="0.3">
      <c r="A44" s="277"/>
      <c r="B44" s="277" t="s">
        <v>245</v>
      </c>
      <c r="C44" s="278"/>
      <c r="D44" s="283" t="s">
        <v>225</v>
      </c>
      <c r="E44" s="278"/>
      <c r="F44" s="277"/>
    </row>
    <row r="45" spans="1:6" x14ac:dyDescent="0.3">
      <c r="A45" s="277"/>
      <c r="B45" s="277" t="s">
        <v>246</v>
      </c>
      <c r="C45" s="280"/>
      <c r="D45" s="279"/>
      <c r="E45" s="280"/>
      <c r="F45" s="277"/>
    </row>
    <row r="46" spans="1:6" s="275" customFormat="1" ht="6.6" x14ac:dyDescent="0.15">
      <c r="A46" s="272"/>
      <c r="B46" s="272"/>
      <c r="C46" s="273"/>
      <c r="D46" s="274"/>
      <c r="E46" s="273"/>
      <c r="F46" s="272"/>
    </row>
    <row r="47" spans="1:6" x14ac:dyDescent="0.3">
      <c r="A47" s="277"/>
      <c r="B47" s="277" t="s">
        <v>247</v>
      </c>
      <c r="C47" s="278"/>
      <c r="D47" s="283" t="s">
        <v>225</v>
      </c>
      <c r="E47" s="278"/>
      <c r="F47" s="277"/>
    </row>
    <row r="48" spans="1:6" x14ac:dyDescent="0.3">
      <c r="A48" s="277"/>
      <c r="B48" s="277" t="s">
        <v>226</v>
      </c>
      <c r="C48" s="280"/>
      <c r="D48" s="279"/>
      <c r="E48" s="280"/>
      <c r="F48" s="277"/>
    </row>
    <row r="49" spans="1:6" s="275" customFormat="1" ht="6.6" x14ac:dyDescent="0.15">
      <c r="A49" s="272"/>
      <c r="B49" s="272"/>
      <c r="C49" s="273"/>
      <c r="D49" s="274"/>
      <c r="E49" s="273"/>
      <c r="F49" s="272"/>
    </row>
    <row r="50" spans="1:6" s="270" customFormat="1" x14ac:dyDescent="0.3">
      <c r="A50" s="266" t="s">
        <v>248</v>
      </c>
      <c r="B50" s="267" t="s">
        <v>249</v>
      </c>
      <c r="C50" s="282"/>
      <c r="D50" s="269"/>
      <c r="E50" s="282"/>
      <c r="F50" s="267"/>
    </row>
    <row r="51" spans="1:6" s="275" customFormat="1" ht="6.6" x14ac:dyDescent="0.15">
      <c r="A51" s="272"/>
      <c r="B51" s="272"/>
      <c r="C51" s="273"/>
      <c r="D51" s="274"/>
      <c r="E51" s="273"/>
      <c r="F51" s="272"/>
    </row>
    <row r="52" spans="1:6" x14ac:dyDescent="0.3">
      <c r="A52" s="277"/>
      <c r="B52" s="277" t="s">
        <v>250</v>
      </c>
      <c r="C52" s="280"/>
      <c r="D52" s="279" t="s">
        <v>251</v>
      </c>
      <c r="E52" s="278" t="e">
        <f>#REF!</f>
        <v>#REF!</v>
      </c>
      <c r="F52" s="277"/>
    </row>
    <row r="53" spans="1:6" s="275" customFormat="1" ht="6.6" x14ac:dyDescent="0.15">
      <c r="A53" s="272"/>
      <c r="B53" s="272"/>
      <c r="C53" s="273"/>
      <c r="D53" s="274"/>
      <c r="E53" s="273"/>
      <c r="F53" s="272"/>
    </row>
    <row r="54" spans="1:6" x14ac:dyDescent="0.3">
      <c r="A54" s="277"/>
      <c r="B54" s="277" t="s">
        <v>252</v>
      </c>
      <c r="C54" s="280"/>
      <c r="D54" s="279" t="s">
        <v>251</v>
      </c>
      <c r="E54" s="278"/>
      <c r="F54" s="277"/>
    </row>
    <row r="55" spans="1:6" s="275" customFormat="1" ht="6.6" x14ac:dyDescent="0.15">
      <c r="A55" s="272"/>
      <c r="B55" s="272"/>
      <c r="C55" s="273"/>
      <c r="D55" s="274"/>
      <c r="E55" s="273"/>
      <c r="F55" s="272"/>
    </row>
    <row r="56" spans="1:6" x14ac:dyDescent="0.3">
      <c r="A56" s="277"/>
      <c r="B56" s="277" t="s">
        <v>253</v>
      </c>
      <c r="C56" s="280"/>
      <c r="D56" s="279" t="s">
        <v>251</v>
      </c>
      <c r="E56" s="278"/>
      <c r="F56" s="277"/>
    </row>
    <row r="57" spans="1:6" s="275" customFormat="1" ht="6.6" x14ac:dyDescent="0.15">
      <c r="A57" s="272"/>
      <c r="B57" s="272"/>
      <c r="C57" s="273"/>
      <c r="D57" s="274"/>
      <c r="E57" s="273"/>
      <c r="F57" s="272"/>
    </row>
    <row r="58" spans="1:6" s="270" customFormat="1" x14ac:dyDescent="0.3">
      <c r="A58" s="266" t="s">
        <v>254</v>
      </c>
      <c r="B58" s="267" t="s">
        <v>255</v>
      </c>
      <c r="C58" s="282"/>
      <c r="D58" s="269"/>
      <c r="E58" s="282"/>
      <c r="F58" s="267"/>
    </row>
    <row r="59" spans="1:6" s="275" customFormat="1" ht="6.6" x14ac:dyDescent="0.15">
      <c r="A59" s="272"/>
      <c r="B59" s="272"/>
      <c r="C59" s="273"/>
      <c r="D59" s="274"/>
      <c r="E59" s="273"/>
      <c r="F59" s="272"/>
    </row>
    <row r="60" spans="1:6" x14ac:dyDescent="0.3">
      <c r="A60" s="277"/>
      <c r="B60" s="277" t="s">
        <v>256</v>
      </c>
      <c r="C60" s="280"/>
      <c r="D60" s="279"/>
      <c r="E60" s="278"/>
      <c r="F60" s="277"/>
    </row>
    <row r="61" spans="1:6" s="275" customFormat="1" ht="6.6" x14ac:dyDescent="0.15">
      <c r="A61" s="272"/>
      <c r="B61" s="272"/>
      <c r="C61" s="273"/>
      <c r="D61" s="274"/>
      <c r="E61" s="273"/>
      <c r="F61" s="272"/>
    </row>
    <row r="62" spans="1:6" x14ac:dyDescent="0.3">
      <c r="A62" s="277"/>
      <c r="B62" s="277" t="s">
        <v>257</v>
      </c>
      <c r="C62" s="280"/>
      <c r="D62" s="279"/>
      <c r="E62" s="278"/>
      <c r="F62" s="277"/>
    </row>
    <row r="63" spans="1:6" s="275" customFormat="1" ht="6.6" x14ac:dyDescent="0.15">
      <c r="A63" s="272"/>
      <c r="B63" s="272"/>
      <c r="C63" s="273"/>
      <c r="D63" s="274"/>
      <c r="E63" s="273"/>
      <c r="F63" s="272"/>
    </row>
    <row r="64" spans="1:6" x14ac:dyDescent="0.3">
      <c r="A64" s="277" t="s">
        <v>258</v>
      </c>
      <c r="B64" s="277" t="s">
        <v>198</v>
      </c>
      <c r="C64" s="280"/>
      <c r="D64" s="279"/>
      <c r="E64" s="280"/>
      <c r="F64" s="277"/>
    </row>
    <row r="65" spans="1:6" s="275" customFormat="1" ht="6.6" x14ac:dyDescent="0.15">
      <c r="A65" s="272"/>
      <c r="B65" s="272"/>
      <c r="C65" s="273"/>
      <c r="D65" s="274"/>
      <c r="E65" s="273"/>
      <c r="F65" s="272"/>
    </row>
    <row r="66" spans="1:6" x14ac:dyDescent="0.3">
      <c r="A66" s="277"/>
      <c r="B66" s="277" t="s">
        <v>259</v>
      </c>
      <c r="C66" s="280"/>
      <c r="D66" s="279"/>
      <c r="E66" s="278" t="e">
        <f>E52-E13</f>
        <v>#REF!</v>
      </c>
      <c r="F66" s="277"/>
    </row>
    <row r="67" spans="1:6" x14ac:dyDescent="0.3">
      <c r="A67" s="277"/>
      <c r="B67" s="277"/>
      <c r="C67" s="280"/>
      <c r="D67" s="279"/>
      <c r="E67" s="280"/>
      <c r="F67" s="277"/>
    </row>
    <row r="69" spans="1:6" x14ac:dyDescent="0.3">
      <c r="B69" s="281" t="s">
        <v>260</v>
      </c>
    </row>
    <row r="70" spans="1:6" x14ac:dyDescent="0.3">
      <c r="B70" s="281" t="s">
        <v>263</v>
      </c>
    </row>
    <row r="71" spans="1:6" x14ac:dyDescent="0.3">
      <c r="B71" s="281" t="s">
        <v>261</v>
      </c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headerFooter>
    <oddHeader>&amp;CLøsning oppgave 9.7b</oddHead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3"/>
  <sheetViews>
    <sheetView showGridLines="0" workbookViewId="0">
      <selection activeCell="I3" sqref="I3"/>
    </sheetView>
  </sheetViews>
  <sheetFormatPr baseColWidth="10" defaultColWidth="11.44140625" defaultRowHeight="15.6" x14ac:dyDescent="0.3"/>
  <cols>
    <col min="1" max="1" width="6.109375" style="1" customWidth="1"/>
    <col min="2" max="16384" width="11.44140625" style="1"/>
  </cols>
  <sheetData>
    <row r="1" spans="1:5" x14ac:dyDescent="0.3">
      <c r="A1" s="228" t="s">
        <v>312</v>
      </c>
      <c r="D1" s="287" t="s">
        <v>313</v>
      </c>
      <c r="E1" s="287"/>
    </row>
    <row r="3" spans="1:5" x14ac:dyDescent="0.3">
      <c r="A3" s="1" t="s">
        <v>0</v>
      </c>
      <c r="B3" s="1" t="s">
        <v>311</v>
      </c>
    </row>
    <row r="4" spans="1:5" x14ac:dyDescent="0.3">
      <c r="B4" s="1" t="s">
        <v>278</v>
      </c>
    </row>
    <row r="5" spans="1:5" x14ac:dyDescent="0.3">
      <c r="B5" s="1" t="s">
        <v>279</v>
      </c>
    </row>
    <row r="6" spans="1:5" x14ac:dyDescent="0.3">
      <c r="B6" s="1" t="s">
        <v>280</v>
      </c>
    </row>
    <row r="7" spans="1:5" x14ac:dyDescent="0.3">
      <c r="B7" s="1" t="s">
        <v>281</v>
      </c>
    </row>
    <row r="9" spans="1:5" x14ac:dyDescent="0.3">
      <c r="A9" s="1" t="s">
        <v>49</v>
      </c>
      <c r="B9" s="1" t="s">
        <v>282</v>
      </c>
    </row>
    <row r="10" spans="1:5" x14ac:dyDescent="0.3">
      <c r="B10" s="1" t="s">
        <v>283</v>
      </c>
    </row>
    <row r="12" spans="1:5" x14ac:dyDescent="0.3">
      <c r="A12" s="1" t="s">
        <v>126</v>
      </c>
      <c r="B12" s="1" t="s">
        <v>284</v>
      </c>
    </row>
    <row r="13" spans="1:5" x14ac:dyDescent="0.3">
      <c r="B13" s="1" t="s">
        <v>285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9.8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2</vt:i4>
      </vt:variant>
    </vt:vector>
  </HeadingPairs>
  <TitlesOfParts>
    <vt:vector size="11" baseType="lpstr">
      <vt:lpstr>Oppgave 9.1</vt:lpstr>
      <vt:lpstr>Oppgave 9.2</vt:lpstr>
      <vt:lpstr>Oppgave 9.3</vt:lpstr>
      <vt:lpstr>Oppgave 9.4</vt:lpstr>
      <vt:lpstr>Oppgave 9.5</vt:lpstr>
      <vt:lpstr>Oppgave 9.6</vt:lpstr>
      <vt:lpstr>Oppgave 9.7</vt:lpstr>
      <vt:lpstr>Skattemelding til 9.7</vt:lpstr>
      <vt:lpstr>Oppgave 9.8</vt:lpstr>
      <vt:lpstr>'Oppgave 9.2'!Utskriftsområde</vt:lpstr>
      <vt:lpstr>'Oppgave 9.4'!Utskriftsområde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Susann Hansen</cp:lastModifiedBy>
  <cp:lastPrinted>2019-11-27T15:23:00Z</cp:lastPrinted>
  <dcterms:created xsi:type="dcterms:W3CDTF">1997-01-16T18:32:43Z</dcterms:created>
  <dcterms:modified xsi:type="dcterms:W3CDTF">2021-08-26T06:39:43Z</dcterms:modified>
</cp:coreProperties>
</file>