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s\Mine dokumenter\Lærebok finans\7. utgave\Excel løsninger\"/>
    </mc:Choice>
  </mc:AlternateContent>
  <xr:revisionPtr revIDLastSave="0" documentId="13_ncr:1_{DD952E6F-F1F5-441E-9B9D-A7EE5AEB71EB}" xr6:coauthVersionLast="47" xr6:coauthVersionMax="47" xr10:uidLastSave="{00000000-0000-0000-0000-000000000000}"/>
  <bookViews>
    <workbookView xWindow="-120" yWindow="-120" windowWidth="38640" windowHeight="21120" firstSheet="14" activeTab="20" xr2:uid="{00000000-000D-0000-FFFF-FFFF00000000}"/>
  </bookViews>
  <sheets>
    <sheet name="Opp 1" sheetId="9" r:id="rId1"/>
    <sheet name="Opp 2" sheetId="8" r:id="rId2"/>
    <sheet name="Opp 3" sheetId="7" r:id="rId3"/>
    <sheet name="Opp 4" sheetId="6" r:id="rId4"/>
    <sheet name="Opp 5" sheetId="5" r:id="rId5"/>
    <sheet name="Opp 6" sheetId="4" r:id="rId6"/>
    <sheet name="Opp 7" sheetId="1" r:id="rId7"/>
    <sheet name="Opp 8" sheetId="2" r:id="rId8"/>
    <sheet name="Opp 9" sheetId="11" r:id="rId9"/>
    <sheet name="Opp 10" sheetId="12" r:id="rId10"/>
    <sheet name="Opp 11" sheetId="3" r:id="rId11"/>
    <sheet name="Opp 12" sheetId="10" r:id="rId12"/>
    <sheet name="Opp 13" sheetId="13" r:id="rId13"/>
    <sheet name="Opp 14" sheetId="14" r:id="rId14"/>
    <sheet name="Opp 15" sheetId="15" r:id="rId15"/>
    <sheet name="Opp 16" sheetId="20" r:id="rId16"/>
    <sheet name="Opp 17" sheetId="23" r:id="rId17"/>
    <sheet name="Opp 18" sheetId="16" r:id="rId18"/>
    <sheet name="Opp 19" sheetId="18" r:id="rId19"/>
    <sheet name="Opp 20" sheetId="19" r:id="rId20"/>
    <sheet name="Opp 21" sheetId="22" r:id="rId2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" i="22" l="1"/>
  <c r="B23" i="22"/>
  <c r="B21" i="22"/>
  <c r="B19" i="22"/>
  <c r="B18" i="22"/>
  <c r="B17" i="22"/>
  <c r="B15" i="22"/>
  <c r="B14" i="22"/>
  <c r="B13" i="22"/>
  <c r="C9" i="23"/>
  <c r="C8" i="23"/>
  <c r="B9" i="23"/>
  <c r="B8" i="23"/>
  <c r="B21" i="13"/>
  <c r="A21" i="13"/>
  <c r="B19" i="13"/>
  <c r="B18" i="13"/>
  <c r="B17" i="13"/>
  <c r="B16" i="13"/>
  <c r="B15" i="13"/>
  <c r="A18" i="13"/>
  <c r="A17" i="13"/>
  <c r="A16" i="13"/>
  <c r="A15" i="13"/>
  <c r="B11" i="13"/>
  <c r="B9" i="13"/>
  <c r="B21" i="3"/>
  <c r="C28" i="12"/>
  <c r="D28" i="12"/>
  <c r="E28" i="12"/>
  <c r="F28" i="12"/>
  <c r="G28" i="12"/>
  <c r="H28" i="12"/>
  <c r="I28" i="12"/>
  <c r="C29" i="12"/>
  <c r="D29" i="12"/>
  <c r="E29" i="12"/>
  <c r="F29" i="12"/>
  <c r="G29" i="12"/>
  <c r="H29" i="12"/>
  <c r="I29" i="12"/>
  <c r="B4" i="2"/>
  <c r="B8" i="2" s="1"/>
  <c r="F17" i="2" s="1"/>
  <c r="C4" i="2"/>
  <c r="G7" i="2" s="1"/>
  <c r="F5" i="2"/>
  <c r="G5" i="2"/>
  <c r="F6" i="2"/>
  <c r="G6" i="2"/>
  <c r="F7" i="2"/>
  <c r="G10" i="2"/>
  <c r="F11" i="2"/>
  <c r="G11" i="2"/>
  <c r="B12" i="2"/>
  <c r="F2" i="2" s="1"/>
  <c r="C12" i="2"/>
  <c r="G2" i="2" s="1"/>
  <c r="F12" i="2"/>
  <c r="G12" i="2"/>
  <c r="C14" i="2"/>
  <c r="G15" i="2"/>
  <c r="F16" i="2"/>
  <c r="G16" i="2"/>
  <c r="H18" i="2"/>
  <c r="G14" i="7"/>
  <c r="C16" i="7"/>
  <c r="D16" i="7"/>
  <c r="E16" i="7"/>
  <c r="F16" i="7"/>
  <c r="G16" i="7"/>
  <c r="B16" i="7"/>
  <c r="G15" i="7"/>
  <c r="B15" i="7"/>
  <c r="B14" i="7"/>
  <c r="D11" i="22"/>
  <c r="C11" i="22"/>
  <c r="E10" i="22"/>
  <c r="D10" i="22"/>
  <c r="C10" i="22"/>
  <c r="D9" i="22"/>
  <c r="C9" i="22"/>
  <c r="G4" i="2" l="1"/>
  <c r="F4" i="2"/>
  <c r="F14" i="2"/>
  <c r="G9" i="2"/>
  <c r="G8" i="2"/>
  <c r="F15" i="2"/>
  <c r="F10" i="2"/>
  <c r="F9" i="2"/>
  <c r="F8" i="2"/>
  <c r="G3" i="2"/>
  <c r="G18" i="2" s="1"/>
  <c r="G13" i="2"/>
  <c r="C8" i="2"/>
  <c r="G17" i="2" s="1"/>
  <c r="F3" i="2"/>
  <c r="F18" i="2" s="1"/>
  <c r="G14" i="2"/>
  <c r="F13" i="2"/>
  <c r="B11" i="22"/>
  <c r="B10" i="22"/>
  <c r="F9" i="22"/>
  <c r="G18" i="20"/>
  <c r="F18" i="20"/>
  <c r="E18" i="20"/>
  <c r="C18" i="20"/>
  <c r="B18" i="20"/>
  <c r="H18" i="20" s="1"/>
  <c r="I18" i="20" s="1"/>
  <c r="F17" i="20"/>
  <c r="E17" i="20"/>
  <c r="C17" i="20"/>
  <c r="B17" i="20"/>
  <c r="H17" i="20" s="1"/>
  <c r="I17" i="20" s="1"/>
  <c r="E16" i="20"/>
  <c r="D16" i="20"/>
  <c r="C16" i="20"/>
  <c r="B16" i="20"/>
  <c r="H16" i="20" s="1"/>
  <c r="I16" i="20" s="1"/>
  <c r="D15" i="20"/>
  <c r="C15" i="20"/>
  <c r="B15" i="20"/>
  <c r="H15" i="20" s="1"/>
  <c r="I15" i="20" s="1"/>
  <c r="C14" i="20"/>
  <c r="B14" i="20"/>
  <c r="H14" i="20" l="1"/>
  <c r="I14" i="20" s="1"/>
  <c r="G19" i="10"/>
  <c r="G28" i="10" s="1"/>
  <c r="F19" i="10"/>
  <c r="F28" i="10" s="1"/>
  <c r="E19" i="10"/>
  <c r="E28" i="10" s="1"/>
  <c r="D19" i="10"/>
  <c r="D28" i="10" s="1"/>
  <c r="C19" i="10"/>
  <c r="C28" i="10" s="1"/>
  <c r="B19" i="10"/>
  <c r="A19" i="10"/>
  <c r="G9" i="10"/>
  <c r="G29" i="10" s="1"/>
  <c r="F9" i="10"/>
  <c r="F29" i="10" s="1"/>
  <c r="E9" i="10"/>
  <c r="E29" i="10" s="1"/>
  <c r="D9" i="10"/>
  <c r="D29" i="10" s="1"/>
  <c r="C9" i="10"/>
  <c r="C29" i="10" s="1"/>
  <c r="B9" i="10"/>
  <c r="B29" i="10" s="1"/>
  <c r="B30" i="10" s="1"/>
  <c r="F30" i="10" l="1"/>
  <c r="G30" i="10"/>
  <c r="E30" i="10"/>
  <c r="B24" i="10"/>
  <c r="C30" i="10"/>
  <c r="D30" i="10"/>
  <c r="B14" i="10"/>
  <c r="B23" i="10"/>
  <c r="B13" i="10"/>
  <c r="B32" i="10" l="1"/>
  <c r="D11" i="3"/>
  <c r="A25" i="3" s="1"/>
  <c r="E11" i="3"/>
  <c r="A26" i="3" s="1"/>
  <c r="F11" i="3"/>
  <c r="A27" i="3" s="1"/>
  <c r="C11" i="3"/>
  <c r="A24" i="3" s="1"/>
  <c r="B3" i="19" l="1"/>
  <c r="E8" i="19" s="1"/>
  <c r="E9" i="19" s="1"/>
  <c r="B7" i="18"/>
  <c r="B3" i="18"/>
  <c r="I12" i="18" s="1"/>
  <c r="C4" i="16"/>
  <c r="C8" i="16" s="1"/>
  <c r="B4" i="16"/>
  <c r="B8" i="16" s="1"/>
  <c r="C7" i="18" l="1"/>
  <c r="G7" i="18"/>
  <c r="G12" i="18"/>
  <c r="C12" i="18"/>
  <c r="E7" i="18"/>
  <c r="F7" i="18"/>
  <c r="I7" i="18"/>
  <c r="D12" i="18"/>
  <c r="H12" i="18"/>
  <c r="C8" i="19"/>
  <c r="D8" i="19"/>
  <c r="D9" i="19" s="1"/>
  <c r="E12" i="18"/>
  <c r="H7" i="18"/>
  <c r="D7" i="18"/>
  <c r="F12" i="18"/>
  <c r="B39" i="15"/>
  <c r="B38" i="15"/>
  <c r="B37" i="15"/>
  <c r="I31" i="15"/>
  <c r="H31" i="15"/>
  <c r="G31" i="15"/>
  <c r="F31" i="15"/>
  <c r="E31" i="15"/>
  <c r="D31" i="15"/>
  <c r="C31" i="15"/>
  <c r="F30" i="15"/>
  <c r="E30" i="15"/>
  <c r="D30" i="15"/>
  <c r="C30" i="15"/>
  <c r="I29" i="15"/>
  <c r="H29" i="15"/>
  <c r="G29" i="15"/>
  <c r="F29" i="15"/>
  <c r="E29" i="15"/>
  <c r="D29" i="15"/>
  <c r="C29" i="15"/>
  <c r="I28" i="15"/>
  <c r="H28" i="15"/>
  <c r="G28" i="15"/>
  <c r="F28" i="15"/>
  <c r="E28" i="15"/>
  <c r="D28" i="15"/>
  <c r="C28" i="15"/>
  <c r="I27" i="15"/>
  <c r="H27" i="15"/>
  <c r="G27" i="15"/>
  <c r="F27" i="15"/>
  <c r="F32" i="15" s="1"/>
  <c r="E27" i="15"/>
  <c r="D27" i="15"/>
  <c r="D32" i="15"/>
  <c r="C27" i="15"/>
  <c r="I26" i="15"/>
  <c r="B26" i="15"/>
  <c r="B25" i="15"/>
  <c r="B24" i="15"/>
  <c r="B23" i="15"/>
  <c r="C7" i="14"/>
  <c r="D7" i="14"/>
  <c r="E7" i="14"/>
  <c r="F7" i="14"/>
  <c r="G7" i="14"/>
  <c r="B13" i="14" s="1"/>
  <c r="B7" i="14"/>
  <c r="C6" i="13"/>
  <c r="D6" i="13"/>
  <c r="E6" i="13"/>
  <c r="F6" i="13"/>
  <c r="B6" i="13"/>
  <c r="L28" i="12"/>
  <c r="I20" i="12"/>
  <c r="I32" i="12" s="1"/>
  <c r="B20" i="12"/>
  <c r="B32" i="12" s="1"/>
  <c r="B19" i="12"/>
  <c r="B31" i="12" s="1"/>
  <c r="B18" i="12"/>
  <c r="B30" i="12" s="1"/>
  <c r="B33" i="12" s="1"/>
  <c r="A18" i="12"/>
  <c r="A30" i="12" s="1"/>
  <c r="I17" i="12"/>
  <c r="H17" i="12"/>
  <c r="G17" i="12"/>
  <c r="F17" i="12"/>
  <c r="E17" i="12"/>
  <c r="D17" i="12"/>
  <c r="C17" i="12"/>
  <c r="I16" i="12"/>
  <c r="H16" i="12"/>
  <c r="G16" i="12"/>
  <c r="F16" i="12"/>
  <c r="E16" i="12"/>
  <c r="D16" i="12"/>
  <c r="C16" i="12"/>
  <c r="B4" i="12"/>
  <c r="D15" i="12" s="1"/>
  <c r="E15" i="12"/>
  <c r="G15" i="12"/>
  <c r="I15" i="12"/>
  <c r="B21" i="12"/>
  <c r="I35" i="12"/>
  <c r="F30" i="11"/>
  <c r="E30" i="11"/>
  <c r="D30" i="11"/>
  <c r="C30" i="11"/>
  <c r="F28" i="11"/>
  <c r="E28" i="11"/>
  <c r="D28" i="11"/>
  <c r="C28" i="11"/>
  <c r="B27" i="11"/>
  <c r="B31" i="11" s="1"/>
  <c r="F19" i="11"/>
  <c r="E19" i="11"/>
  <c r="D19" i="11"/>
  <c r="C19" i="11"/>
  <c r="F17" i="11"/>
  <c r="F18" i="11" s="1"/>
  <c r="E17" i="11"/>
  <c r="D17" i="11"/>
  <c r="D18" i="11"/>
  <c r="C17" i="11"/>
  <c r="F16" i="11"/>
  <c r="B16" i="11"/>
  <c r="B20" i="11" s="1"/>
  <c r="A16" i="11"/>
  <c r="B10" i="11"/>
  <c r="E29" i="11" s="1"/>
  <c r="E31" i="11" s="1"/>
  <c r="E39" i="11" s="1"/>
  <c r="B20" i="9"/>
  <c r="C20" i="9"/>
  <c r="D20" i="9"/>
  <c r="E20" i="9"/>
  <c r="B9" i="8"/>
  <c r="C9" i="8"/>
  <c r="D9" i="8"/>
  <c r="B10" i="8"/>
  <c r="C10" i="8"/>
  <c r="D10" i="8"/>
  <c r="C11" i="7"/>
  <c r="D11" i="7"/>
  <c r="E11" i="7"/>
  <c r="F11" i="7"/>
  <c r="G11" i="7"/>
  <c r="C12" i="7"/>
  <c r="D12" i="7"/>
  <c r="E12" i="7"/>
  <c r="F12" i="7"/>
  <c r="G12" i="7"/>
  <c r="C13" i="7"/>
  <c r="D13" i="7"/>
  <c r="E13" i="7"/>
  <c r="F13" i="7"/>
  <c r="G13" i="7"/>
  <c r="B9" i="6"/>
  <c r="B10" i="6"/>
  <c r="B11" i="6"/>
  <c r="C12" i="6"/>
  <c r="C13" i="6" s="1"/>
  <c r="D12" i="6"/>
  <c r="D13" i="6" s="1"/>
  <c r="E12" i="6"/>
  <c r="F12" i="6"/>
  <c r="F13" i="6" s="1"/>
  <c r="G12" i="6"/>
  <c r="G13" i="6" s="1"/>
  <c r="H12" i="6"/>
  <c r="H13" i="6"/>
  <c r="I12" i="6"/>
  <c r="J12" i="6"/>
  <c r="J13" i="6" s="1"/>
  <c r="K12" i="6"/>
  <c r="K13" i="6" s="1"/>
  <c r="L12" i="6"/>
  <c r="L13" i="6" s="1"/>
  <c r="E13" i="6"/>
  <c r="I13" i="6"/>
  <c r="B7" i="5"/>
  <c r="C8" i="5"/>
  <c r="D8" i="5"/>
  <c r="D10" i="5" s="1"/>
  <c r="E8" i="5"/>
  <c r="F8" i="5"/>
  <c r="G8" i="5"/>
  <c r="G10" i="5" s="1"/>
  <c r="H8" i="5"/>
  <c r="H9" i="5"/>
  <c r="B10" i="5"/>
  <c r="C10" i="5"/>
  <c r="E10" i="5"/>
  <c r="F10" i="5"/>
  <c r="B13" i="4"/>
  <c r="B18" i="4" s="1"/>
  <c r="D13" i="4"/>
  <c r="C14" i="4"/>
  <c r="D14" i="4"/>
  <c r="E14" i="4"/>
  <c r="F14" i="4"/>
  <c r="C15" i="4"/>
  <c r="D15" i="4"/>
  <c r="E15" i="4"/>
  <c r="F15" i="4"/>
  <c r="D16" i="4"/>
  <c r="E16" i="4"/>
  <c r="F16" i="4"/>
  <c r="G16" i="4"/>
  <c r="D17" i="4"/>
  <c r="E17" i="4"/>
  <c r="F17" i="4"/>
  <c r="G17" i="4"/>
  <c r="C18" i="4"/>
  <c r="F2" i="1"/>
  <c r="G2" i="1"/>
  <c r="F3" i="1"/>
  <c r="F4" i="1" s="1"/>
  <c r="G3" i="1"/>
  <c r="B4" i="1"/>
  <c r="C4" i="1"/>
  <c r="D4" i="1"/>
  <c r="E4" i="1"/>
  <c r="C6" i="3"/>
  <c r="D6" i="3"/>
  <c r="E6" i="3"/>
  <c r="E7" i="3" s="1"/>
  <c r="F6" i="3"/>
  <c r="F7" i="3" s="1"/>
  <c r="C7" i="3"/>
  <c r="D7" i="3"/>
  <c r="C13" i="3"/>
  <c r="D13" i="3"/>
  <c r="E13" i="3"/>
  <c r="E14" i="3" s="1"/>
  <c r="E18" i="3" s="1"/>
  <c r="F13" i="3"/>
  <c r="C14" i="3"/>
  <c r="C18" i="3" s="1"/>
  <c r="D14" i="3"/>
  <c r="D18" i="3"/>
  <c r="F14" i="3"/>
  <c r="F18" i="3" s="1"/>
  <c r="B18" i="3"/>
  <c r="D24" i="3"/>
  <c r="D25" i="3"/>
  <c r="D26" i="3"/>
  <c r="D27" i="3"/>
  <c r="C18" i="11"/>
  <c r="C20" i="11"/>
  <c r="C40" i="11" s="1"/>
  <c r="E18" i="11"/>
  <c r="E20" i="11" s="1"/>
  <c r="E40" i="11" s="1"/>
  <c r="D29" i="11"/>
  <c r="D31" i="11" s="1"/>
  <c r="D39" i="11" s="1"/>
  <c r="F29" i="11"/>
  <c r="C29" i="11"/>
  <c r="C31" i="11"/>
  <c r="C39" i="11" s="1"/>
  <c r="C27" i="12" l="1"/>
  <c r="C33" i="12" s="1"/>
  <c r="D27" i="12"/>
  <c r="D33" i="12" s="1"/>
  <c r="E27" i="12"/>
  <c r="E33" i="12" s="1"/>
  <c r="F27" i="12"/>
  <c r="F33" i="12" s="1"/>
  <c r="G27" i="12"/>
  <c r="G33" i="12" s="1"/>
  <c r="H27" i="12"/>
  <c r="H33" i="12" s="1"/>
  <c r="I27" i="12"/>
  <c r="I33" i="12" s="1"/>
  <c r="I21" i="12"/>
  <c r="C15" i="12"/>
  <c r="C21" i="12" s="1"/>
  <c r="B24" i="12" s="1"/>
  <c r="F15" i="12"/>
  <c r="F21" i="12" s="1"/>
  <c r="F42" i="12"/>
  <c r="D42" i="12"/>
  <c r="H15" i="12"/>
  <c r="H21" i="12" s="1"/>
  <c r="D18" i="4"/>
  <c r="H10" i="5"/>
  <c r="E41" i="11"/>
  <c r="D20" i="11"/>
  <c r="D40" i="11" s="1"/>
  <c r="I32" i="15"/>
  <c r="H32" i="15"/>
  <c r="B16" i="18"/>
  <c r="B20" i="18"/>
  <c r="D41" i="11"/>
  <c r="B11" i="14"/>
  <c r="D28" i="3"/>
  <c r="G4" i="1"/>
  <c r="G21" i="12"/>
  <c r="D21" i="12"/>
  <c r="E32" i="15"/>
  <c r="B40" i="15"/>
  <c r="B9" i="18"/>
  <c r="F27" i="11"/>
  <c r="F31" i="11" s="1"/>
  <c r="F39" i="11" s="1"/>
  <c r="E18" i="4"/>
  <c r="B13" i="5"/>
  <c r="B32" i="15"/>
  <c r="G32" i="15"/>
  <c r="B20" i="3"/>
  <c r="C9" i="3"/>
  <c r="B13" i="6"/>
  <c r="E21" i="12"/>
  <c r="H42" i="12"/>
  <c r="B42" i="12"/>
  <c r="C32" i="15"/>
  <c r="G18" i="4"/>
  <c r="F18" i="4"/>
  <c r="B20" i="4" s="1"/>
  <c r="C41" i="11"/>
  <c r="B12" i="5"/>
  <c r="B34" i="11"/>
  <c r="B33" i="11"/>
  <c r="B39" i="11"/>
  <c r="B15" i="6"/>
  <c r="B16" i="6"/>
  <c r="B40" i="11"/>
  <c r="B21" i="4"/>
  <c r="F20" i="11"/>
  <c r="F40" i="11" s="1"/>
  <c r="F41" i="11" s="1"/>
  <c r="I42" i="12"/>
  <c r="H35" i="12"/>
  <c r="H37" i="12" s="1"/>
  <c r="B35" i="15"/>
  <c r="B42" i="15" s="1"/>
  <c r="B43" i="15" s="1"/>
  <c r="E42" i="12"/>
  <c r="B10" i="13"/>
  <c r="B12" i="14"/>
  <c r="B8" i="19"/>
  <c r="B9" i="19" s="1"/>
  <c r="C9" i="19"/>
  <c r="B18" i="7" l="1"/>
  <c r="B34" i="15"/>
  <c r="B23" i="12"/>
  <c r="C35" i="12"/>
  <c r="C37" i="12" s="1"/>
  <c r="G35" i="12"/>
  <c r="G37" i="12" s="1"/>
  <c r="H39" i="12" s="1"/>
  <c r="H44" i="12" s="1"/>
  <c r="H54" i="12" s="1"/>
  <c r="B19" i="7"/>
  <c r="B12" i="19"/>
  <c r="B41" i="11"/>
  <c r="D39" i="12"/>
  <c r="D44" i="12" s="1"/>
  <c r="D54" i="12" s="1"/>
  <c r="F35" i="12"/>
  <c r="F37" i="12" s="1"/>
  <c r="G42" i="12"/>
  <c r="D35" i="12"/>
  <c r="D37" i="12" s="1"/>
  <c r="H38" i="12"/>
  <c r="H43" i="12" s="1"/>
  <c r="H53" i="12" s="1"/>
  <c r="I39" i="12"/>
  <c r="I44" i="12" s="1"/>
  <c r="I54" i="12" s="1"/>
  <c r="I38" i="12"/>
  <c r="I43" i="12" s="1"/>
  <c r="I53" i="12" s="1"/>
  <c r="B23" i="11"/>
  <c r="B43" i="11"/>
  <c r="E35" i="12"/>
  <c r="E37" i="12" s="1"/>
  <c r="B22" i="11"/>
  <c r="B10" i="19"/>
  <c r="C42" i="12"/>
  <c r="B35" i="12"/>
  <c r="B37" i="12" s="1"/>
  <c r="C38" i="12" s="1"/>
  <c r="C43" i="12" s="1"/>
  <c r="C53" i="12" s="1"/>
  <c r="H45" i="12" l="1"/>
  <c r="G38" i="12"/>
  <c r="G43" i="12" s="1"/>
  <c r="G53" i="12" s="1"/>
  <c r="I45" i="12"/>
  <c r="H55" i="12"/>
  <c r="G39" i="12"/>
  <c r="G44" i="12" s="1"/>
  <c r="G54" i="12" s="1"/>
  <c r="G55" i="12" s="1"/>
  <c r="F38" i="12"/>
  <c r="F43" i="12" s="1"/>
  <c r="E38" i="12"/>
  <c r="E43" i="12" s="1"/>
  <c r="F39" i="12"/>
  <c r="F44" i="12" s="1"/>
  <c r="F54" i="12" s="1"/>
  <c r="E39" i="12"/>
  <c r="E44" i="12" s="1"/>
  <c r="E54" i="12" s="1"/>
  <c r="D38" i="12"/>
  <c r="D43" i="12" s="1"/>
  <c r="B43" i="12"/>
  <c r="C39" i="12"/>
  <c r="C44" i="12" s="1"/>
  <c r="C54" i="12" s="1"/>
  <c r="C55" i="12" s="1"/>
  <c r="I55" i="12"/>
  <c r="E53" i="12" l="1"/>
  <c r="E55" i="12" s="1"/>
  <c r="E45" i="12"/>
  <c r="B52" i="12"/>
  <c r="B55" i="12" s="1"/>
  <c r="B45" i="12"/>
  <c r="C45" i="12"/>
  <c r="D53" i="12"/>
  <c r="D55" i="12" s="1"/>
  <c r="D45" i="12"/>
  <c r="G45" i="12"/>
  <c r="F53" i="12"/>
  <c r="F55" i="12" s="1"/>
  <c r="F45" i="12"/>
  <c r="B47" i="12" l="1"/>
  <c r="B48" i="12"/>
  <c r="B57" i="12"/>
</calcChain>
</file>

<file path=xl/sharedStrings.xml><?xml version="1.0" encoding="utf-8"?>
<sst xmlns="http://schemas.openxmlformats.org/spreadsheetml/2006/main" count="384" uniqueCount="199">
  <si>
    <t>Rente</t>
  </si>
  <si>
    <t>År</t>
  </si>
  <si>
    <t>Prosjekt 1</t>
  </si>
  <si>
    <t>Prosjekt 2</t>
  </si>
  <si>
    <t>Prosjekt 3</t>
  </si>
  <si>
    <t>Prosjekt 4</t>
  </si>
  <si>
    <t>Nåverdi</t>
  </si>
  <si>
    <t>Prosjekt A</t>
  </si>
  <si>
    <t>Prosjekt B</t>
  </si>
  <si>
    <t>Prosjekt C</t>
  </si>
  <si>
    <t>Internrente</t>
  </si>
  <si>
    <t>Anleggsmidler</t>
  </si>
  <si>
    <t>Arbeidskapital</t>
  </si>
  <si>
    <t>Restverdi</t>
  </si>
  <si>
    <t>Overnattinger</t>
  </si>
  <si>
    <t>Pris pr. overnatting</t>
  </si>
  <si>
    <t>Lønnskostnader</t>
  </si>
  <si>
    <t>Øvrige betalbare kostnader</t>
  </si>
  <si>
    <t>Omsetning</t>
  </si>
  <si>
    <t>Kontantstrøm</t>
  </si>
  <si>
    <t>Sparte lønnskostnader</t>
  </si>
  <si>
    <t>Innbyttepris</t>
  </si>
  <si>
    <t>Ny maskin</t>
  </si>
  <si>
    <t>Installasjon</t>
  </si>
  <si>
    <t>Levetid</t>
  </si>
  <si>
    <t>Innbytte gammel</t>
  </si>
  <si>
    <t>Installering</t>
  </si>
  <si>
    <t>Salgsverdi tomt og brakker</t>
  </si>
  <si>
    <t>Salgsverdi tomt</t>
  </si>
  <si>
    <t>Leieinntekt</t>
  </si>
  <si>
    <t>Salg tomt og brakke</t>
  </si>
  <si>
    <t>Leieinntekter</t>
  </si>
  <si>
    <t>Salg tomt</t>
  </si>
  <si>
    <t>Luksushytter fase 1</t>
  </si>
  <si>
    <t>Luksushytter fase 2</t>
  </si>
  <si>
    <t>Salgspris</t>
  </si>
  <si>
    <t>Produksjonskostnad luksus</t>
  </si>
  <si>
    <t>Standardhytter fase 1</t>
  </si>
  <si>
    <t>Standardhytter fase 2</t>
  </si>
  <si>
    <t>Produksjonskostnad standard</t>
  </si>
  <si>
    <t>Tomtekostnad</t>
  </si>
  <si>
    <t>Salgsinntekter luksus</t>
  </si>
  <si>
    <t>Salgsinntekter standard</t>
  </si>
  <si>
    <t>Alternativ A</t>
  </si>
  <si>
    <t>Alternativ B</t>
  </si>
  <si>
    <t>Alternativ A - B</t>
  </si>
  <si>
    <t>Produkt A</t>
  </si>
  <si>
    <t>Produkt B</t>
  </si>
  <si>
    <t>Salgsinnbetalinger</t>
  </si>
  <si>
    <t>Betalbare kostnader</t>
  </si>
  <si>
    <t>Kontantstrøm år 15</t>
  </si>
  <si>
    <t>Investeringsutgift</t>
  </si>
  <si>
    <t>Havblikk</t>
  </si>
  <si>
    <t>Inntekter</t>
  </si>
  <si>
    <t>Variable kostnader</t>
  </si>
  <si>
    <t>Huldra</t>
  </si>
  <si>
    <t>Avkastningskrav</t>
  </si>
  <si>
    <t>Faste kostnader</t>
  </si>
  <si>
    <t>Huldra - Havblikk</t>
  </si>
  <si>
    <t>Råvarer</t>
  </si>
  <si>
    <t>Lønn</t>
  </si>
  <si>
    <t>Dekningsbidrag</t>
  </si>
  <si>
    <t>Volum</t>
  </si>
  <si>
    <t>Maskiner og utstyr</t>
  </si>
  <si>
    <t>Markedsføring</t>
  </si>
  <si>
    <t>Lisens</t>
  </si>
  <si>
    <t>Gjeldsrente</t>
  </si>
  <si>
    <t>Egenkapital</t>
  </si>
  <si>
    <t>Total</t>
  </si>
  <si>
    <t>Gjeld</t>
  </si>
  <si>
    <t>Avdrag</t>
  </si>
  <si>
    <t>Prosjektets kontantstrøm</t>
  </si>
  <si>
    <t>Lån og avdrag</t>
  </si>
  <si>
    <t>Renter</t>
  </si>
  <si>
    <t>Kontantstrøm til egenkapitalen</t>
  </si>
  <si>
    <t>Utbetalt lån</t>
  </si>
  <si>
    <t>Kontantstrøm lån</t>
  </si>
  <si>
    <t>Mengde</t>
  </si>
  <si>
    <t>12 % royalty</t>
  </si>
  <si>
    <t>Nåverdi av lisensproduksjon</t>
  </si>
  <si>
    <t>Variabel kostnad</t>
  </si>
  <si>
    <t>Økte faste kostnader</t>
  </si>
  <si>
    <t>Nåverdi egenproduksjon</t>
  </si>
  <si>
    <t>Justert salg</t>
  </si>
  <si>
    <t>Opprinnelig salg</t>
  </si>
  <si>
    <t>Endring</t>
  </si>
  <si>
    <t>Kjøp Åsen</t>
  </si>
  <si>
    <t>Selg Lauritzen</t>
  </si>
  <si>
    <t>Økte inntekter</t>
  </si>
  <si>
    <t>Sponsorinntekt</t>
  </si>
  <si>
    <t>Lønn Åsen</t>
  </si>
  <si>
    <t>Lønn Lauritzen</t>
  </si>
  <si>
    <t>Selg Åsen</t>
  </si>
  <si>
    <t>Oppgrader stadion</t>
  </si>
  <si>
    <t>Bilettinntekter</t>
  </si>
  <si>
    <t>Kontantstrøm stadion</t>
  </si>
  <si>
    <t>Kontantstrøm ny spiller</t>
  </si>
  <si>
    <t>Differanseinvestering</t>
  </si>
  <si>
    <t>Salgsinntekter</t>
  </si>
  <si>
    <t>Betalbare faste kostnader</t>
  </si>
  <si>
    <t>Modifisert internrente</t>
  </si>
  <si>
    <t>Vekst</t>
  </si>
  <si>
    <t>Nåverdi uten salg</t>
  </si>
  <si>
    <t>Maskiner</t>
  </si>
  <si>
    <t>Frakt</t>
  </si>
  <si>
    <t>Ombygging</t>
  </si>
  <si>
    <t>Vedlikehold 1 - 5</t>
  </si>
  <si>
    <t>Vedlikehold 6 - 7</t>
  </si>
  <si>
    <t>Salg år 1</t>
  </si>
  <si>
    <t>Salg år 2</t>
  </si>
  <si>
    <t>Salg år 3</t>
  </si>
  <si>
    <t>Salg år 4</t>
  </si>
  <si>
    <t>Salg år 5</t>
  </si>
  <si>
    <t>Salg år 6</t>
  </si>
  <si>
    <t>Salg år 7</t>
  </si>
  <si>
    <t>Pris</t>
  </si>
  <si>
    <t>Variable enh kostnader</t>
  </si>
  <si>
    <t>Tapt husleie</t>
  </si>
  <si>
    <t>Vedlikehold</t>
  </si>
  <si>
    <t>NV av 1 kr år 5</t>
  </si>
  <si>
    <t>NV av 1 kr år 6</t>
  </si>
  <si>
    <t>NV av 1 kr år 7</t>
  </si>
  <si>
    <t>NV av 1 kr i år 5, 6 og 7</t>
  </si>
  <si>
    <t>Nåverdi faller med</t>
  </si>
  <si>
    <t>og blir 0</t>
  </si>
  <si>
    <t>Hvis reklamekostnader er</t>
  </si>
  <si>
    <t>årlig i år 5, 6 og 7</t>
  </si>
  <si>
    <t>Investering</t>
  </si>
  <si>
    <t>Kontantstrøm år 1</t>
  </si>
  <si>
    <t>Kontantstrøm år 2</t>
  </si>
  <si>
    <t>Kontantstrøm år 3</t>
  </si>
  <si>
    <t>Kontantstrøm år 4</t>
  </si>
  <si>
    <t>Kontantstrøm år 5</t>
  </si>
  <si>
    <t>Utrangering år 1</t>
  </si>
  <si>
    <t>Utrangering år 2</t>
  </si>
  <si>
    <t>Utrangering år 3</t>
  </si>
  <si>
    <t>Utrangering år 4</t>
  </si>
  <si>
    <t>Utrangering år 5</t>
  </si>
  <si>
    <t>Nåverdi-
annuitet</t>
  </si>
  <si>
    <t>Avk krav</t>
  </si>
  <si>
    <t>Obligasjon</t>
  </si>
  <si>
    <t>A</t>
  </si>
  <si>
    <t>B</t>
  </si>
  <si>
    <t>Pålydende</t>
  </si>
  <si>
    <t>Kupong</t>
  </si>
  <si>
    <t>Rentebetaling</t>
  </si>
  <si>
    <t>Forfall</t>
  </si>
  <si>
    <t>Kurs</t>
  </si>
  <si>
    <t>B er mest utsatt for renterisiko pga. lengre tid til forfall</t>
  </si>
  <si>
    <t>YTM</t>
  </si>
  <si>
    <t>CF ved kjøp</t>
  </si>
  <si>
    <t>Yield</t>
  </si>
  <si>
    <t>Durasjon</t>
  </si>
  <si>
    <t>C</t>
  </si>
  <si>
    <t>År 1</t>
  </si>
  <si>
    <t>År 2</t>
  </si>
  <si>
    <t>År 3</t>
  </si>
  <si>
    <t>Nåverdi (NNV)</t>
  </si>
  <si>
    <t>Internrente (IR)</t>
  </si>
  <si>
    <t>Januar 2023 (0)</t>
  </si>
  <si>
    <t>2023 (1)</t>
  </si>
  <si>
    <t>2024 (2)</t>
  </si>
  <si>
    <t>2025 (3)</t>
  </si>
  <si>
    <t>2026 (4)</t>
  </si>
  <si>
    <t>2027 (5)</t>
  </si>
  <si>
    <t>Ombygging år 15</t>
  </si>
  <si>
    <t>Nytt produksjonsutstyr</t>
  </si>
  <si>
    <t>Produkt</t>
  </si>
  <si>
    <t>Netto nåverdi</t>
  </si>
  <si>
    <t>Utleie</t>
  </si>
  <si>
    <t>NNV</t>
  </si>
  <si>
    <t>Velger Huldra pga høyest NNV</t>
  </si>
  <si>
    <t>Man kan også løse med målsøking i Excel.</t>
  </si>
  <si>
    <t>Kontantstrøm år 1–14</t>
  </si>
  <si>
    <t>Endring i nåverdi ved reviderte anslag på salgspriser</t>
  </si>
  <si>
    <t>Avlastningskrav</t>
  </si>
  <si>
    <t>Kontantstrøm år 1-4</t>
  </si>
  <si>
    <t>Sluttverdi</t>
  </si>
  <si>
    <t>Total sluttverdi</t>
  </si>
  <si>
    <t>Nåverdi salg 0 % vekst</t>
  </si>
  <si>
    <t>Nåverdi salg 2 % vekst</t>
  </si>
  <si>
    <t>a)</t>
  </si>
  <si>
    <t>b)</t>
  </si>
  <si>
    <t>c)</t>
  </si>
  <si>
    <t>Buss A</t>
  </si>
  <si>
    <t>Buss B</t>
  </si>
  <si>
    <t>Annuitet</t>
  </si>
  <si>
    <t>Lavest årlig kostnad for buss B.</t>
  </si>
  <si>
    <t>Spot 1 år</t>
  </si>
  <si>
    <t>NV CF år 2 for A</t>
  </si>
  <si>
    <t>Diskontert 1 år spot</t>
  </si>
  <si>
    <t>Termin år 1 - 2</t>
  </si>
  <si>
    <t>NV CF år 2 for B</t>
  </si>
  <si>
    <t>Diskontert 2 år</t>
  </si>
  <si>
    <t>Termin år 2 - 3</t>
  </si>
  <si>
    <t>Kurs B om 1 år</t>
  </si>
  <si>
    <t>Durasjon B</t>
  </si>
  <si>
    <t>Alternativt</t>
  </si>
  <si>
    <t>Svar blir marginalt forskjellig om man diskonterer med YTM eller spot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</si>
</sst>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 * #,##0.00_ ;_ * \-#,##0.00_ ;_ * &quot;-&quot;??_ ;_ @_ "/>
    <numFmt numFmtId="165" formatCode="0.0\ %"/>
    <numFmt numFmtId="166" formatCode="_ * #,##0_ ;_ * \-#,##0_ ;_ * &quot;-&quot;??_ ;_ @_ "/>
    <numFmt numFmtId="167" formatCode="#,##0.0000"/>
    <numFmt numFmtId="168" formatCode="_(* #,##0_);_(* \(#,##0\);_(* &quot;-&quot;??_);_(@_)"/>
    <numFmt numFmtId="169" formatCode="#,##0_ ;\-#,##0\ "/>
    <numFmt numFmtId="170" formatCode="0.0000\ %"/>
    <numFmt numFmtId="171" formatCode="#,##0.00_ ;[Red]\-#,##0.00\ "/>
  </numFmts>
  <fonts count="4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62">
    <xf numFmtId="0" fontId="0" fillId="0" borderId="0" xfId="0"/>
    <xf numFmtId="0" fontId="0" fillId="2" borderId="1" xfId="0" applyFill="1" applyBorder="1"/>
    <xf numFmtId="9" fontId="0" fillId="2" borderId="1" xfId="0" applyNumberFormat="1" applyFill="1" applyBorder="1"/>
    <xf numFmtId="3" fontId="0" fillId="0" borderId="0" xfId="0" applyNumberFormat="1"/>
    <xf numFmtId="0" fontId="0" fillId="3" borderId="1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3" fontId="0" fillId="0" borderId="2" xfId="0" applyNumberFormat="1" applyBorder="1"/>
    <xf numFmtId="3" fontId="0" fillId="0" borderId="3" xfId="0" applyNumberFormat="1" applyBorder="1"/>
    <xf numFmtId="3" fontId="0" fillId="0" borderId="4" xfId="0" applyNumberFormat="1" applyBorder="1"/>
    <xf numFmtId="0" fontId="0" fillId="0" borderId="3" xfId="0" applyBorder="1"/>
    <xf numFmtId="0" fontId="0" fillId="0" borderId="4" xfId="0" applyBorder="1"/>
    <xf numFmtId="0" fontId="0" fillId="2" borderId="2" xfId="0" applyFill="1" applyBorder="1" applyAlignment="1">
      <alignment horizontal="center"/>
    </xf>
    <xf numFmtId="3" fontId="0" fillId="2" borderId="2" xfId="0" applyNumberFormat="1" applyFill="1" applyBorder="1"/>
    <xf numFmtId="0" fontId="0" fillId="2" borderId="3" xfId="0" applyFill="1" applyBorder="1" applyAlignment="1">
      <alignment horizontal="center"/>
    </xf>
    <xf numFmtId="3" fontId="0" fillId="2" borderId="3" xfId="0" applyNumberFormat="1" applyFill="1" applyBorder="1"/>
    <xf numFmtId="0" fontId="0" fillId="2" borderId="3" xfId="0" applyFill="1" applyBorder="1"/>
    <xf numFmtId="0" fontId="0" fillId="2" borderId="4" xfId="0" applyFill="1" applyBorder="1" applyAlignment="1">
      <alignment horizontal="center"/>
    </xf>
    <xf numFmtId="3" fontId="0" fillId="2" borderId="4" xfId="0" applyNumberFormat="1" applyFill="1" applyBorder="1"/>
    <xf numFmtId="0" fontId="0" fillId="2" borderId="4" xfId="0" applyFill="1" applyBorder="1"/>
    <xf numFmtId="0" fontId="0" fillId="4" borderId="1" xfId="0" applyFill="1" applyBorder="1"/>
    <xf numFmtId="3" fontId="0" fillId="4" borderId="1" xfId="0" applyNumberFormat="1" applyFill="1" applyBorder="1"/>
    <xf numFmtId="0" fontId="0" fillId="4" borderId="4" xfId="0" applyFill="1" applyBorder="1"/>
    <xf numFmtId="0" fontId="0" fillId="4" borderId="3" xfId="0" applyFill="1" applyBorder="1"/>
    <xf numFmtId="3" fontId="0" fillId="4" borderId="3" xfId="0" applyNumberFormat="1" applyFill="1" applyBorder="1"/>
    <xf numFmtId="10" fontId="0" fillId="4" borderId="4" xfId="0" applyNumberFormat="1" applyFill="1" applyBorder="1"/>
    <xf numFmtId="0" fontId="0" fillId="3" borderId="1" xfId="0" applyFill="1" applyBorder="1"/>
    <xf numFmtId="3" fontId="0" fillId="3" borderId="1" xfId="0" applyNumberFormat="1" applyFill="1" applyBorder="1" applyAlignment="1">
      <alignment horizontal="center"/>
    </xf>
    <xf numFmtId="166" fontId="0" fillId="0" borderId="0" xfId="1" applyNumberFormat="1" applyFont="1"/>
    <xf numFmtId="0" fontId="0" fillId="0" borderId="5" xfId="0" applyBorder="1"/>
    <xf numFmtId="3" fontId="0" fillId="0" borderId="6" xfId="0" applyNumberFormat="1" applyBorder="1"/>
    <xf numFmtId="0" fontId="0" fillId="0" borderId="7" xfId="0" applyBorder="1"/>
    <xf numFmtId="3" fontId="0" fillId="0" borderId="8" xfId="0" applyNumberFormat="1" applyBorder="1"/>
    <xf numFmtId="166" fontId="0" fillId="0" borderId="3" xfId="1" applyNumberFormat="1" applyFont="1" applyBorder="1"/>
    <xf numFmtId="0" fontId="0" fillId="3" borderId="9" xfId="0" applyFill="1" applyBorder="1"/>
    <xf numFmtId="3" fontId="0" fillId="4" borderId="4" xfId="0" applyNumberFormat="1" applyFill="1" applyBorder="1"/>
    <xf numFmtId="0" fontId="0" fillId="0" borderId="2" xfId="0" applyBorder="1"/>
    <xf numFmtId="0" fontId="0" fillId="5" borderId="2" xfId="0" applyFill="1" applyBorder="1"/>
    <xf numFmtId="0" fontId="0" fillId="5" borderId="4" xfId="0" applyFill="1" applyBorder="1"/>
    <xf numFmtId="0" fontId="0" fillId="2" borderId="2" xfId="0" applyFill="1" applyBorder="1"/>
    <xf numFmtId="9" fontId="0" fillId="2" borderId="4" xfId="0" applyNumberFormat="1" applyFill="1" applyBorder="1"/>
    <xf numFmtId="10" fontId="0" fillId="2" borderId="4" xfId="0" applyNumberFormat="1" applyFill="1" applyBorder="1"/>
    <xf numFmtId="0" fontId="0" fillId="0" borderId="10" xfId="0" applyBorder="1"/>
    <xf numFmtId="0" fontId="0" fillId="3" borderId="11" xfId="0" applyFill="1" applyBorder="1" applyAlignment="1">
      <alignment horizontal="center"/>
    </xf>
    <xf numFmtId="3" fontId="0" fillId="0" borderId="2" xfId="0" applyNumberFormat="1" applyBorder="1" applyAlignment="1">
      <alignment horizontal="right"/>
    </xf>
    <xf numFmtId="3" fontId="0" fillId="0" borderId="3" xfId="0" applyNumberFormat="1" applyBorder="1" applyAlignment="1">
      <alignment horizontal="right"/>
    </xf>
    <xf numFmtId="0" fontId="0" fillId="4" borderId="7" xfId="0" applyFill="1" applyBorder="1"/>
    <xf numFmtId="9" fontId="0" fillId="2" borderId="3" xfId="0" applyNumberFormat="1" applyFill="1" applyBorder="1"/>
    <xf numFmtId="9" fontId="0" fillId="2" borderId="4" xfId="2" applyFont="1" applyFill="1" applyBorder="1"/>
    <xf numFmtId="0" fontId="0" fillId="3" borderId="2" xfId="0" applyFill="1" applyBorder="1" applyAlignment="1">
      <alignment horizontal="center"/>
    </xf>
    <xf numFmtId="166" fontId="0" fillId="0" borderId="4" xfId="1" applyNumberFormat="1" applyFont="1" applyBorder="1"/>
    <xf numFmtId="166" fontId="0" fillId="0" borderId="2" xfId="1" applyNumberFormat="1" applyFont="1" applyBorder="1"/>
    <xf numFmtId="166" fontId="0" fillId="4" borderId="4" xfId="0" applyNumberFormat="1" applyFill="1" applyBorder="1"/>
    <xf numFmtId="166" fontId="0" fillId="2" borderId="2" xfId="0" applyNumberFormat="1" applyFill="1" applyBorder="1"/>
    <xf numFmtId="0" fontId="0" fillId="4" borderId="9" xfId="0" applyFill="1" applyBorder="1"/>
    <xf numFmtId="10" fontId="0" fillId="4" borderId="1" xfId="2" applyNumberFormat="1" applyFont="1" applyFill="1" applyBorder="1"/>
    <xf numFmtId="166" fontId="0" fillId="4" borderId="2" xfId="1" applyNumberFormat="1" applyFont="1" applyFill="1" applyBorder="1"/>
    <xf numFmtId="166" fontId="0" fillId="4" borderId="4" xfId="1" applyNumberFormat="1" applyFont="1" applyFill="1" applyBorder="1"/>
    <xf numFmtId="3" fontId="0" fillId="0" borderId="10" xfId="0" applyNumberFormat="1" applyBorder="1"/>
    <xf numFmtId="3" fontId="0" fillId="0" borderId="7" xfId="0" applyNumberFormat="1" applyBorder="1"/>
    <xf numFmtId="10" fontId="0" fillId="4" borderId="12" xfId="0" applyNumberFormat="1" applyFill="1" applyBorder="1"/>
    <xf numFmtId="10" fontId="0" fillId="4" borderId="8" xfId="0" applyNumberFormat="1" applyFill="1" applyBorder="1"/>
    <xf numFmtId="0" fontId="0" fillId="5" borderId="1" xfId="0" applyFill="1" applyBorder="1"/>
    <xf numFmtId="0" fontId="0" fillId="2" borderId="10" xfId="0" applyFill="1" applyBorder="1"/>
    <xf numFmtId="0" fontId="0" fillId="2" borderId="5" xfId="0" applyFill="1" applyBorder="1"/>
    <xf numFmtId="166" fontId="0" fillId="2" borderId="1" xfId="1" applyNumberFormat="1" applyFont="1" applyFill="1" applyBorder="1"/>
    <xf numFmtId="166" fontId="0" fillId="4" borderId="1" xfId="0" applyNumberFormat="1" applyFill="1" applyBorder="1"/>
    <xf numFmtId="0" fontId="0" fillId="5" borderId="9" xfId="0" applyFill="1" applyBorder="1"/>
    <xf numFmtId="0" fontId="0" fillId="5" borderId="11" xfId="0" applyFill="1" applyBorder="1"/>
    <xf numFmtId="166" fontId="0" fillId="0" borderId="2" xfId="0" applyNumberFormat="1" applyBorder="1"/>
    <xf numFmtId="0" fontId="0" fillId="5" borderId="13" xfId="0" applyFill="1" applyBorder="1"/>
    <xf numFmtId="3" fontId="0" fillId="0" borderId="12" xfId="0" applyNumberFormat="1" applyBorder="1"/>
    <xf numFmtId="9" fontId="0" fillId="0" borderId="0" xfId="0" applyNumberFormat="1"/>
    <xf numFmtId="3" fontId="0" fillId="0" borderId="14" xfId="0" applyNumberFormat="1" applyBorder="1"/>
    <xf numFmtId="165" fontId="0" fillId="0" borderId="0" xfId="2" applyNumberFormat="1" applyFont="1"/>
    <xf numFmtId="9" fontId="0" fillId="0" borderId="0" xfId="2" applyFont="1"/>
    <xf numFmtId="10" fontId="0" fillId="0" borderId="0" xfId="0" applyNumberFormat="1"/>
    <xf numFmtId="0" fontId="2" fillId="5" borderId="2" xfId="0" applyFont="1" applyFill="1" applyBorder="1"/>
    <xf numFmtId="3" fontId="2" fillId="5" borderId="2" xfId="0" applyNumberFormat="1" applyFont="1" applyFill="1" applyBorder="1" applyAlignment="1">
      <alignment horizontal="center"/>
    </xf>
    <xf numFmtId="0" fontId="2" fillId="5" borderId="2" xfId="0" applyFont="1" applyFill="1" applyBorder="1" applyAlignment="1">
      <alignment horizontal="center"/>
    </xf>
    <xf numFmtId="167" fontId="0" fillId="0" borderId="0" xfId="0" applyNumberFormat="1"/>
    <xf numFmtId="0" fontId="2" fillId="0" borderId="0" xfId="0" applyFont="1"/>
    <xf numFmtId="168" fontId="2" fillId="0" borderId="0" xfId="1" applyNumberFormat="1" applyFont="1" applyBorder="1"/>
    <xf numFmtId="3" fontId="2" fillId="0" borderId="0" xfId="0" applyNumberFormat="1" applyFont="1"/>
    <xf numFmtId="0" fontId="1" fillId="0" borderId="0" xfId="0" applyFont="1"/>
    <xf numFmtId="0" fontId="1" fillId="8" borderId="0" xfId="0" applyFont="1" applyFill="1"/>
    <xf numFmtId="0" fontId="1" fillId="11" borderId="0" xfId="0" applyFont="1" applyFill="1"/>
    <xf numFmtId="0" fontId="1" fillId="9" borderId="0" xfId="0" applyFont="1" applyFill="1"/>
    <xf numFmtId="164" fontId="0" fillId="9" borderId="0" xfId="1" applyFont="1" applyFill="1"/>
    <xf numFmtId="0" fontId="0" fillId="8" borderId="0" xfId="0" applyFill="1" applyAlignment="1">
      <alignment horizontal="center"/>
    </xf>
    <xf numFmtId="164" fontId="0" fillId="8" borderId="0" xfId="1" applyFont="1" applyFill="1"/>
    <xf numFmtId="1" fontId="0" fillId="0" borderId="0" xfId="0" applyNumberFormat="1"/>
    <xf numFmtId="164" fontId="0" fillId="0" borderId="0" xfId="1" applyFont="1" applyFill="1"/>
    <xf numFmtId="169" fontId="0" fillId="8" borderId="0" xfId="1" applyNumberFormat="1" applyFont="1" applyFill="1" applyAlignment="1">
      <alignment horizontal="center"/>
    </xf>
    <xf numFmtId="10" fontId="0" fillId="8" borderId="0" xfId="1" applyNumberFormat="1" applyFont="1" applyFill="1"/>
    <xf numFmtId="164" fontId="0" fillId="11" borderId="0" xfId="0" applyNumberFormat="1" applyFill="1"/>
    <xf numFmtId="3" fontId="0" fillId="12" borderId="2" xfId="0" applyNumberFormat="1" applyFill="1" applyBorder="1"/>
    <xf numFmtId="9" fontId="0" fillId="12" borderId="3" xfId="0" applyNumberFormat="1" applyFill="1" applyBorder="1"/>
    <xf numFmtId="3" fontId="0" fillId="12" borderId="3" xfId="0" applyNumberFormat="1" applyFill="1" applyBorder="1"/>
    <xf numFmtId="0" fontId="0" fillId="12" borderId="3" xfId="0" applyFill="1" applyBorder="1"/>
    <xf numFmtId="9" fontId="0" fillId="12" borderId="4" xfId="0" applyNumberFormat="1" applyFill="1" applyBorder="1"/>
    <xf numFmtId="0" fontId="0" fillId="13" borderId="2" xfId="0" applyFill="1" applyBorder="1"/>
    <xf numFmtId="0" fontId="0" fillId="13" borderId="3" xfId="0" applyFill="1" applyBorder="1"/>
    <xf numFmtId="0" fontId="0" fillId="13" borderId="4" xfId="0" applyFill="1" applyBorder="1"/>
    <xf numFmtId="3" fontId="0" fillId="12" borderId="0" xfId="0" applyNumberFormat="1" applyFill="1"/>
    <xf numFmtId="0" fontId="0" fillId="12" borderId="0" xfId="0" applyFill="1"/>
    <xf numFmtId="9" fontId="0" fillId="12" borderId="4" xfId="2" applyFont="1" applyFill="1" applyBorder="1"/>
    <xf numFmtId="167" fontId="0" fillId="0" borderId="2" xfId="0" applyNumberFormat="1" applyBorder="1"/>
    <xf numFmtId="167" fontId="0" fillId="0" borderId="3" xfId="0" applyNumberFormat="1" applyBorder="1"/>
    <xf numFmtId="167" fontId="0" fillId="0" borderId="4" xfId="0" applyNumberFormat="1" applyBorder="1"/>
    <xf numFmtId="0" fontId="1" fillId="12" borderId="2" xfId="0" applyFont="1" applyFill="1" applyBorder="1"/>
    <xf numFmtId="0" fontId="1" fillId="12" borderId="4" xfId="0" applyFont="1" applyFill="1" applyBorder="1"/>
    <xf numFmtId="165" fontId="2" fillId="13" borderId="2" xfId="2" applyNumberFormat="1" applyFont="1" applyFill="1" applyBorder="1"/>
    <xf numFmtId="3" fontId="2" fillId="13" borderId="4" xfId="0" applyNumberFormat="1" applyFont="1" applyFill="1" applyBorder="1"/>
    <xf numFmtId="0" fontId="0" fillId="5" borderId="3" xfId="0" applyFill="1" applyBorder="1"/>
    <xf numFmtId="3" fontId="0" fillId="4" borderId="10" xfId="0" applyNumberFormat="1" applyFill="1" applyBorder="1"/>
    <xf numFmtId="3" fontId="0" fillId="4" borderId="5" xfId="0" applyNumberFormat="1" applyFill="1" applyBorder="1"/>
    <xf numFmtId="166" fontId="0" fillId="4" borderId="3" xfId="1" applyNumberFormat="1" applyFont="1" applyFill="1" applyBorder="1"/>
    <xf numFmtId="166" fontId="2" fillId="4" borderId="3" xfId="1" applyNumberFormat="1" applyFont="1" applyFill="1" applyBorder="1"/>
    <xf numFmtId="3" fontId="0" fillId="2" borderId="7" xfId="0" applyNumberFormat="1" applyFill="1" applyBorder="1"/>
    <xf numFmtId="3" fontId="2" fillId="4" borderId="7" xfId="0" applyNumberFormat="1" applyFont="1" applyFill="1" applyBorder="1"/>
    <xf numFmtId="0" fontId="0" fillId="13" borderId="1" xfId="0" applyFill="1" applyBorder="1"/>
    <xf numFmtId="0" fontId="0" fillId="13" borderId="1" xfId="0" applyFill="1" applyBorder="1" applyAlignment="1">
      <alignment horizontal="center"/>
    </xf>
    <xf numFmtId="0" fontId="0" fillId="13" borderId="11" xfId="0" applyFill="1" applyBorder="1" applyAlignment="1">
      <alignment horizontal="center"/>
    </xf>
    <xf numFmtId="0" fontId="0" fillId="13" borderId="2" xfId="0" applyFill="1" applyBorder="1" applyAlignment="1">
      <alignment horizontal="center"/>
    </xf>
    <xf numFmtId="0" fontId="1" fillId="13" borderId="2" xfId="0" applyFont="1" applyFill="1" applyBorder="1" applyAlignment="1">
      <alignment horizontal="center" wrapText="1"/>
    </xf>
    <xf numFmtId="0" fontId="1" fillId="5" borderId="1" xfId="0" applyFont="1" applyFill="1" applyBorder="1"/>
    <xf numFmtId="0" fontId="0" fillId="14" borderId="0" xfId="0" applyFill="1"/>
    <xf numFmtId="0" fontId="0" fillId="14" borderId="14" xfId="0" applyFill="1" applyBorder="1"/>
    <xf numFmtId="0" fontId="0" fillId="12" borderId="14" xfId="0" applyFill="1" applyBorder="1"/>
    <xf numFmtId="0" fontId="0" fillId="14" borderId="13" xfId="0" applyFill="1" applyBorder="1"/>
    <xf numFmtId="0" fontId="0" fillId="12" borderId="13" xfId="0" applyFill="1" applyBorder="1"/>
    <xf numFmtId="9" fontId="0" fillId="12" borderId="0" xfId="2" applyFont="1" applyFill="1"/>
    <xf numFmtId="3" fontId="0" fillId="14" borderId="0" xfId="0" applyNumberFormat="1" applyFill="1"/>
    <xf numFmtId="166" fontId="0" fillId="14" borderId="13" xfId="0" applyNumberFormat="1" applyFill="1" applyBorder="1"/>
    <xf numFmtId="0" fontId="1" fillId="14" borderId="0" xfId="0" applyFont="1" applyFill="1"/>
    <xf numFmtId="10" fontId="0" fillId="14" borderId="0" xfId="0" applyNumberFormat="1" applyFill="1"/>
    <xf numFmtId="0" fontId="1" fillId="12" borderId="0" xfId="0" applyFont="1" applyFill="1"/>
    <xf numFmtId="10" fontId="0" fillId="12" borderId="0" xfId="0" applyNumberFormat="1" applyFill="1"/>
    <xf numFmtId="9" fontId="0" fillId="12" borderId="0" xfId="0" applyNumberFormat="1" applyFill="1"/>
    <xf numFmtId="1" fontId="0" fillId="12" borderId="0" xfId="0" applyNumberFormat="1" applyFill="1"/>
    <xf numFmtId="0" fontId="0" fillId="14" borderId="14" xfId="0" applyFill="1" applyBorder="1" applyAlignment="1">
      <alignment horizontal="center"/>
    </xf>
    <xf numFmtId="0" fontId="1" fillId="0" borderId="14" xfId="0" applyFont="1" applyBorder="1"/>
    <xf numFmtId="0" fontId="1" fillId="10" borderId="2" xfId="0" applyFont="1" applyFill="1" applyBorder="1"/>
    <xf numFmtId="0" fontId="1" fillId="10" borderId="3" xfId="0" applyFont="1" applyFill="1" applyBorder="1"/>
    <xf numFmtId="0" fontId="1" fillId="10" borderId="4" xfId="0" applyFont="1" applyFill="1" applyBorder="1"/>
    <xf numFmtId="0" fontId="1" fillId="13" borderId="2" xfId="0" applyFont="1" applyFill="1" applyBorder="1"/>
    <xf numFmtId="9" fontId="1" fillId="12" borderId="2" xfId="2" applyFont="1" applyFill="1" applyBorder="1"/>
    <xf numFmtId="0" fontId="1" fillId="13" borderId="3" xfId="0" applyFont="1" applyFill="1" applyBorder="1"/>
    <xf numFmtId="166" fontId="1" fillId="12" borderId="3" xfId="1" applyNumberFormat="1" applyFont="1" applyFill="1" applyBorder="1"/>
    <xf numFmtId="0" fontId="1" fillId="13" borderId="4" xfId="0" applyFont="1" applyFill="1" applyBorder="1"/>
    <xf numFmtId="166" fontId="1" fillId="12" borderId="4" xfId="1" applyNumberFormat="1" applyFont="1" applyFill="1" applyBorder="1"/>
    <xf numFmtId="0" fontId="1" fillId="0" borderId="4" xfId="0" applyFont="1" applyBorder="1"/>
    <xf numFmtId="0" fontId="1" fillId="5" borderId="2" xfId="0" applyFont="1" applyFill="1" applyBorder="1"/>
    <xf numFmtId="0" fontId="1" fillId="5" borderId="4" xfId="0" applyFont="1" applyFill="1" applyBorder="1"/>
    <xf numFmtId="0" fontId="1" fillId="2" borderId="4" xfId="0" applyFont="1" applyFill="1" applyBorder="1"/>
    <xf numFmtId="0" fontId="0" fillId="8" borderId="1" xfId="0" applyFill="1" applyBorder="1"/>
    <xf numFmtId="49" fontId="1" fillId="8" borderId="1" xfId="0" applyNumberFormat="1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0" fillId="8" borderId="9" xfId="0" applyFill="1" applyBorder="1"/>
    <xf numFmtId="0" fontId="0" fillId="8" borderId="1" xfId="0" applyFill="1" applyBorder="1" applyAlignment="1">
      <alignment horizontal="center"/>
    </xf>
    <xf numFmtId="0" fontId="0" fillId="10" borderId="2" xfId="0" applyFill="1" applyBorder="1" applyAlignment="1">
      <alignment horizontal="center"/>
    </xf>
    <xf numFmtId="0" fontId="1" fillId="10" borderId="1" xfId="0" applyFont="1" applyFill="1" applyBorder="1" applyAlignment="1">
      <alignment horizontal="center"/>
    </xf>
    <xf numFmtId="0" fontId="1" fillId="14" borderId="1" xfId="0" applyFont="1" applyFill="1" applyBorder="1"/>
    <xf numFmtId="166" fontId="0" fillId="14" borderId="1" xfId="1" applyNumberFormat="1" applyFont="1" applyFill="1" applyBorder="1"/>
    <xf numFmtId="169" fontId="0" fillId="0" borderId="2" xfId="1" applyNumberFormat="1" applyFont="1" applyBorder="1"/>
    <xf numFmtId="169" fontId="0" fillId="0" borderId="4" xfId="1" applyNumberFormat="1" applyFont="1" applyBorder="1"/>
    <xf numFmtId="169" fontId="0" fillId="2" borderId="4" xfId="1" applyNumberFormat="1" applyFont="1" applyFill="1" applyBorder="1"/>
    <xf numFmtId="169" fontId="0" fillId="0" borderId="0" xfId="1" applyNumberFormat="1" applyFont="1"/>
    <xf numFmtId="169" fontId="0" fillId="14" borderId="1" xfId="1" applyNumberFormat="1" applyFont="1" applyFill="1" applyBorder="1"/>
    <xf numFmtId="0" fontId="1" fillId="12" borderId="1" xfId="0" applyFont="1" applyFill="1" applyBorder="1"/>
    <xf numFmtId="166" fontId="0" fillId="12" borderId="1" xfId="0" applyNumberFormat="1" applyFill="1" applyBorder="1"/>
    <xf numFmtId="0" fontId="1" fillId="0" borderId="2" xfId="0" applyFont="1" applyBorder="1"/>
    <xf numFmtId="3" fontId="0" fillId="14" borderId="1" xfId="0" applyNumberFormat="1" applyFill="1" applyBorder="1"/>
    <xf numFmtId="9" fontId="0" fillId="14" borderId="1" xfId="0" applyNumberFormat="1" applyFill="1" applyBorder="1"/>
    <xf numFmtId="0" fontId="2" fillId="8" borderId="1" xfId="0" applyFont="1" applyFill="1" applyBorder="1" applyAlignment="1">
      <alignment horizontal="center"/>
    </xf>
    <xf numFmtId="0" fontId="0" fillId="14" borderId="1" xfId="0" applyFill="1" applyBorder="1"/>
    <xf numFmtId="166" fontId="0" fillId="14" borderId="1" xfId="0" applyNumberFormat="1" applyFill="1" applyBorder="1"/>
    <xf numFmtId="0" fontId="0" fillId="5" borderId="1" xfId="0" applyFill="1" applyBorder="1" applyAlignment="1">
      <alignment horizontal="center"/>
    </xf>
    <xf numFmtId="3" fontId="1" fillId="5" borderId="2" xfId="0" applyNumberFormat="1" applyFont="1" applyFill="1" applyBorder="1"/>
    <xf numFmtId="3" fontId="0" fillId="5" borderId="4" xfId="0" applyNumberFormat="1" applyFill="1" applyBorder="1"/>
    <xf numFmtId="165" fontId="0" fillId="2" borderId="4" xfId="2" applyNumberFormat="1" applyFont="1" applyFill="1" applyBorder="1"/>
    <xf numFmtId="3" fontId="1" fillId="0" borderId="0" xfId="0" applyNumberFormat="1" applyFont="1"/>
    <xf numFmtId="0" fontId="0" fillId="6" borderId="7" xfId="0" applyFill="1" applyBorder="1"/>
    <xf numFmtId="3" fontId="0" fillId="6" borderId="4" xfId="0" applyNumberFormat="1" applyFill="1" applyBorder="1"/>
    <xf numFmtId="165" fontId="0" fillId="14" borderId="1" xfId="0" applyNumberFormat="1" applyFill="1" applyBorder="1"/>
    <xf numFmtId="3" fontId="0" fillId="5" borderId="1" xfId="0" applyNumberFormat="1" applyFill="1" applyBorder="1" applyAlignment="1">
      <alignment horizontal="center"/>
    </xf>
    <xf numFmtId="0" fontId="1" fillId="14" borderId="2" xfId="0" applyFont="1" applyFill="1" applyBorder="1"/>
    <xf numFmtId="0" fontId="1" fillId="14" borderId="10" xfId="0" applyFont="1" applyFill="1" applyBorder="1"/>
    <xf numFmtId="0" fontId="1" fillId="14" borderId="7" xfId="0" applyFont="1" applyFill="1" applyBorder="1"/>
    <xf numFmtId="3" fontId="0" fillId="14" borderId="2" xfId="0" applyNumberFormat="1" applyFill="1" applyBorder="1"/>
    <xf numFmtId="10" fontId="0" fillId="14" borderId="4" xfId="2" applyNumberFormat="1" applyFont="1" applyFill="1" applyBorder="1"/>
    <xf numFmtId="0" fontId="0" fillId="14" borderId="2" xfId="0" applyFill="1" applyBorder="1"/>
    <xf numFmtId="0" fontId="0" fillId="14" borderId="3" xfId="0" applyFill="1" applyBorder="1"/>
    <xf numFmtId="0" fontId="0" fillId="14" borderId="4" xfId="0" applyFill="1" applyBorder="1"/>
    <xf numFmtId="166" fontId="0" fillId="14" borderId="2" xfId="0" applyNumberFormat="1" applyFill="1" applyBorder="1"/>
    <xf numFmtId="166" fontId="0" fillId="14" borderId="3" xfId="0" applyNumberFormat="1" applyFill="1" applyBorder="1"/>
    <xf numFmtId="166" fontId="0" fillId="14" borderId="4" xfId="0" applyNumberFormat="1" applyFill="1" applyBorder="1"/>
    <xf numFmtId="0" fontId="0" fillId="7" borderId="4" xfId="0" applyFill="1" applyBorder="1"/>
    <xf numFmtId="166" fontId="0" fillId="0" borderId="3" xfId="0" applyNumberFormat="1" applyBorder="1"/>
    <xf numFmtId="3" fontId="0" fillId="7" borderId="4" xfId="0" applyNumberFormat="1" applyFill="1" applyBorder="1"/>
    <xf numFmtId="166" fontId="0" fillId="0" borderId="4" xfId="0" applyNumberFormat="1" applyBorder="1"/>
    <xf numFmtId="10" fontId="0" fillId="14" borderId="4" xfId="0" applyNumberFormat="1" applyFill="1" applyBorder="1"/>
    <xf numFmtId="166" fontId="1" fillId="7" borderId="1" xfId="1" applyNumberFormat="1" applyFont="1" applyFill="1" applyBorder="1"/>
    <xf numFmtId="0" fontId="0" fillId="7" borderId="1" xfId="0" applyFill="1" applyBorder="1"/>
    <xf numFmtId="0" fontId="0" fillId="12" borderId="1" xfId="0" applyFill="1" applyBorder="1"/>
    <xf numFmtId="3" fontId="0" fillId="12" borderId="1" xfId="0" applyNumberFormat="1" applyFill="1" applyBorder="1"/>
    <xf numFmtId="0" fontId="3" fillId="8" borderId="1" xfId="0" applyFont="1" applyFill="1" applyBorder="1"/>
    <xf numFmtId="0" fontId="3" fillId="8" borderId="1" xfId="0" applyFont="1" applyFill="1" applyBorder="1" applyAlignment="1">
      <alignment horizontal="center"/>
    </xf>
    <xf numFmtId="0" fontId="0" fillId="0" borderId="4" xfId="0" quotePrefix="1" applyBorder="1"/>
    <xf numFmtId="0" fontId="3" fillId="8" borderId="13" xfId="0" applyFont="1" applyFill="1" applyBorder="1" applyAlignment="1">
      <alignment horizontal="center"/>
    </xf>
    <xf numFmtId="0" fontId="1" fillId="0" borderId="3" xfId="0" applyFont="1" applyBorder="1"/>
    <xf numFmtId="0" fontId="1" fillId="8" borderId="1" xfId="0" applyFont="1" applyFill="1" applyBorder="1"/>
    <xf numFmtId="3" fontId="0" fillId="8" borderId="1" xfId="0" applyNumberFormat="1" applyFill="1" applyBorder="1"/>
    <xf numFmtId="0" fontId="1" fillId="8" borderId="14" xfId="0" applyFont="1" applyFill="1" applyBorder="1"/>
    <xf numFmtId="0" fontId="1" fillId="8" borderId="14" xfId="0" applyFont="1" applyFill="1" applyBorder="1" applyAlignment="1">
      <alignment horizontal="center"/>
    </xf>
    <xf numFmtId="3" fontId="0" fillId="14" borderId="4" xfId="0" applyNumberFormat="1" applyFill="1" applyBorder="1"/>
    <xf numFmtId="0" fontId="0" fillId="8" borderId="10" xfId="0" applyFill="1" applyBorder="1"/>
    <xf numFmtId="0" fontId="1" fillId="8" borderId="7" xfId="0" applyFont="1" applyFill="1" applyBorder="1"/>
    <xf numFmtId="166" fontId="0" fillId="14" borderId="2" xfId="1" applyNumberFormat="1" applyFont="1" applyFill="1" applyBorder="1"/>
    <xf numFmtId="0" fontId="1" fillId="5" borderId="7" xfId="0" applyFont="1" applyFill="1" applyBorder="1"/>
    <xf numFmtId="0" fontId="0" fillId="14" borderId="2" xfId="0" applyFill="1" applyBorder="1" applyAlignment="1">
      <alignment horizontal="center"/>
    </xf>
    <xf numFmtId="164" fontId="0" fillId="14" borderId="1" xfId="1" applyFont="1" applyFill="1" applyBorder="1"/>
    <xf numFmtId="164" fontId="0" fillId="14" borderId="1" xfId="1" applyFont="1" applyFill="1" applyBorder="1" applyAlignment="1">
      <alignment horizontal="center"/>
    </xf>
    <xf numFmtId="3" fontId="0" fillId="13" borderId="2" xfId="0" applyNumberFormat="1" applyFill="1" applyBorder="1"/>
    <xf numFmtId="10" fontId="0" fillId="13" borderId="4" xfId="2" applyNumberFormat="1" applyFont="1" applyFill="1" applyBorder="1"/>
    <xf numFmtId="0" fontId="0" fillId="14" borderId="9" xfId="0" applyFill="1" applyBorder="1"/>
    <xf numFmtId="10" fontId="0" fillId="14" borderId="1" xfId="2" applyNumberFormat="1" applyFont="1" applyFill="1" applyBorder="1"/>
    <xf numFmtId="0" fontId="1" fillId="13" borderId="1" xfId="0" applyFont="1" applyFill="1" applyBorder="1"/>
    <xf numFmtId="9" fontId="0" fillId="13" borderId="1" xfId="0" applyNumberFormat="1" applyFill="1" applyBorder="1"/>
    <xf numFmtId="3" fontId="0" fillId="0" borderId="0" xfId="0" applyNumberFormat="1" applyAlignment="1">
      <alignment horizontal="center"/>
    </xf>
    <xf numFmtId="0" fontId="1" fillId="13" borderId="9" xfId="0" applyFont="1" applyFill="1" applyBorder="1"/>
    <xf numFmtId="0" fontId="1" fillId="13" borderId="1" xfId="0" applyFont="1" applyFill="1" applyBorder="1" applyAlignment="1">
      <alignment horizontal="center"/>
    </xf>
    <xf numFmtId="3" fontId="0" fillId="0" borderId="14" xfId="0" applyNumberFormat="1" applyBorder="1" applyAlignment="1">
      <alignment horizontal="center"/>
    </xf>
    <xf numFmtId="0" fontId="1" fillId="10" borderId="9" xfId="0" applyFont="1" applyFill="1" applyBorder="1"/>
    <xf numFmtId="166" fontId="0" fillId="10" borderId="1" xfId="0" applyNumberFormat="1" applyFill="1" applyBorder="1"/>
    <xf numFmtId="0" fontId="1" fillId="0" borderId="0" xfId="0" applyFont="1" applyAlignment="1">
      <alignment horizontal="center"/>
    </xf>
    <xf numFmtId="0" fontId="1" fillId="10" borderId="2" xfId="0" applyFont="1" applyFill="1" applyBorder="1" applyAlignment="1">
      <alignment horizontal="center"/>
    </xf>
    <xf numFmtId="0" fontId="1" fillId="10" borderId="3" xfId="0" applyFont="1" applyFill="1" applyBorder="1" applyAlignment="1">
      <alignment horizontal="center"/>
    </xf>
    <xf numFmtId="0" fontId="1" fillId="10" borderId="4" xfId="0" applyFont="1" applyFill="1" applyBorder="1" applyAlignment="1">
      <alignment horizontal="center"/>
    </xf>
    <xf numFmtId="0" fontId="2" fillId="10" borderId="0" xfId="0" applyFont="1" applyFill="1" applyAlignment="1">
      <alignment horizontal="center"/>
    </xf>
    <xf numFmtId="165" fontId="0" fillId="14" borderId="3" xfId="0" applyNumberFormat="1" applyFill="1" applyBorder="1"/>
    <xf numFmtId="0" fontId="0" fillId="10" borderId="1" xfId="0" applyFill="1" applyBorder="1"/>
    <xf numFmtId="0" fontId="1" fillId="12" borderId="14" xfId="0" applyFont="1" applyFill="1" applyBorder="1" applyAlignment="1">
      <alignment horizontal="center"/>
    </xf>
    <xf numFmtId="166" fontId="0" fillId="14" borderId="0" xfId="1" applyNumberFormat="1" applyFont="1" applyFill="1"/>
    <xf numFmtId="0" fontId="2" fillId="13" borderId="1" xfId="0" applyFont="1" applyFill="1" applyBorder="1" applyAlignment="1">
      <alignment horizontal="center"/>
    </xf>
    <xf numFmtId="170" fontId="0" fillId="14" borderId="3" xfId="0" applyNumberFormat="1" applyFill="1" applyBorder="1"/>
    <xf numFmtId="170" fontId="0" fillId="14" borderId="4" xfId="0" applyNumberFormat="1" applyFill="1" applyBorder="1"/>
    <xf numFmtId="0" fontId="0" fillId="15" borderId="3" xfId="0" applyFill="1" applyBorder="1"/>
    <xf numFmtId="171" fontId="0" fillId="15" borderId="3" xfId="0" applyNumberFormat="1" applyFill="1" applyBorder="1"/>
    <xf numFmtId="171" fontId="0" fillId="15" borderId="4" xfId="0" applyNumberFormat="1" applyFill="1" applyBorder="1"/>
    <xf numFmtId="0" fontId="1" fillId="12" borderId="3" xfId="0" applyFont="1" applyFill="1" applyBorder="1" applyAlignment="1">
      <alignment horizontal="center"/>
    </xf>
    <xf numFmtId="0" fontId="1" fillId="12" borderId="4" xfId="0" applyFont="1" applyFill="1" applyBorder="1" applyAlignment="1">
      <alignment horizontal="center"/>
    </xf>
    <xf numFmtId="0" fontId="0" fillId="15" borderId="4" xfId="0" applyFill="1" applyBorder="1"/>
    <xf numFmtId="2" fontId="1" fillId="8" borderId="2" xfId="0" applyNumberFormat="1" applyFont="1" applyFill="1" applyBorder="1" applyAlignment="1">
      <alignment horizontal="left"/>
    </xf>
    <xf numFmtId="0" fontId="1" fillId="8" borderId="4" xfId="0" applyFont="1" applyFill="1" applyBorder="1" applyAlignment="1">
      <alignment horizontal="left"/>
    </xf>
    <xf numFmtId="0" fontId="1" fillId="16" borderId="1" xfId="0" applyFont="1" applyFill="1" applyBorder="1" applyAlignment="1">
      <alignment horizontal="left"/>
    </xf>
    <xf numFmtId="10" fontId="0" fillId="16" borderId="1" xfId="2" applyNumberFormat="1" applyFont="1" applyFill="1" applyBorder="1"/>
    <xf numFmtId="2" fontId="0" fillId="16" borderId="1" xfId="0" applyNumberFormat="1" applyFill="1" applyBorder="1"/>
    <xf numFmtId="0" fontId="0" fillId="16" borderId="2" xfId="0" applyFill="1" applyBorder="1"/>
    <xf numFmtId="0" fontId="0" fillId="16" borderId="4" xfId="0" applyFill="1" applyBorder="1"/>
  </cellXfs>
  <cellStyles count="3">
    <cellStyle name="Komma" xfId="1" builtinId="3"/>
    <cellStyle name="Normal" xfId="0" builtinId="0"/>
    <cellStyle name="Pros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0"/>
  <sheetViews>
    <sheetView zoomScale="160" zoomScaleNormal="160" workbookViewId="0">
      <selection activeCell="D27" sqref="D27"/>
    </sheetView>
  </sheetViews>
  <sheetFormatPr baseColWidth="10" defaultColWidth="11.42578125" defaultRowHeight="12.75" x14ac:dyDescent="0.2"/>
  <sheetData>
    <row r="1" spans="1:5" x14ac:dyDescent="0.2">
      <c r="A1" s="1" t="s">
        <v>0</v>
      </c>
      <c r="B1" s="2">
        <v>0.15</v>
      </c>
    </row>
    <row r="3" spans="1:5" x14ac:dyDescent="0.2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</row>
    <row r="4" spans="1:5" x14ac:dyDescent="0.2">
      <c r="A4" s="13">
        <v>0</v>
      </c>
      <c r="B4" s="14">
        <v>-300000</v>
      </c>
      <c r="C4" s="14">
        <v>-200000</v>
      </c>
      <c r="D4" s="14">
        <v>-320000</v>
      </c>
      <c r="E4" s="14">
        <v>-410000</v>
      </c>
    </row>
    <row r="5" spans="1:5" x14ac:dyDescent="0.2">
      <c r="A5" s="15">
        <v>1</v>
      </c>
      <c r="B5" s="16">
        <v>55000</v>
      </c>
      <c r="C5" s="16">
        <v>60000</v>
      </c>
      <c r="D5" s="16">
        <v>80000</v>
      </c>
      <c r="E5" s="16">
        <v>120000</v>
      </c>
    </row>
    <row r="6" spans="1:5" x14ac:dyDescent="0.2">
      <c r="A6" s="15">
        <v>2</v>
      </c>
      <c r="B6" s="16">
        <v>55000</v>
      </c>
      <c r="C6" s="16">
        <v>60000</v>
      </c>
      <c r="D6" s="16">
        <v>80000</v>
      </c>
      <c r="E6" s="16">
        <v>120000</v>
      </c>
    </row>
    <row r="7" spans="1:5" x14ac:dyDescent="0.2">
      <c r="A7" s="15">
        <v>3</v>
      </c>
      <c r="B7" s="16">
        <v>55000</v>
      </c>
      <c r="C7" s="16">
        <v>60000</v>
      </c>
      <c r="D7" s="16">
        <v>80000</v>
      </c>
      <c r="E7" s="16">
        <v>120000</v>
      </c>
    </row>
    <row r="8" spans="1:5" x14ac:dyDescent="0.2">
      <c r="A8" s="15">
        <v>4</v>
      </c>
      <c r="B8" s="16">
        <v>55000</v>
      </c>
      <c r="C8" s="16">
        <v>60000</v>
      </c>
      <c r="D8" s="16">
        <v>60000</v>
      </c>
      <c r="E8" s="16">
        <v>120000</v>
      </c>
    </row>
    <row r="9" spans="1:5" x14ac:dyDescent="0.2">
      <c r="A9" s="15">
        <v>5</v>
      </c>
      <c r="B9" s="16">
        <v>55000</v>
      </c>
      <c r="C9" s="16">
        <v>60000</v>
      </c>
      <c r="D9" s="16">
        <v>60000</v>
      </c>
      <c r="E9" s="16">
        <v>60000</v>
      </c>
    </row>
    <row r="10" spans="1:5" x14ac:dyDescent="0.2">
      <c r="A10" s="15">
        <v>6</v>
      </c>
      <c r="B10" s="16">
        <v>55000</v>
      </c>
      <c r="C10" s="17"/>
      <c r="D10" s="16">
        <v>70000</v>
      </c>
      <c r="E10" s="16">
        <v>60000</v>
      </c>
    </row>
    <row r="11" spans="1:5" x14ac:dyDescent="0.2">
      <c r="A11" s="15">
        <v>7</v>
      </c>
      <c r="B11" s="16">
        <v>55000</v>
      </c>
      <c r="C11" s="17"/>
      <c r="D11" s="17"/>
      <c r="E11" s="16">
        <v>60000</v>
      </c>
    </row>
    <row r="12" spans="1:5" x14ac:dyDescent="0.2">
      <c r="A12" s="15">
        <v>8</v>
      </c>
      <c r="B12" s="16">
        <v>55000</v>
      </c>
      <c r="C12" s="17"/>
      <c r="D12" s="17"/>
      <c r="E12" s="16">
        <v>60000</v>
      </c>
    </row>
    <row r="13" spans="1:5" x14ac:dyDescent="0.2">
      <c r="A13" s="15">
        <v>9</v>
      </c>
      <c r="B13" s="16">
        <v>55000</v>
      </c>
      <c r="C13" s="17"/>
      <c r="D13" s="17"/>
      <c r="E13" s="17"/>
    </row>
    <row r="14" spans="1:5" x14ac:dyDescent="0.2">
      <c r="A14" s="15">
        <v>10</v>
      </c>
      <c r="B14" s="16">
        <v>55000</v>
      </c>
      <c r="C14" s="17"/>
      <c r="D14" s="17"/>
      <c r="E14" s="17"/>
    </row>
    <row r="15" spans="1:5" x14ac:dyDescent="0.2">
      <c r="A15" s="15">
        <v>11</v>
      </c>
      <c r="B15" s="16">
        <v>55000</v>
      </c>
      <c r="C15" s="17"/>
      <c r="D15" s="17"/>
      <c r="E15" s="17"/>
    </row>
    <row r="16" spans="1:5" x14ac:dyDescent="0.2">
      <c r="A16" s="15">
        <v>12</v>
      </c>
      <c r="B16" s="16">
        <v>55000</v>
      </c>
      <c r="C16" s="17"/>
      <c r="D16" s="17"/>
      <c r="E16" s="17"/>
    </row>
    <row r="17" spans="1:5" x14ac:dyDescent="0.2">
      <c r="A17" s="15">
        <v>13</v>
      </c>
      <c r="B17" s="16">
        <v>55000</v>
      </c>
      <c r="C17" s="17"/>
      <c r="D17" s="17"/>
      <c r="E17" s="17"/>
    </row>
    <row r="18" spans="1:5" x14ac:dyDescent="0.2">
      <c r="A18" s="15">
        <v>14</v>
      </c>
      <c r="B18" s="16">
        <v>55000</v>
      </c>
      <c r="C18" s="17"/>
      <c r="D18" s="17"/>
      <c r="E18" s="17"/>
    </row>
    <row r="19" spans="1:5" x14ac:dyDescent="0.2">
      <c r="A19" s="18">
        <v>15</v>
      </c>
      <c r="B19" s="19">
        <v>55000</v>
      </c>
      <c r="C19" s="20"/>
      <c r="D19" s="20"/>
      <c r="E19" s="20"/>
    </row>
    <row r="20" spans="1:5" x14ac:dyDescent="0.2">
      <c r="A20" s="21" t="s">
        <v>6</v>
      </c>
      <c r="B20" s="22">
        <f>B4+NPV($B$1,B5:B19)</f>
        <v>21605.3554247102</v>
      </c>
      <c r="C20" s="22">
        <f>C4+NPV($B$1,C5:C19)</f>
        <v>1129.3058806841727</v>
      </c>
      <c r="D20" s="22">
        <f>D4+NPV($B$1,D5:D19)</f>
        <v>-42943.260063105321</v>
      </c>
      <c r="E20" s="22">
        <f>E4+NPV($B$1,E5:E19)</f>
        <v>30537.992224319896</v>
      </c>
    </row>
  </sheetData>
  <pageMargins left="0.75" right="0.75" top="1" bottom="1" header="0.5" footer="0.5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L57"/>
  <sheetViews>
    <sheetView topLeftCell="A4" workbookViewId="0">
      <selection activeCell="M48" sqref="M48"/>
    </sheetView>
  </sheetViews>
  <sheetFormatPr baseColWidth="10" defaultColWidth="9.140625" defaultRowHeight="12.75" x14ac:dyDescent="0.2"/>
  <cols>
    <col min="1" max="1" width="26.7109375" bestFit="1" customWidth="1"/>
    <col min="2" max="7" width="11.28515625" bestFit="1" customWidth="1"/>
    <col min="8" max="9" width="10.85546875" bestFit="1" customWidth="1"/>
    <col min="11" max="11" width="10.7109375" bestFit="1" customWidth="1"/>
  </cols>
  <sheetData>
    <row r="1" spans="1:9" x14ac:dyDescent="0.2">
      <c r="A1" s="128" t="s">
        <v>35</v>
      </c>
      <c r="B1" s="106">
        <v>110</v>
      </c>
    </row>
    <row r="2" spans="1:9" x14ac:dyDescent="0.2">
      <c r="A2" s="128" t="s">
        <v>59</v>
      </c>
      <c r="B2" s="106">
        <v>25</v>
      </c>
    </row>
    <row r="3" spans="1:9" x14ac:dyDescent="0.2">
      <c r="A3" s="129" t="s">
        <v>60</v>
      </c>
      <c r="B3" s="130">
        <v>25</v>
      </c>
    </row>
    <row r="4" spans="1:9" x14ac:dyDescent="0.2">
      <c r="A4" s="131" t="s">
        <v>61</v>
      </c>
      <c r="B4" s="132">
        <f>B1-B2-B3</f>
        <v>60</v>
      </c>
    </row>
    <row r="6" spans="1:9" x14ac:dyDescent="0.2">
      <c r="A6" s="128" t="s">
        <v>62</v>
      </c>
      <c r="B6" s="105">
        <v>139622</v>
      </c>
    </row>
    <row r="7" spans="1:9" x14ac:dyDescent="0.2">
      <c r="A7" s="128" t="s">
        <v>63</v>
      </c>
      <c r="B7" s="105">
        <v>24000000</v>
      </c>
    </row>
    <row r="8" spans="1:9" x14ac:dyDescent="0.2">
      <c r="A8" s="128" t="s">
        <v>12</v>
      </c>
      <c r="B8" s="105">
        <v>2300000</v>
      </c>
    </row>
    <row r="9" spans="1:9" x14ac:dyDescent="0.2">
      <c r="A9" s="128" t="s">
        <v>64</v>
      </c>
      <c r="B9" s="105">
        <v>750000</v>
      </c>
    </row>
    <row r="10" spans="1:9" x14ac:dyDescent="0.2">
      <c r="A10" s="128" t="s">
        <v>57</v>
      </c>
      <c r="B10" s="105">
        <v>1800000</v>
      </c>
    </row>
    <row r="11" spans="1:9" x14ac:dyDescent="0.2">
      <c r="A11" s="128" t="s">
        <v>65</v>
      </c>
      <c r="B11" s="105">
        <v>2500000</v>
      </c>
    </row>
    <row r="12" spans="1:9" x14ac:dyDescent="0.2">
      <c r="A12" s="128" t="s">
        <v>56</v>
      </c>
      <c r="B12" s="133">
        <v>0.1</v>
      </c>
    </row>
    <row r="14" spans="1:9" x14ac:dyDescent="0.2">
      <c r="A14" s="63" t="s">
        <v>1</v>
      </c>
      <c r="B14" s="187">
        <v>0</v>
      </c>
      <c r="C14" s="179">
        <v>1</v>
      </c>
      <c r="D14" s="179">
        <v>2</v>
      </c>
      <c r="E14" s="179">
        <v>3</v>
      </c>
      <c r="F14" s="179">
        <v>4</v>
      </c>
      <c r="G14" s="179">
        <v>5</v>
      </c>
      <c r="H14" s="179">
        <v>6</v>
      </c>
      <c r="I14" s="179">
        <v>7</v>
      </c>
    </row>
    <row r="15" spans="1:9" x14ac:dyDescent="0.2">
      <c r="A15" s="11" t="s">
        <v>61</v>
      </c>
      <c r="B15" s="9"/>
      <c r="C15" s="9">
        <f>$B$4*$B$6</f>
        <v>8377320</v>
      </c>
      <c r="D15" s="9">
        <f t="shared" ref="D15:I15" si="0">$B$4*$B$6</f>
        <v>8377320</v>
      </c>
      <c r="E15" s="9">
        <f t="shared" si="0"/>
        <v>8377320</v>
      </c>
      <c r="F15" s="9">
        <f t="shared" si="0"/>
        <v>8377320</v>
      </c>
      <c r="G15" s="9">
        <f t="shared" si="0"/>
        <v>8377320</v>
      </c>
      <c r="H15" s="9">
        <f t="shared" si="0"/>
        <v>8377320</v>
      </c>
      <c r="I15" s="9">
        <f t="shared" si="0"/>
        <v>8377320</v>
      </c>
    </row>
    <row r="16" spans="1:9" x14ac:dyDescent="0.2">
      <c r="A16" s="11" t="s">
        <v>64</v>
      </c>
      <c r="B16" s="9"/>
      <c r="C16" s="9">
        <f>-$B$9</f>
        <v>-750000</v>
      </c>
      <c r="D16" s="9">
        <f t="shared" ref="D16:I16" si="1">-$B$9</f>
        <v>-750000</v>
      </c>
      <c r="E16" s="9">
        <f t="shared" si="1"/>
        <v>-750000</v>
      </c>
      <c r="F16" s="9">
        <f t="shared" si="1"/>
        <v>-750000</v>
      </c>
      <c r="G16" s="9">
        <f t="shared" si="1"/>
        <v>-750000</v>
      </c>
      <c r="H16" s="9">
        <f t="shared" si="1"/>
        <v>-750000</v>
      </c>
      <c r="I16" s="9">
        <f t="shared" si="1"/>
        <v>-750000</v>
      </c>
    </row>
    <row r="17" spans="1:12" x14ac:dyDescent="0.2">
      <c r="A17" s="11" t="s">
        <v>57</v>
      </c>
      <c r="B17" s="9"/>
      <c r="C17" s="9">
        <f>-$B$10</f>
        <v>-1800000</v>
      </c>
      <c r="D17" s="9">
        <f t="shared" ref="D17:I17" si="2">-$B$10</f>
        <v>-1800000</v>
      </c>
      <c r="E17" s="9">
        <f t="shared" si="2"/>
        <v>-1800000</v>
      </c>
      <c r="F17" s="9">
        <f t="shared" si="2"/>
        <v>-1800000</v>
      </c>
      <c r="G17" s="9">
        <f t="shared" si="2"/>
        <v>-1800000</v>
      </c>
      <c r="H17" s="9">
        <f t="shared" si="2"/>
        <v>-1800000</v>
      </c>
      <c r="I17" s="9">
        <f t="shared" si="2"/>
        <v>-1800000</v>
      </c>
    </row>
    <row r="18" spans="1:12" x14ac:dyDescent="0.2">
      <c r="A18" s="11" t="str">
        <f>A7</f>
        <v>Maskiner og utstyr</v>
      </c>
      <c r="B18" s="9">
        <f>-B7</f>
        <v>-24000000</v>
      </c>
      <c r="C18" s="9"/>
      <c r="D18" s="9"/>
      <c r="E18" s="9"/>
      <c r="F18" s="9"/>
      <c r="G18" s="9"/>
      <c r="H18" s="9"/>
      <c r="I18" s="9"/>
    </row>
    <row r="19" spans="1:12" x14ac:dyDescent="0.2">
      <c r="A19" s="11" t="s">
        <v>65</v>
      </c>
      <c r="B19" s="9">
        <f>-B11</f>
        <v>-2500000</v>
      </c>
      <c r="C19" s="9"/>
      <c r="D19" s="9"/>
      <c r="E19" s="9"/>
      <c r="F19" s="9"/>
      <c r="G19" s="9"/>
      <c r="H19" s="9"/>
      <c r="I19" s="9"/>
    </row>
    <row r="20" spans="1:12" x14ac:dyDescent="0.2">
      <c r="A20" s="12" t="s">
        <v>12</v>
      </c>
      <c r="B20" s="10">
        <f>-B8</f>
        <v>-2300000</v>
      </c>
      <c r="C20" s="10"/>
      <c r="D20" s="10"/>
      <c r="E20" s="10"/>
      <c r="F20" s="10"/>
      <c r="G20" s="10"/>
      <c r="H20" s="10"/>
      <c r="I20" s="10">
        <f>B8</f>
        <v>2300000</v>
      </c>
    </row>
    <row r="21" spans="1:12" x14ac:dyDescent="0.2">
      <c r="A21" s="21" t="s">
        <v>19</v>
      </c>
      <c r="B21" s="22">
        <f>SUM(B15:B20)</f>
        <v>-28800000</v>
      </c>
      <c r="C21" s="22">
        <f t="shared" ref="C21:I21" si="3">SUM(C15:C20)</f>
        <v>5827320</v>
      </c>
      <c r="D21" s="22">
        <f t="shared" si="3"/>
        <v>5827320</v>
      </c>
      <c r="E21" s="22">
        <f t="shared" si="3"/>
        <v>5827320</v>
      </c>
      <c r="F21" s="22">
        <f t="shared" si="3"/>
        <v>5827320</v>
      </c>
      <c r="G21" s="22">
        <f t="shared" si="3"/>
        <v>5827320</v>
      </c>
      <c r="H21" s="22">
        <f t="shared" si="3"/>
        <v>5827320</v>
      </c>
      <c r="I21" s="22">
        <f t="shared" si="3"/>
        <v>8127320</v>
      </c>
    </row>
    <row r="22" spans="1:12" x14ac:dyDescent="0.2">
      <c r="B22" s="3"/>
      <c r="C22" s="3"/>
      <c r="D22" s="3"/>
      <c r="E22" s="3"/>
      <c r="F22" s="3"/>
      <c r="G22" s="3"/>
      <c r="H22" s="3"/>
      <c r="I22" s="3"/>
    </row>
    <row r="23" spans="1:12" x14ac:dyDescent="0.2">
      <c r="A23" s="189" t="s">
        <v>168</v>
      </c>
      <c r="B23" s="191">
        <f>NPV(B12,C21:I21)+B21</f>
        <v>750098.0166489929</v>
      </c>
      <c r="C23" s="3"/>
      <c r="D23" s="3"/>
      <c r="E23" s="3"/>
      <c r="F23" s="3"/>
      <c r="G23" s="3"/>
      <c r="H23" s="3"/>
      <c r="I23" s="3"/>
      <c r="K23" s="241" t="s">
        <v>181</v>
      </c>
    </row>
    <row r="24" spans="1:12" x14ac:dyDescent="0.2">
      <c r="A24" s="190" t="s">
        <v>10</v>
      </c>
      <c r="B24" s="192">
        <f>IRR(B21:I21)</f>
        <v>0.10758391086917429</v>
      </c>
      <c r="C24" s="3"/>
      <c r="D24" s="3"/>
      <c r="E24" s="3"/>
      <c r="F24" s="3"/>
      <c r="G24" s="3"/>
      <c r="H24" s="3"/>
      <c r="I24" s="3"/>
    </row>
    <row r="26" spans="1:12" x14ac:dyDescent="0.2">
      <c r="A26" s="63" t="s">
        <v>1</v>
      </c>
      <c r="B26" s="187">
        <v>0</v>
      </c>
      <c r="C26" s="179">
        <v>1</v>
      </c>
      <c r="D26" s="179">
        <v>2</v>
      </c>
      <c r="E26" s="179">
        <v>3</v>
      </c>
      <c r="F26" s="179">
        <v>4</v>
      </c>
      <c r="G26" s="179">
        <v>5</v>
      </c>
      <c r="H26" s="179">
        <v>6</v>
      </c>
      <c r="I26" s="179">
        <v>7</v>
      </c>
      <c r="K26" t="s">
        <v>66</v>
      </c>
      <c r="L26" s="73">
        <v>0.08</v>
      </c>
    </row>
    <row r="27" spans="1:12" x14ac:dyDescent="0.2">
      <c r="A27" s="11" t="s">
        <v>61</v>
      </c>
      <c r="B27" s="9"/>
      <c r="C27" s="9">
        <f>$B$4*$B$6</f>
        <v>8377320</v>
      </c>
      <c r="D27" s="9">
        <f t="shared" ref="D27:I27" si="4">$B$4*$B$6</f>
        <v>8377320</v>
      </c>
      <c r="E27" s="9">
        <f t="shared" si="4"/>
        <v>8377320</v>
      </c>
      <c r="F27" s="9">
        <f t="shared" si="4"/>
        <v>8377320</v>
      </c>
      <c r="G27" s="9">
        <f t="shared" si="4"/>
        <v>8377320</v>
      </c>
      <c r="H27" s="9">
        <f t="shared" si="4"/>
        <v>8377320</v>
      </c>
      <c r="I27" s="9">
        <f t="shared" si="4"/>
        <v>8377320</v>
      </c>
      <c r="K27" t="s">
        <v>67</v>
      </c>
      <c r="L27" s="73">
        <v>0.12</v>
      </c>
    </row>
    <row r="28" spans="1:12" x14ac:dyDescent="0.2">
      <c r="A28" s="11" t="s">
        <v>64</v>
      </c>
      <c r="B28" s="9"/>
      <c r="C28" s="9">
        <f>-$B$9</f>
        <v>-750000</v>
      </c>
      <c r="D28" s="9">
        <f t="shared" ref="D28:I28" si="5">-$B$9</f>
        <v>-750000</v>
      </c>
      <c r="E28" s="9">
        <f t="shared" si="5"/>
        <v>-750000</v>
      </c>
      <c r="F28" s="9">
        <f t="shared" si="5"/>
        <v>-750000</v>
      </c>
      <c r="G28" s="9">
        <f t="shared" si="5"/>
        <v>-750000</v>
      </c>
      <c r="H28" s="9">
        <f t="shared" si="5"/>
        <v>-750000</v>
      </c>
      <c r="I28" s="9">
        <f t="shared" si="5"/>
        <v>-750000</v>
      </c>
      <c r="K28" t="s">
        <v>68</v>
      </c>
      <c r="L28" s="76">
        <f>L26*0.5+L27*0.5</f>
        <v>0.1</v>
      </c>
    </row>
    <row r="29" spans="1:12" x14ac:dyDescent="0.2">
      <c r="A29" s="11" t="s">
        <v>57</v>
      </c>
      <c r="B29" s="9"/>
      <c r="C29" s="9">
        <f>-$B$10</f>
        <v>-1800000</v>
      </c>
      <c r="D29" s="9">
        <f t="shared" ref="D29:I29" si="6">-$B$10</f>
        <v>-1800000</v>
      </c>
      <c r="E29" s="9">
        <f t="shared" si="6"/>
        <v>-1800000</v>
      </c>
      <c r="F29" s="9">
        <f t="shared" si="6"/>
        <v>-1800000</v>
      </c>
      <c r="G29" s="9">
        <f t="shared" si="6"/>
        <v>-1800000</v>
      </c>
      <c r="H29" s="9">
        <f t="shared" si="6"/>
        <v>-1800000</v>
      </c>
      <c r="I29" s="9">
        <f t="shared" si="6"/>
        <v>-1800000</v>
      </c>
    </row>
    <row r="30" spans="1:12" x14ac:dyDescent="0.2">
      <c r="A30" s="11" t="str">
        <f>A18</f>
        <v>Maskiner og utstyr</v>
      </c>
      <c r="B30" s="9">
        <f>B18</f>
        <v>-24000000</v>
      </c>
      <c r="C30" s="9"/>
      <c r="D30" s="9"/>
      <c r="E30" s="9"/>
      <c r="F30" s="9"/>
      <c r="G30" s="9"/>
      <c r="H30" s="9"/>
      <c r="I30" s="9"/>
    </row>
    <row r="31" spans="1:12" x14ac:dyDescent="0.2">
      <c r="A31" s="11" t="s">
        <v>65</v>
      </c>
      <c r="B31" s="9">
        <f>B19</f>
        <v>-2500000</v>
      </c>
      <c r="C31" s="9"/>
      <c r="D31" s="9"/>
      <c r="E31" s="9"/>
      <c r="F31" s="9"/>
      <c r="G31" s="9"/>
      <c r="H31" s="9"/>
      <c r="I31" s="9"/>
      <c r="K31" s="77"/>
    </row>
    <row r="32" spans="1:12" x14ac:dyDescent="0.2">
      <c r="A32" s="12" t="s">
        <v>12</v>
      </c>
      <c r="B32" s="10">
        <f>B20</f>
        <v>-2300000</v>
      </c>
      <c r="C32" s="10"/>
      <c r="D32" s="10"/>
      <c r="E32" s="10"/>
      <c r="F32" s="10"/>
      <c r="G32" s="10"/>
      <c r="H32" s="10"/>
      <c r="I32" s="10">
        <f>I20</f>
        <v>2300000</v>
      </c>
    </row>
    <row r="33" spans="1:11" x14ac:dyDescent="0.2">
      <c r="A33" s="21" t="s">
        <v>19</v>
      </c>
      <c r="B33" s="22">
        <f>SUM(B27:B32)</f>
        <v>-28800000</v>
      </c>
      <c r="C33" s="22">
        <f t="shared" ref="C33:I33" si="7">SUM(C27:C32)</f>
        <v>5827320</v>
      </c>
      <c r="D33" s="22">
        <f t="shared" si="7"/>
        <v>5827320</v>
      </c>
      <c r="E33" s="22">
        <f t="shared" si="7"/>
        <v>5827320</v>
      </c>
      <c r="F33" s="22">
        <f t="shared" si="7"/>
        <v>5827320</v>
      </c>
      <c r="G33" s="22">
        <f t="shared" si="7"/>
        <v>5827320</v>
      </c>
      <c r="H33" s="22">
        <f t="shared" si="7"/>
        <v>5827320</v>
      </c>
      <c r="I33" s="22">
        <f t="shared" si="7"/>
        <v>8127320</v>
      </c>
    </row>
    <row r="35" spans="1:11" x14ac:dyDescent="0.2">
      <c r="A35" s="177" t="s">
        <v>6</v>
      </c>
      <c r="B35" s="165">
        <f t="shared" ref="B35:I35" si="8">NPV($L$28,C33:I33)</f>
        <v>29550098.016648993</v>
      </c>
      <c r="C35" s="165">
        <f t="shared" si="8"/>
        <v>26677787.818313897</v>
      </c>
      <c r="D35" s="165">
        <f t="shared" si="8"/>
        <v>23518246.600145288</v>
      </c>
      <c r="E35" s="165">
        <f t="shared" si="8"/>
        <v>20042751.26015982</v>
      </c>
      <c r="F35" s="165">
        <f t="shared" si="8"/>
        <v>16219706.386175804</v>
      </c>
      <c r="G35" s="165">
        <f t="shared" si="8"/>
        <v>12014357.024793386</v>
      </c>
      <c r="H35" s="165">
        <f t="shared" si="8"/>
        <v>7388472.7272727266</v>
      </c>
      <c r="I35" s="165">
        <f t="shared" si="8"/>
        <v>0</v>
      </c>
    </row>
    <row r="37" spans="1:11" x14ac:dyDescent="0.2">
      <c r="A37" s="193" t="s">
        <v>69</v>
      </c>
      <c r="B37" s="196">
        <f>B35*0.5</f>
        <v>14775049.008324496</v>
      </c>
      <c r="C37" s="196">
        <f t="shared" ref="C37:H37" si="9">C35*0.5</f>
        <v>13338893.909156948</v>
      </c>
      <c r="D37" s="196">
        <f t="shared" si="9"/>
        <v>11759123.300072644</v>
      </c>
      <c r="E37" s="196">
        <f t="shared" si="9"/>
        <v>10021375.63007991</v>
      </c>
      <c r="F37" s="196">
        <f t="shared" si="9"/>
        <v>8109853.1930879019</v>
      </c>
      <c r="G37" s="196">
        <f t="shared" si="9"/>
        <v>6007178.5123966932</v>
      </c>
      <c r="H37" s="196">
        <f t="shared" si="9"/>
        <v>3694236.3636363633</v>
      </c>
      <c r="I37" s="193"/>
    </row>
    <row r="38" spans="1:11" x14ac:dyDescent="0.2">
      <c r="A38" s="194" t="s">
        <v>70</v>
      </c>
      <c r="B38" s="194"/>
      <c r="C38" s="197">
        <f>C37-B37</f>
        <v>-1436155.0991675481</v>
      </c>
      <c r="D38" s="197">
        <f t="shared" ref="D38:I38" si="10">D37-C37</f>
        <v>-1579770.6090843044</v>
      </c>
      <c r="E38" s="197">
        <f t="shared" si="10"/>
        <v>-1737747.6699927337</v>
      </c>
      <c r="F38" s="197">
        <f t="shared" si="10"/>
        <v>-1911522.4369920082</v>
      </c>
      <c r="G38" s="197">
        <f t="shared" si="10"/>
        <v>-2102674.6806912087</v>
      </c>
      <c r="H38" s="197">
        <f t="shared" si="10"/>
        <v>-2312942.1487603299</v>
      </c>
      <c r="I38" s="197">
        <f t="shared" si="10"/>
        <v>-3694236.3636363633</v>
      </c>
    </row>
    <row r="39" spans="1:11" x14ac:dyDescent="0.2">
      <c r="A39" s="195" t="s">
        <v>0</v>
      </c>
      <c r="B39" s="195"/>
      <c r="C39" s="198">
        <f>-$L$26*B37</f>
        <v>-1182003.9206659598</v>
      </c>
      <c r="D39" s="198">
        <f t="shared" ref="D39:I39" si="11">-$L$26*C37</f>
        <v>-1067111.5127325559</v>
      </c>
      <c r="E39" s="198">
        <f t="shared" si="11"/>
        <v>-940729.86400581151</v>
      </c>
      <c r="F39" s="198">
        <f t="shared" si="11"/>
        <v>-801710.05040639278</v>
      </c>
      <c r="G39" s="198">
        <f t="shared" si="11"/>
        <v>-648788.25544703216</v>
      </c>
      <c r="H39" s="198">
        <f t="shared" si="11"/>
        <v>-480574.28099173546</v>
      </c>
      <c r="I39" s="198">
        <f t="shared" si="11"/>
        <v>-295538.90909090906</v>
      </c>
    </row>
    <row r="41" spans="1:11" x14ac:dyDescent="0.2">
      <c r="A41" s="63" t="s">
        <v>1</v>
      </c>
      <c r="B41" s="187">
        <v>0</v>
      </c>
      <c r="C41" s="179">
        <v>1</v>
      </c>
      <c r="D41" s="179">
        <v>2</v>
      </c>
      <c r="E41" s="179">
        <v>3</v>
      </c>
      <c r="F41" s="179">
        <v>4</v>
      </c>
      <c r="G41" s="179">
        <v>5</v>
      </c>
      <c r="H41" s="179">
        <v>6</v>
      </c>
      <c r="I41" s="179">
        <v>7</v>
      </c>
    </row>
    <row r="42" spans="1:11" x14ac:dyDescent="0.2">
      <c r="A42" s="11" t="s">
        <v>71</v>
      </c>
      <c r="B42" s="9">
        <f>B33</f>
        <v>-28800000</v>
      </c>
      <c r="C42" s="9">
        <f t="shared" ref="C42:I42" si="12">C33</f>
        <v>5827320</v>
      </c>
      <c r="D42" s="9">
        <f t="shared" si="12"/>
        <v>5827320</v>
      </c>
      <c r="E42" s="9">
        <f t="shared" si="12"/>
        <v>5827320</v>
      </c>
      <c r="F42" s="9">
        <f t="shared" si="12"/>
        <v>5827320</v>
      </c>
      <c r="G42" s="9">
        <f t="shared" si="12"/>
        <v>5827320</v>
      </c>
      <c r="H42" s="9">
        <f t="shared" si="12"/>
        <v>5827320</v>
      </c>
      <c r="I42" s="9">
        <f t="shared" si="12"/>
        <v>8127320</v>
      </c>
    </row>
    <row r="43" spans="1:11" x14ac:dyDescent="0.2">
      <c r="A43" s="11" t="s">
        <v>72</v>
      </c>
      <c r="B43" s="200">
        <f>B37</f>
        <v>14775049.008324496</v>
      </c>
      <c r="C43" s="200">
        <f>C38</f>
        <v>-1436155.0991675481</v>
      </c>
      <c r="D43" s="200">
        <f t="shared" ref="D43:I44" si="13">D38</f>
        <v>-1579770.6090843044</v>
      </c>
      <c r="E43" s="200">
        <f t="shared" si="13"/>
        <v>-1737747.6699927337</v>
      </c>
      <c r="F43" s="200">
        <f t="shared" si="13"/>
        <v>-1911522.4369920082</v>
      </c>
      <c r="G43" s="200">
        <f t="shared" si="13"/>
        <v>-2102674.6806912087</v>
      </c>
      <c r="H43" s="200">
        <f t="shared" si="13"/>
        <v>-2312942.1487603299</v>
      </c>
      <c r="I43" s="200">
        <f t="shared" si="13"/>
        <v>-3694236.3636363633</v>
      </c>
    </row>
    <row r="44" spans="1:11" x14ac:dyDescent="0.2">
      <c r="A44" s="12" t="s">
        <v>73</v>
      </c>
      <c r="B44" s="12"/>
      <c r="C44" s="202">
        <f>C39</f>
        <v>-1182003.9206659598</v>
      </c>
      <c r="D44" s="202">
        <f t="shared" si="13"/>
        <v>-1067111.5127325559</v>
      </c>
      <c r="E44" s="202">
        <f t="shared" si="13"/>
        <v>-940729.86400581151</v>
      </c>
      <c r="F44" s="202">
        <f t="shared" si="13"/>
        <v>-801710.05040639278</v>
      </c>
      <c r="G44" s="202">
        <f t="shared" si="13"/>
        <v>-648788.25544703216</v>
      </c>
      <c r="H44" s="202">
        <f t="shared" si="13"/>
        <v>-480574.28099173546</v>
      </c>
      <c r="I44" s="202">
        <f t="shared" si="13"/>
        <v>-295538.90909090906</v>
      </c>
    </row>
    <row r="45" spans="1:11" x14ac:dyDescent="0.2">
      <c r="A45" s="199" t="s">
        <v>74</v>
      </c>
      <c r="B45" s="201">
        <f>SUM(B42:B44)</f>
        <v>-14024950.991675504</v>
      </c>
      <c r="C45" s="201">
        <f t="shared" ref="C45:I45" si="14">SUM(C42:C44)</f>
        <v>3209160.9801664921</v>
      </c>
      <c r="D45" s="201">
        <f t="shared" si="14"/>
        <v>3180437.8781831395</v>
      </c>
      <c r="E45" s="201">
        <f t="shared" si="14"/>
        <v>3148842.4660014547</v>
      </c>
      <c r="F45" s="201">
        <f t="shared" si="14"/>
        <v>3114087.5126015991</v>
      </c>
      <c r="G45" s="201">
        <f t="shared" si="14"/>
        <v>3075857.0638617594</v>
      </c>
      <c r="H45" s="201">
        <f t="shared" si="14"/>
        <v>3033803.5702479347</v>
      </c>
      <c r="I45" s="201">
        <f t="shared" si="14"/>
        <v>4137544.7272727275</v>
      </c>
    </row>
    <row r="47" spans="1:11" x14ac:dyDescent="0.2">
      <c r="A47" s="188" t="s">
        <v>168</v>
      </c>
      <c r="B47" s="191">
        <f>NPV(L27,C45:I45)+B45</f>
        <v>750098.01664900035</v>
      </c>
      <c r="K47" s="241" t="s">
        <v>183</v>
      </c>
    </row>
    <row r="48" spans="1:11" x14ac:dyDescent="0.2">
      <c r="A48" s="195" t="s">
        <v>10</v>
      </c>
      <c r="B48" s="203">
        <f>IRR(B45:I45)</f>
        <v>0.13632836265040926</v>
      </c>
    </row>
    <row r="51" spans="1:11" x14ac:dyDescent="0.2">
      <c r="A51" s="63" t="s">
        <v>1</v>
      </c>
      <c r="B51" s="187">
        <v>0</v>
      </c>
      <c r="C51" s="179">
        <v>1</v>
      </c>
      <c r="D51" s="179">
        <v>2</v>
      </c>
      <c r="E51" s="179">
        <v>3</v>
      </c>
      <c r="F51" s="179">
        <v>4</v>
      </c>
      <c r="G51" s="179">
        <v>5</v>
      </c>
      <c r="H51" s="179">
        <v>6</v>
      </c>
      <c r="I51" s="179">
        <v>7</v>
      </c>
    </row>
    <row r="52" spans="1:11" x14ac:dyDescent="0.2">
      <c r="A52" s="11" t="s">
        <v>75</v>
      </c>
      <c r="B52" s="34">
        <f>B43</f>
        <v>14775049.008324496</v>
      </c>
      <c r="C52" s="34"/>
      <c r="D52" s="34"/>
      <c r="E52" s="34"/>
      <c r="F52" s="34"/>
      <c r="G52" s="34"/>
      <c r="H52" s="34"/>
      <c r="I52" s="34"/>
    </row>
    <row r="53" spans="1:11" x14ac:dyDescent="0.2">
      <c r="A53" s="11" t="s">
        <v>70</v>
      </c>
      <c r="B53" s="34"/>
      <c r="C53" s="34">
        <f t="shared" ref="C53:I54" si="15">C43</f>
        <v>-1436155.0991675481</v>
      </c>
      <c r="D53" s="34">
        <f t="shared" si="15"/>
        <v>-1579770.6090843044</v>
      </c>
      <c r="E53" s="34">
        <f t="shared" si="15"/>
        <v>-1737747.6699927337</v>
      </c>
      <c r="F53" s="34">
        <f t="shared" si="15"/>
        <v>-1911522.4369920082</v>
      </c>
      <c r="G53" s="34">
        <f t="shared" si="15"/>
        <v>-2102674.6806912087</v>
      </c>
      <c r="H53" s="34">
        <f t="shared" si="15"/>
        <v>-2312942.1487603299</v>
      </c>
      <c r="I53" s="34">
        <f t="shared" si="15"/>
        <v>-3694236.3636363633</v>
      </c>
    </row>
    <row r="54" spans="1:11" x14ac:dyDescent="0.2">
      <c r="A54" s="12" t="s">
        <v>73</v>
      </c>
      <c r="B54" s="51"/>
      <c r="C54" s="51">
        <f t="shared" si="15"/>
        <v>-1182003.9206659598</v>
      </c>
      <c r="D54" s="51">
        <f t="shared" si="15"/>
        <v>-1067111.5127325559</v>
      </c>
      <c r="E54" s="51">
        <f t="shared" si="15"/>
        <v>-940729.86400581151</v>
      </c>
      <c r="F54" s="51">
        <f t="shared" si="15"/>
        <v>-801710.05040639278</v>
      </c>
      <c r="G54" s="51">
        <f t="shared" si="15"/>
        <v>-648788.25544703216</v>
      </c>
      <c r="H54" s="51">
        <f t="shared" si="15"/>
        <v>-480574.28099173546</v>
      </c>
      <c r="I54" s="51">
        <f t="shared" si="15"/>
        <v>-295538.90909090906</v>
      </c>
    </row>
    <row r="55" spans="1:11" x14ac:dyDescent="0.2">
      <c r="A55" s="205" t="s">
        <v>76</v>
      </c>
      <c r="B55" s="204">
        <f t="shared" ref="B55:I55" si="16">SUM(B52:B54)</f>
        <v>14775049.008324496</v>
      </c>
      <c r="C55" s="204">
        <f t="shared" si="16"/>
        <v>-2618159.0198335079</v>
      </c>
      <c r="D55" s="204">
        <f t="shared" si="16"/>
        <v>-2646882.1218168605</v>
      </c>
      <c r="E55" s="204">
        <f t="shared" si="16"/>
        <v>-2678477.5339985453</v>
      </c>
      <c r="F55" s="204">
        <f t="shared" si="16"/>
        <v>-2713232.4873984009</v>
      </c>
      <c r="G55" s="204">
        <f t="shared" si="16"/>
        <v>-2751462.9361382406</v>
      </c>
      <c r="H55" s="204">
        <f t="shared" si="16"/>
        <v>-2793516.4297520653</v>
      </c>
      <c r="I55" s="204">
        <f t="shared" si="16"/>
        <v>-3989775.2727272725</v>
      </c>
    </row>
    <row r="57" spans="1:11" x14ac:dyDescent="0.2">
      <c r="A57" s="177" t="s">
        <v>6</v>
      </c>
      <c r="B57" s="178">
        <f>NPV(L26,C55:I55)+B55</f>
        <v>0</v>
      </c>
      <c r="K57" s="241" t="s">
        <v>182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28"/>
  <sheetViews>
    <sheetView zoomScale="120" zoomScaleNormal="120" workbookViewId="0">
      <selection activeCell="H19" sqref="H19"/>
    </sheetView>
  </sheetViews>
  <sheetFormatPr baseColWidth="10" defaultColWidth="11.42578125" defaultRowHeight="12.75" x14ac:dyDescent="0.2"/>
  <cols>
    <col min="1" max="1" width="20.7109375" bestFit="1" customWidth="1"/>
    <col min="2" max="2" width="11.42578125" customWidth="1"/>
    <col min="3" max="3" width="15.42578125" bestFit="1" customWidth="1"/>
  </cols>
  <sheetData>
    <row r="1" spans="1:6" x14ac:dyDescent="0.2">
      <c r="A1" s="1" t="s">
        <v>56</v>
      </c>
      <c r="B1" s="2">
        <v>0.13</v>
      </c>
    </row>
    <row r="3" spans="1:6" x14ac:dyDescent="0.2">
      <c r="C3" s="50">
        <v>2023</v>
      </c>
      <c r="D3" s="50">
        <v>2024</v>
      </c>
      <c r="E3" s="50">
        <v>2025</v>
      </c>
      <c r="F3" s="50">
        <v>2026</v>
      </c>
    </row>
    <row r="4" spans="1:6" x14ac:dyDescent="0.2">
      <c r="A4" s="43" t="s">
        <v>35</v>
      </c>
      <c r="B4" s="43"/>
      <c r="C4" s="37">
        <v>130</v>
      </c>
      <c r="D4" s="37">
        <v>120</v>
      </c>
      <c r="E4" s="37">
        <v>120</v>
      </c>
      <c r="F4" s="37">
        <v>100</v>
      </c>
    </row>
    <row r="5" spans="1:6" x14ac:dyDescent="0.2">
      <c r="A5" s="32" t="s">
        <v>77</v>
      </c>
      <c r="B5" s="32"/>
      <c r="C5" s="10">
        <v>100000</v>
      </c>
      <c r="D5" s="10">
        <v>120000</v>
      </c>
      <c r="E5" s="10">
        <v>120000</v>
      </c>
      <c r="F5" s="10">
        <v>110000</v>
      </c>
    </row>
    <row r="6" spans="1:6" x14ac:dyDescent="0.2">
      <c r="A6" s="37" t="s">
        <v>18</v>
      </c>
      <c r="B6" s="37"/>
      <c r="C6" s="52">
        <f>C4*C5</f>
        <v>13000000</v>
      </c>
      <c r="D6" s="52">
        <f>D4*D5</f>
        <v>14400000</v>
      </c>
      <c r="E6" s="52">
        <f>E4*E5</f>
        <v>14400000</v>
      </c>
      <c r="F6" s="52">
        <f>F4*F5</f>
        <v>11000000</v>
      </c>
    </row>
    <row r="7" spans="1:6" x14ac:dyDescent="0.2">
      <c r="A7" s="21" t="s">
        <v>78</v>
      </c>
      <c r="B7" s="21"/>
      <c r="C7" s="67">
        <f>C6*0.12</f>
        <v>1560000</v>
      </c>
      <c r="D7" s="67">
        <f>D6*0.12</f>
        <v>1728000</v>
      </c>
      <c r="E7" s="67">
        <f>E6*0.12</f>
        <v>1728000</v>
      </c>
      <c r="F7" s="67">
        <f>F6*0.12</f>
        <v>1320000</v>
      </c>
    </row>
    <row r="9" spans="1:6" x14ac:dyDescent="0.2">
      <c r="A9" s="68" t="s">
        <v>79</v>
      </c>
      <c r="B9" s="69"/>
      <c r="C9" s="165">
        <f>NPV($B$1,C7:F7)</f>
        <v>4740979.8432738828</v>
      </c>
    </row>
    <row r="11" spans="1:6" x14ac:dyDescent="0.2">
      <c r="B11" s="4">
        <v>2022</v>
      </c>
      <c r="C11" s="4">
        <f>C3</f>
        <v>2023</v>
      </c>
      <c r="D11" s="4">
        <f t="shared" ref="D11:F11" si="0">D3</f>
        <v>2024</v>
      </c>
      <c r="E11" s="4">
        <f t="shared" si="0"/>
        <v>2025</v>
      </c>
      <c r="F11" s="4">
        <f t="shared" si="0"/>
        <v>2026</v>
      </c>
    </row>
    <row r="12" spans="1:6" x14ac:dyDescent="0.2">
      <c r="A12" s="37" t="s">
        <v>18</v>
      </c>
      <c r="B12" s="37"/>
      <c r="C12" s="52">
        <v>13000000</v>
      </c>
      <c r="D12" s="52">
        <v>14400000</v>
      </c>
      <c r="E12" s="52">
        <v>14400000</v>
      </c>
      <c r="F12" s="52">
        <v>11000000</v>
      </c>
    </row>
    <row r="13" spans="1:6" x14ac:dyDescent="0.2">
      <c r="A13" s="12" t="s">
        <v>80</v>
      </c>
      <c r="B13" s="12"/>
      <c r="C13" s="51">
        <f>-60*C5</f>
        <v>-6000000</v>
      </c>
      <c r="D13" s="51">
        <f>-60*D5</f>
        <v>-7200000</v>
      </c>
      <c r="E13" s="51">
        <f>-60*E5</f>
        <v>-7200000</v>
      </c>
      <c r="F13" s="51">
        <f>-60*F5</f>
        <v>-6600000</v>
      </c>
    </row>
    <row r="14" spans="1:6" x14ac:dyDescent="0.2">
      <c r="A14" s="37" t="s">
        <v>61</v>
      </c>
      <c r="B14" s="37"/>
      <c r="C14" s="70">
        <f>SUM(C12:C13)</f>
        <v>7000000</v>
      </c>
      <c r="D14" s="70">
        <f>SUM(D12:D13)</f>
        <v>7200000</v>
      </c>
      <c r="E14" s="70">
        <f>SUM(E12:E13)</f>
        <v>7200000</v>
      </c>
      <c r="F14" s="70">
        <f>SUM(F12:F13)</f>
        <v>4400000</v>
      </c>
    </row>
    <row r="15" spans="1:6" x14ac:dyDescent="0.2">
      <c r="A15" s="11" t="s">
        <v>81</v>
      </c>
      <c r="B15" s="11"/>
      <c r="C15" s="9">
        <v>-3000000</v>
      </c>
      <c r="D15" s="9">
        <v>-3000000</v>
      </c>
      <c r="E15" s="9">
        <v>-3000000</v>
      </c>
      <c r="F15" s="9">
        <v>-3000000</v>
      </c>
    </row>
    <row r="16" spans="1:6" x14ac:dyDescent="0.2">
      <c r="A16" s="11" t="s">
        <v>22</v>
      </c>
      <c r="B16" s="9">
        <v>-3000000</v>
      </c>
      <c r="C16" s="11"/>
      <c r="D16" s="11"/>
      <c r="E16" s="11"/>
      <c r="F16" s="11"/>
    </row>
    <row r="17" spans="1:6" x14ac:dyDescent="0.2">
      <c r="A17" s="12" t="s">
        <v>12</v>
      </c>
      <c r="B17" s="10">
        <v>-1800000</v>
      </c>
      <c r="C17" s="12"/>
      <c r="D17" s="12"/>
      <c r="E17" s="12"/>
      <c r="F17" s="10">
        <v>1800000</v>
      </c>
    </row>
    <row r="18" spans="1:6" x14ac:dyDescent="0.2">
      <c r="A18" s="21" t="s">
        <v>19</v>
      </c>
      <c r="B18" s="22">
        <f>SUM(B16:B17)</f>
        <v>-4800000</v>
      </c>
      <c r="C18" s="67">
        <f>SUM(C14:C17)</f>
        <v>4000000</v>
      </c>
      <c r="D18" s="67">
        <f>SUM(D14:D17)</f>
        <v>4200000</v>
      </c>
      <c r="E18" s="67">
        <f>SUM(E14:E17)</f>
        <v>4200000</v>
      </c>
      <c r="F18" s="67">
        <f>SUM(F14:F17)</f>
        <v>3200000</v>
      </c>
    </row>
    <row r="20" spans="1:6" x14ac:dyDescent="0.2">
      <c r="A20" s="218" t="s">
        <v>82</v>
      </c>
      <c r="B20" s="220">
        <f>B18+NPV($B$1,C18:F18)</f>
        <v>6902469.6891598292</v>
      </c>
    </row>
    <row r="21" spans="1:6" x14ac:dyDescent="0.2">
      <c r="A21" s="219" t="s">
        <v>10</v>
      </c>
      <c r="B21" s="203">
        <f>IRR(B18:F18)</f>
        <v>0.74641142991509346</v>
      </c>
    </row>
    <row r="23" spans="1:6" x14ac:dyDescent="0.2">
      <c r="A23" s="222" t="s">
        <v>1</v>
      </c>
      <c r="B23" s="223" t="s">
        <v>83</v>
      </c>
      <c r="C23" s="224" t="s">
        <v>84</v>
      </c>
      <c r="D23" s="224" t="s">
        <v>85</v>
      </c>
    </row>
    <row r="24" spans="1:6" x14ac:dyDescent="0.2">
      <c r="A24" s="5">
        <f>C11</f>
        <v>2023</v>
      </c>
      <c r="B24" s="72">
        <v>14500000</v>
      </c>
      <c r="C24" s="34">
        <v>13000000</v>
      </c>
      <c r="D24" s="8">
        <f>B24-C24</f>
        <v>1500000</v>
      </c>
    </row>
    <row r="25" spans="1:6" x14ac:dyDescent="0.2">
      <c r="A25" s="6">
        <f>D11</f>
        <v>2024</v>
      </c>
      <c r="B25" s="31">
        <v>15600000</v>
      </c>
      <c r="C25" s="34">
        <v>14400000</v>
      </c>
      <c r="D25" s="9">
        <f>B25-C25</f>
        <v>1200000</v>
      </c>
    </row>
    <row r="26" spans="1:6" x14ac:dyDescent="0.2">
      <c r="A26" s="6">
        <f>E11</f>
        <v>2025</v>
      </c>
      <c r="B26" s="31">
        <v>14400000</v>
      </c>
      <c r="C26" s="34">
        <v>14400000</v>
      </c>
      <c r="D26" s="9">
        <f>B26-C26</f>
        <v>0</v>
      </c>
    </row>
    <row r="27" spans="1:6" x14ac:dyDescent="0.2">
      <c r="A27" s="7">
        <f>F11</f>
        <v>2026</v>
      </c>
      <c r="B27" s="33">
        <v>9900000</v>
      </c>
      <c r="C27" s="51">
        <v>11000000</v>
      </c>
      <c r="D27" s="10">
        <f>B27-C27</f>
        <v>-1100000</v>
      </c>
    </row>
    <row r="28" spans="1:6" x14ac:dyDescent="0.2">
      <c r="A28" s="221" t="s">
        <v>174</v>
      </c>
      <c r="B28" s="71"/>
      <c r="C28" s="69"/>
      <c r="D28" s="66">
        <f>NPV($B$1,D24:D27)</f>
        <v>1592559.0479198252</v>
      </c>
    </row>
  </sheetData>
  <pageMargins left="0.75" right="0.75" top="1" bottom="1" header="0.5" footer="0.5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J32"/>
  <sheetViews>
    <sheetView workbookViewId="0">
      <selection activeCell="J19" sqref="J19"/>
    </sheetView>
  </sheetViews>
  <sheetFormatPr baseColWidth="10" defaultColWidth="11.42578125" defaultRowHeight="12.75" x14ac:dyDescent="0.2"/>
  <cols>
    <col min="1" max="1" width="21.85546875" customWidth="1"/>
    <col min="2" max="2" width="14.28515625" bestFit="1" customWidth="1"/>
    <col min="3" max="3" width="11.85546875" bestFit="1" customWidth="1"/>
    <col min="4" max="4" width="12.7109375" bestFit="1" customWidth="1"/>
  </cols>
  <sheetData>
    <row r="1" spans="1:10" ht="15" x14ac:dyDescent="0.25">
      <c r="A1" s="208" t="s">
        <v>1</v>
      </c>
      <c r="B1" s="209">
        <v>0</v>
      </c>
      <c r="C1" s="209">
        <v>1</v>
      </c>
      <c r="D1" s="209">
        <v>2</v>
      </c>
      <c r="E1" s="209">
        <v>3</v>
      </c>
      <c r="F1" s="209">
        <v>4</v>
      </c>
      <c r="G1" s="209">
        <v>5</v>
      </c>
    </row>
    <row r="2" spans="1:10" x14ac:dyDescent="0.2">
      <c r="A2" s="11" t="s">
        <v>86</v>
      </c>
      <c r="B2" s="9">
        <v>-10000000</v>
      </c>
      <c r="C2" s="11"/>
      <c r="D2" s="11"/>
      <c r="E2" s="11"/>
      <c r="F2" s="11"/>
      <c r="G2" s="11"/>
    </row>
    <row r="3" spans="1:10" x14ac:dyDescent="0.2">
      <c r="A3" s="11" t="s">
        <v>87</v>
      </c>
      <c r="B3" s="9">
        <v>2200000</v>
      </c>
      <c r="C3" s="11"/>
      <c r="D3" s="11"/>
      <c r="E3" s="11"/>
      <c r="F3" s="11"/>
      <c r="G3" s="11"/>
    </row>
    <row r="4" spans="1:10" x14ac:dyDescent="0.2">
      <c r="A4" s="11" t="s">
        <v>88</v>
      </c>
      <c r="B4" s="11"/>
      <c r="C4" s="9">
        <v>2500000</v>
      </c>
      <c r="D4" s="9">
        <v>1300000</v>
      </c>
      <c r="E4" s="9">
        <v>1300000</v>
      </c>
      <c r="F4" s="9">
        <v>1300000</v>
      </c>
      <c r="G4" s="9">
        <v>1300000</v>
      </c>
    </row>
    <row r="5" spans="1:10" x14ac:dyDescent="0.2">
      <c r="A5" s="11" t="s">
        <v>89</v>
      </c>
      <c r="B5" s="11"/>
      <c r="C5" s="9">
        <v>1200000</v>
      </c>
      <c r="D5" s="9">
        <v>1200000</v>
      </c>
      <c r="E5" s="9">
        <v>1200000</v>
      </c>
      <c r="F5" s="9">
        <v>1200000</v>
      </c>
      <c r="G5" s="9">
        <v>1200000</v>
      </c>
    </row>
    <row r="6" spans="1:10" x14ac:dyDescent="0.2">
      <c r="A6" s="11" t="s">
        <v>90</v>
      </c>
      <c r="B6" s="11"/>
      <c r="C6" s="9">
        <v>-800000</v>
      </c>
      <c r="D6" s="9">
        <v>-800000</v>
      </c>
      <c r="E6" s="9">
        <v>-800000</v>
      </c>
      <c r="F6" s="9">
        <v>-800000</v>
      </c>
      <c r="G6" s="9">
        <v>-1200000</v>
      </c>
    </row>
    <row r="7" spans="1:10" x14ac:dyDescent="0.2">
      <c r="A7" s="11" t="s">
        <v>91</v>
      </c>
      <c r="B7" s="11"/>
      <c r="C7" s="9">
        <v>400000</v>
      </c>
      <c r="D7" s="9">
        <v>400000</v>
      </c>
      <c r="E7" s="9">
        <v>400000</v>
      </c>
      <c r="F7" s="9">
        <v>400000</v>
      </c>
      <c r="G7" s="9">
        <v>600000</v>
      </c>
    </row>
    <row r="8" spans="1:10" x14ac:dyDescent="0.2">
      <c r="A8" s="12" t="s">
        <v>92</v>
      </c>
      <c r="B8" s="12"/>
      <c r="C8" s="12"/>
      <c r="D8" s="12"/>
      <c r="E8" s="12"/>
      <c r="F8" s="12"/>
      <c r="G8" s="10">
        <v>1000000</v>
      </c>
    </row>
    <row r="9" spans="1:10" x14ac:dyDescent="0.2">
      <c r="A9" s="206" t="s">
        <v>19</v>
      </c>
      <c r="B9" s="207">
        <f>SUM(B2:B8)</f>
        <v>-7800000</v>
      </c>
      <c r="C9" s="207">
        <f t="shared" ref="C9:G9" si="0">SUM(C2:C8)</f>
        <v>3300000</v>
      </c>
      <c r="D9" s="207">
        <f t="shared" si="0"/>
        <v>2100000</v>
      </c>
      <c r="E9" s="207">
        <f t="shared" si="0"/>
        <v>2100000</v>
      </c>
      <c r="F9" s="207">
        <f t="shared" si="0"/>
        <v>2100000</v>
      </c>
      <c r="G9" s="207">
        <f t="shared" si="0"/>
        <v>2900000</v>
      </c>
      <c r="J9" s="3"/>
    </row>
    <row r="11" spans="1:10" x14ac:dyDescent="0.2">
      <c r="A11" s="164" t="s">
        <v>56</v>
      </c>
      <c r="B11" s="175">
        <v>0.1</v>
      </c>
    </row>
    <row r="13" spans="1:10" x14ac:dyDescent="0.2">
      <c r="A13" s="102" t="s">
        <v>6</v>
      </c>
      <c r="B13" s="225">
        <f>NPV(B11,C9:G9)+B9</f>
        <v>1748298.3651141543</v>
      </c>
    </row>
    <row r="14" spans="1:10" x14ac:dyDescent="0.2">
      <c r="A14" s="104" t="s">
        <v>10</v>
      </c>
      <c r="B14" s="226">
        <f>IRR(B9:G9)</f>
        <v>0.18787916021349549</v>
      </c>
    </row>
    <row r="16" spans="1:10" ht="15" x14ac:dyDescent="0.25">
      <c r="A16" s="208" t="s">
        <v>1</v>
      </c>
      <c r="B16" s="209">
        <v>0</v>
      </c>
      <c r="C16" s="209">
        <v>1</v>
      </c>
      <c r="D16" s="209">
        <v>2</v>
      </c>
      <c r="E16" s="209">
        <v>3</v>
      </c>
      <c r="F16" s="209">
        <v>4</v>
      </c>
      <c r="G16" s="209">
        <v>5</v>
      </c>
    </row>
    <row r="17" spans="1:7" x14ac:dyDescent="0.2">
      <c r="A17" s="11" t="s">
        <v>93</v>
      </c>
      <c r="B17" s="11">
        <v>0</v>
      </c>
      <c r="C17" s="9">
        <v>-10000000</v>
      </c>
      <c r="D17" s="11"/>
      <c r="E17" s="11"/>
      <c r="F17" s="11"/>
      <c r="G17" s="11"/>
    </row>
    <row r="18" spans="1:7" x14ac:dyDescent="0.2">
      <c r="A18" s="210" t="s">
        <v>94</v>
      </c>
      <c r="B18" s="12">
        <v>0</v>
      </c>
      <c r="C18" s="10">
        <v>-1800000</v>
      </c>
      <c r="D18" s="10">
        <v>4400000</v>
      </c>
      <c r="E18" s="10">
        <v>4400000</v>
      </c>
      <c r="F18" s="10">
        <v>4400000</v>
      </c>
      <c r="G18" s="10">
        <v>4400000</v>
      </c>
    </row>
    <row r="19" spans="1:7" x14ac:dyDescent="0.2">
      <c r="A19" s="206" t="str">
        <f>A9</f>
        <v>Kontantstrøm</v>
      </c>
      <c r="B19" s="206">
        <f>SUM(B17:B18)</f>
        <v>0</v>
      </c>
      <c r="C19" s="207">
        <f>SUM(C17:C18)</f>
        <v>-11800000</v>
      </c>
      <c r="D19" s="207">
        <f t="shared" ref="D19:G19" si="1">SUM(D17:D18)</f>
        <v>4400000</v>
      </c>
      <c r="E19" s="207">
        <f t="shared" si="1"/>
        <v>4400000</v>
      </c>
      <c r="F19" s="207">
        <f t="shared" si="1"/>
        <v>4400000</v>
      </c>
      <c r="G19" s="207">
        <f t="shared" si="1"/>
        <v>4400000</v>
      </c>
    </row>
    <row r="21" spans="1:7" x14ac:dyDescent="0.2">
      <c r="A21" s="164" t="s">
        <v>175</v>
      </c>
      <c r="B21" s="175">
        <v>0.1</v>
      </c>
    </row>
    <row r="23" spans="1:7" x14ac:dyDescent="0.2">
      <c r="A23" s="102" t="s">
        <v>6</v>
      </c>
      <c r="B23" s="225">
        <f>NPV(B21,C19:G19)+B19</f>
        <v>1952189.0581244424</v>
      </c>
    </row>
    <row r="24" spans="1:7" x14ac:dyDescent="0.2">
      <c r="A24" s="104" t="s">
        <v>10</v>
      </c>
      <c r="B24" s="226">
        <f>IRR(B19:G19)</f>
        <v>0.18157988031571493</v>
      </c>
    </row>
    <row r="27" spans="1:7" ht="15" x14ac:dyDescent="0.25">
      <c r="A27" s="208" t="s">
        <v>1</v>
      </c>
      <c r="B27" s="209">
        <v>0</v>
      </c>
      <c r="C27" s="209">
        <v>1</v>
      </c>
      <c r="D27" s="209">
        <v>2</v>
      </c>
      <c r="E27" s="209">
        <v>3</v>
      </c>
      <c r="F27" s="211">
        <v>4</v>
      </c>
      <c r="G27" s="209">
        <v>5</v>
      </c>
    </row>
    <row r="28" spans="1:7" x14ac:dyDescent="0.2">
      <c r="A28" s="11" t="s">
        <v>95</v>
      </c>
      <c r="B28" s="34">
        <v>0</v>
      </c>
      <c r="C28" s="34">
        <f t="shared" ref="C28:G28" si="2">C19</f>
        <v>-11800000</v>
      </c>
      <c r="D28" s="34">
        <f t="shared" si="2"/>
        <v>4400000</v>
      </c>
      <c r="E28" s="34">
        <f t="shared" si="2"/>
        <v>4400000</v>
      </c>
      <c r="F28" s="29">
        <f t="shared" si="2"/>
        <v>4400000</v>
      </c>
      <c r="G28" s="34">
        <f t="shared" si="2"/>
        <v>4400000</v>
      </c>
    </row>
    <row r="29" spans="1:7" x14ac:dyDescent="0.2">
      <c r="A29" s="12" t="s">
        <v>96</v>
      </c>
      <c r="B29" s="10">
        <f>B9</f>
        <v>-7800000</v>
      </c>
      <c r="C29" s="10">
        <f t="shared" ref="C29:G29" si="3">C9</f>
        <v>3300000</v>
      </c>
      <c r="D29" s="10">
        <f t="shared" si="3"/>
        <v>2100000</v>
      </c>
      <c r="E29" s="10">
        <f t="shared" si="3"/>
        <v>2100000</v>
      </c>
      <c r="F29" s="74">
        <f t="shared" si="3"/>
        <v>2100000</v>
      </c>
      <c r="G29" s="10">
        <f t="shared" si="3"/>
        <v>2900000</v>
      </c>
    </row>
    <row r="30" spans="1:7" x14ac:dyDescent="0.2">
      <c r="A30" s="177" t="s">
        <v>97</v>
      </c>
      <c r="B30" s="178">
        <f>B28-B29</f>
        <v>7800000</v>
      </c>
      <c r="C30" s="178">
        <f t="shared" ref="C30:G30" si="4">C28-C29</f>
        <v>-15100000</v>
      </c>
      <c r="D30" s="178">
        <f t="shared" si="4"/>
        <v>2300000</v>
      </c>
      <c r="E30" s="178">
        <f t="shared" si="4"/>
        <v>2300000</v>
      </c>
      <c r="F30" s="135">
        <f t="shared" si="4"/>
        <v>2300000</v>
      </c>
      <c r="G30" s="178">
        <f t="shared" si="4"/>
        <v>1500000</v>
      </c>
    </row>
    <row r="32" spans="1:7" x14ac:dyDescent="0.2">
      <c r="A32" s="227" t="s">
        <v>10</v>
      </c>
      <c r="B32" s="228">
        <f>IRR(B30:G30)</f>
        <v>0.14475052199343152</v>
      </c>
    </row>
  </sheetData>
  <pageMargins left="0.75" right="0.75" top="1" bottom="1" header="0.5" footer="0.5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21"/>
  <sheetViews>
    <sheetView zoomScale="150" zoomScaleNormal="150" workbookViewId="0">
      <selection activeCell="G18" sqref="G18"/>
    </sheetView>
  </sheetViews>
  <sheetFormatPr baseColWidth="10" defaultColWidth="9.140625" defaultRowHeight="12.75" x14ac:dyDescent="0.2"/>
  <cols>
    <col min="1" max="1" width="22.5703125" bestFit="1" customWidth="1"/>
    <col min="2" max="2" width="13.140625" bestFit="1" customWidth="1"/>
  </cols>
  <sheetData>
    <row r="1" spans="1:6" x14ac:dyDescent="0.2">
      <c r="A1" s="122" t="s">
        <v>1</v>
      </c>
      <c r="B1" s="123">
        <v>0</v>
      </c>
      <c r="C1" s="123">
        <v>1</v>
      </c>
      <c r="D1" s="123">
        <v>2</v>
      </c>
      <c r="E1" s="123">
        <v>3</v>
      </c>
      <c r="F1" s="123">
        <v>4</v>
      </c>
    </row>
    <row r="2" spans="1:6" x14ac:dyDescent="0.2">
      <c r="A2" s="212" t="s">
        <v>11</v>
      </c>
      <c r="B2" s="9">
        <v>-4000000</v>
      </c>
      <c r="C2" s="11"/>
      <c r="D2" s="11"/>
      <c r="E2" s="11"/>
      <c r="F2" s="11"/>
    </row>
    <row r="3" spans="1:6" x14ac:dyDescent="0.2">
      <c r="A3" s="212" t="s">
        <v>98</v>
      </c>
      <c r="B3" s="11"/>
      <c r="C3" s="9">
        <v>1975000</v>
      </c>
      <c r="D3" s="9">
        <v>1975000</v>
      </c>
      <c r="E3" s="9">
        <v>2600000</v>
      </c>
      <c r="F3" s="9">
        <v>2600000</v>
      </c>
    </row>
    <row r="4" spans="1:6" x14ac:dyDescent="0.2">
      <c r="A4" s="212" t="s">
        <v>54</v>
      </c>
      <c r="B4" s="11"/>
      <c r="C4" s="9">
        <v>-395000</v>
      </c>
      <c r="D4" s="9">
        <v>-395000</v>
      </c>
      <c r="E4" s="9">
        <v>-520000</v>
      </c>
      <c r="F4" s="9">
        <v>-520000</v>
      </c>
    </row>
    <row r="5" spans="1:6" x14ac:dyDescent="0.2">
      <c r="A5" s="153" t="s">
        <v>99</v>
      </c>
      <c r="B5" s="12"/>
      <c r="C5" s="10">
        <v>-100000</v>
      </c>
      <c r="D5" s="10">
        <v>-100000</v>
      </c>
      <c r="E5" s="10">
        <v>-100000</v>
      </c>
      <c r="F5" s="10">
        <v>-100000</v>
      </c>
    </row>
    <row r="6" spans="1:6" x14ac:dyDescent="0.2">
      <c r="A6" s="213" t="s">
        <v>19</v>
      </c>
      <c r="B6" s="214">
        <f>SUM(B2:B5)</f>
        <v>-4000000</v>
      </c>
      <c r="C6" s="214">
        <f>SUM(C2:C5)</f>
        <v>1480000</v>
      </c>
      <c r="D6" s="214">
        <f>SUM(D2:D5)</f>
        <v>1480000</v>
      </c>
      <c r="E6" s="214">
        <f>SUM(E2:E5)</f>
        <v>1980000</v>
      </c>
      <c r="F6" s="214">
        <f>SUM(F2:F5)</f>
        <v>1980000</v>
      </c>
    </row>
    <row r="7" spans="1:6" x14ac:dyDescent="0.2">
      <c r="A7" s="85"/>
      <c r="B7" s="3"/>
      <c r="C7" s="3"/>
      <c r="D7" s="3"/>
      <c r="E7" s="3"/>
      <c r="F7" s="3"/>
    </row>
    <row r="8" spans="1:6" x14ac:dyDescent="0.2">
      <c r="A8" s="229" t="s">
        <v>56</v>
      </c>
      <c r="B8" s="230">
        <v>0.15</v>
      </c>
    </row>
    <row r="9" spans="1:6" x14ac:dyDescent="0.2">
      <c r="A9" s="144" t="s">
        <v>6</v>
      </c>
      <c r="B9" s="191">
        <f>NPV(B8,C6:F6)+B6</f>
        <v>840002.71582791861</v>
      </c>
      <c r="D9" s="237" t="s">
        <v>181</v>
      </c>
    </row>
    <row r="10" spans="1:6" x14ac:dyDescent="0.2">
      <c r="A10" s="145" t="s">
        <v>10</v>
      </c>
      <c r="B10" s="242">
        <f>IRR(B6:F6)</f>
        <v>0.24417522441382178</v>
      </c>
    </row>
    <row r="11" spans="1:6" x14ac:dyDescent="0.2">
      <c r="A11" s="146" t="s">
        <v>100</v>
      </c>
      <c r="B11" s="203">
        <f>MIRR(B6:F6,B8,B8)</f>
        <v>0.20613034459202306</v>
      </c>
    </row>
    <row r="14" spans="1:6" x14ac:dyDescent="0.2">
      <c r="A14" s="232" t="s">
        <v>176</v>
      </c>
      <c r="B14" s="233" t="s">
        <v>177</v>
      </c>
    </row>
    <row r="15" spans="1:6" x14ac:dyDescent="0.2">
      <c r="A15" s="231">
        <f>C6</f>
        <v>1480000</v>
      </c>
      <c r="B15" s="34">
        <f>A15*(1+B8)^E1</f>
        <v>2250894.9999999995</v>
      </c>
    </row>
    <row r="16" spans="1:6" x14ac:dyDescent="0.2">
      <c r="A16" s="231">
        <f>D6</f>
        <v>1480000</v>
      </c>
      <c r="B16" s="34">
        <f>A16*(1+B8)^2</f>
        <v>1957299.9999999998</v>
      </c>
    </row>
    <row r="17" spans="1:2" x14ac:dyDescent="0.2">
      <c r="A17" s="231">
        <f>E6</f>
        <v>1980000</v>
      </c>
      <c r="B17" s="34">
        <f>A17*(1+B8)</f>
        <v>2277000</v>
      </c>
    </row>
    <row r="18" spans="1:2" x14ac:dyDescent="0.2">
      <c r="A18" s="234">
        <f>F6</f>
        <v>1980000</v>
      </c>
      <c r="B18" s="51">
        <f>A18</f>
        <v>1980000</v>
      </c>
    </row>
    <row r="19" spans="1:2" x14ac:dyDescent="0.2">
      <c r="A19" s="235" t="s">
        <v>178</v>
      </c>
      <c r="B19" s="236">
        <f>SUM(B15:B18)</f>
        <v>8465195</v>
      </c>
    </row>
    <row r="21" spans="1:2" x14ac:dyDescent="0.2">
      <c r="A21" s="243" t="str">
        <f>A11</f>
        <v>Modifisert internrente</v>
      </c>
      <c r="B21" s="228">
        <f>(B19/-B6)^(1/F1)-1</f>
        <v>0.20613034459202306</v>
      </c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13"/>
  <sheetViews>
    <sheetView zoomScale="140" zoomScaleNormal="140" workbookViewId="0">
      <selection activeCell="F31" sqref="F31"/>
    </sheetView>
  </sheetViews>
  <sheetFormatPr baseColWidth="10" defaultColWidth="9.140625" defaultRowHeight="12.75" x14ac:dyDescent="0.2"/>
  <cols>
    <col min="1" max="1" width="24.7109375" customWidth="1"/>
    <col min="2" max="2" width="15" bestFit="1" customWidth="1"/>
    <col min="3" max="7" width="11.5703125" bestFit="1" customWidth="1"/>
  </cols>
  <sheetData>
    <row r="1" spans="1:7" x14ac:dyDescent="0.2">
      <c r="A1" s="229" t="s">
        <v>1</v>
      </c>
      <c r="B1" s="123">
        <v>0</v>
      </c>
      <c r="C1" s="123">
        <v>1</v>
      </c>
      <c r="D1" s="123">
        <v>2</v>
      </c>
      <c r="E1" s="123">
        <v>3</v>
      </c>
      <c r="F1" s="123">
        <v>4</v>
      </c>
      <c r="G1" s="123">
        <v>5</v>
      </c>
    </row>
    <row r="2" spans="1:7" x14ac:dyDescent="0.2">
      <c r="A2" s="212" t="s">
        <v>11</v>
      </c>
      <c r="B2" s="9">
        <v>-25000000</v>
      </c>
      <c r="C2" s="11"/>
      <c r="D2" s="11"/>
      <c r="E2" s="11"/>
      <c r="F2" s="11"/>
      <c r="G2" s="11"/>
    </row>
    <row r="3" spans="1:7" x14ac:dyDescent="0.2">
      <c r="A3" s="212" t="s">
        <v>12</v>
      </c>
      <c r="B3" s="9">
        <v>-5000000</v>
      </c>
      <c r="C3" s="11"/>
      <c r="D3" s="11"/>
      <c r="E3" s="11"/>
      <c r="F3" s="11"/>
      <c r="G3" s="11"/>
    </row>
    <row r="4" spans="1:7" x14ac:dyDescent="0.2">
      <c r="A4" s="212" t="s">
        <v>18</v>
      </c>
      <c r="B4" s="11"/>
      <c r="C4" s="9">
        <v>20000000</v>
      </c>
      <c r="D4" s="9">
        <v>35000000</v>
      </c>
      <c r="E4" s="9">
        <v>45000000</v>
      </c>
      <c r="F4" s="9">
        <v>60000000</v>
      </c>
      <c r="G4" s="9">
        <v>63000000</v>
      </c>
    </row>
    <row r="5" spans="1:7" x14ac:dyDescent="0.2">
      <c r="A5" s="212" t="s">
        <v>54</v>
      </c>
      <c r="B5" s="11"/>
      <c r="C5" s="9">
        <v>-10000000</v>
      </c>
      <c r="D5" s="9">
        <v>-17500000</v>
      </c>
      <c r="E5" s="9">
        <v>-20250000</v>
      </c>
      <c r="F5" s="9">
        <v>-27000000</v>
      </c>
      <c r="G5" s="9">
        <v>-25200000</v>
      </c>
    </row>
    <row r="6" spans="1:7" x14ac:dyDescent="0.2">
      <c r="A6" s="153" t="s">
        <v>99</v>
      </c>
      <c r="B6" s="12"/>
      <c r="C6" s="10">
        <v>-8000000</v>
      </c>
      <c r="D6" s="10">
        <v>-12000000</v>
      </c>
      <c r="E6" s="10">
        <v>-15000000</v>
      </c>
      <c r="F6" s="10">
        <v>-15000000</v>
      </c>
      <c r="G6" s="10">
        <v>-12000000</v>
      </c>
    </row>
    <row r="7" spans="1:7" x14ac:dyDescent="0.2">
      <c r="A7" s="213" t="s">
        <v>19</v>
      </c>
      <c r="B7" s="214">
        <f t="shared" ref="B7:G7" si="0">SUM(B2:B6)</f>
        <v>-30000000</v>
      </c>
      <c r="C7" s="214">
        <f t="shared" si="0"/>
        <v>2000000</v>
      </c>
      <c r="D7" s="214">
        <f t="shared" si="0"/>
        <v>5500000</v>
      </c>
      <c r="E7" s="214">
        <f t="shared" si="0"/>
        <v>9750000</v>
      </c>
      <c r="F7" s="214">
        <f t="shared" si="0"/>
        <v>18000000</v>
      </c>
      <c r="G7" s="214">
        <f t="shared" si="0"/>
        <v>25800000</v>
      </c>
    </row>
    <row r="8" spans="1:7" x14ac:dyDescent="0.2">
      <c r="A8" s="85"/>
      <c r="B8" s="3"/>
      <c r="C8" s="3"/>
      <c r="D8" s="3"/>
      <c r="E8" s="3"/>
      <c r="F8" s="3"/>
      <c r="G8" s="3"/>
    </row>
    <row r="9" spans="1:7" x14ac:dyDescent="0.2">
      <c r="A9" s="147" t="s">
        <v>56</v>
      </c>
      <c r="B9" s="148">
        <v>0.2</v>
      </c>
      <c r="C9" s="3"/>
      <c r="D9" s="3"/>
      <c r="E9" s="3"/>
      <c r="F9" s="3"/>
      <c r="G9" s="3"/>
    </row>
    <row r="10" spans="1:7" x14ac:dyDescent="0.2">
      <c r="A10" s="149" t="s">
        <v>101</v>
      </c>
      <c r="B10" s="98">
        <v>0.02</v>
      </c>
    </row>
    <row r="11" spans="1:7" x14ac:dyDescent="0.2">
      <c r="A11" s="149" t="s">
        <v>102</v>
      </c>
      <c r="B11" s="99">
        <f>NPV(B9,C7:G7)+B7</f>
        <v>177469.1358024776</v>
      </c>
    </row>
    <row r="12" spans="1:7" x14ac:dyDescent="0.2">
      <c r="A12" s="149" t="s">
        <v>179</v>
      </c>
      <c r="B12" s="150">
        <f>G7/B9</f>
        <v>129000000</v>
      </c>
    </row>
    <row r="13" spans="1:7" x14ac:dyDescent="0.2">
      <c r="A13" s="151" t="s">
        <v>180</v>
      </c>
      <c r="B13" s="152">
        <f>G7*(1+B10)/(B9-B10)</f>
        <v>146199999.99999997</v>
      </c>
    </row>
  </sheetData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I45"/>
  <sheetViews>
    <sheetView topLeftCell="A11" zoomScale="130" zoomScaleNormal="130" workbookViewId="0">
      <selection activeCell="E44" sqref="E44"/>
    </sheetView>
  </sheetViews>
  <sheetFormatPr baseColWidth="10" defaultColWidth="9.140625" defaultRowHeight="12.75" x14ac:dyDescent="0.2"/>
  <cols>
    <col min="1" max="1" width="24.42578125" bestFit="1" customWidth="1"/>
    <col min="2" max="2" width="9.7109375" bestFit="1" customWidth="1"/>
    <col min="3" max="3" width="10.42578125" customWidth="1"/>
    <col min="4" max="9" width="9.7109375" bestFit="1" customWidth="1"/>
  </cols>
  <sheetData>
    <row r="1" spans="1:2" x14ac:dyDescent="0.2">
      <c r="A1" s="102" t="s">
        <v>29</v>
      </c>
      <c r="B1" s="97">
        <v>500000</v>
      </c>
    </row>
    <row r="2" spans="1:2" x14ac:dyDescent="0.2">
      <c r="A2" s="103" t="s">
        <v>103</v>
      </c>
      <c r="B2" s="99">
        <v>2500000</v>
      </c>
    </row>
    <row r="3" spans="1:2" x14ac:dyDescent="0.2">
      <c r="A3" s="103" t="s">
        <v>104</v>
      </c>
      <c r="B3" s="99">
        <v>500000</v>
      </c>
    </row>
    <row r="4" spans="1:2" x14ac:dyDescent="0.2">
      <c r="A4" s="103" t="s">
        <v>105</v>
      </c>
      <c r="B4" s="99">
        <v>150000</v>
      </c>
    </row>
    <row r="5" spans="1:2" x14ac:dyDescent="0.2">
      <c r="A5" s="103" t="s">
        <v>64</v>
      </c>
      <c r="B5" s="99">
        <v>800000</v>
      </c>
    </row>
    <row r="6" spans="1:2" x14ac:dyDescent="0.2">
      <c r="A6" s="103" t="s">
        <v>106</v>
      </c>
      <c r="B6" s="99">
        <v>100000</v>
      </c>
    </row>
    <row r="7" spans="1:2" x14ac:dyDescent="0.2">
      <c r="A7" s="103" t="s">
        <v>107</v>
      </c>
      <c r="B7" s="99">
        <v>150000</v>
      </c>
    </row>
    <row r="8" spans="1:2" x14ac:dyDescent="0.2">
      <c r="A8" s="103" t="s">
        <v>12</v>
      </c>
      <c r="B8" s="99">
        <v>400000</v>
      </c>
    </row>
    <row r="9" spans="1:2" x14ac:dyDescent="0.2">
      <c r="A9" s="103" t="s">
        <v>108</v>
      </c>
      <c r="B9" s="99">
        <v>50000</v>
      </c>
    </row>
    <row r="10" spans="1:2" x14ac:dyDescent="0.2">
      <c r="A10" s="103" t="s">
        <v>109</v>
      </c>
      <c r="B10" s="99">
        <v>70000</v>
      </c>
    </row>
    <row r="11" spans="1:2" x14ac:dyDescent="0.2">
      <c r="A11" s="103" t="s">
        <v>110</v>
      </c>
      <c r="B11" s="99">
        <v>80000</v>
      </c>
    </row>
    <row r="12" spans="1:2" x14ac:dyDescent="0.2">
      <c r="A12" s="103" t="s">
        <v>111</v>
      </c>
      <c r="B12" s="99">
        <v>90000</v>
      </c>
    </row>
    <row r="13" spans="1:2" x14ac:dyDescent="0.2">
      <c r="A13" s="103" t="s">
        <v>112</v>
      </c>
      <c r="B13" s="99">
        <v>90000</v>
      </c>
    </row>
    <row r="14" spans="1:2" x14ac:dyDescent="0.2">
      <c r="A14" s="103" t="s">
        <v>113</v>
      </c>
      <c r="B14" s="99">
        <v>100000</v>
      </c>
    </row>
    <row r="15" spans="1:2" x14ac:dyDescent="0.2">
      <c r="A15" s="103" t="s">
        <v>114</v>
      </c>
      <c r="B15" s="99">
        <v>50000</v>
      </c>
    </row>
    <row r="16" spans="1:2" x14ac:dyDescent="0.2">
      <c r="A16" s="103" t="s">
        <v>115</v>
      </c>
      <c r="B16" s="99">
        <v>72</v>
      </c>
    </row>
    <row r="17" spans="1:9" x14ac:dyDescent="0.2">
      <c r="A17" s="149" t="s">
        <v>116</v>
      </c>
      <c r="B17" s="99">
        <v>45</v>
      </c>
    </row>
    <row r="18" spans="1:9" x14ac:dyDescent="0.2">
      <c r="A18" s="103" t="s">
        <v>57</v>
      </c>
      <c r="B18" s="99">
        <v>0</v>
      </c>
    </row>
    <row r="19" spans="1:9" x14ac:dyDescent="0.2">
      <c r="A19" s="104" t="s">
        <v>56</v>
      </c>
      <c r="B19" s="107">
        <v>0.1</v>
      </c>
    </row>
    <row r="22" spans="1:9" x14ac:dyDescent="0.2">
      <c r="A22" s="78" t="s">
        <v>1</v>
      </c>
      <c r="B22" s="79">
        <v>0</v>
      </c>
      <c r="C22" s="80">
        <v>1</v>
      </c>
      <c r="D22" s="80">
        <v>2</v>
      </c>
      <c r="E22" s="79">
        <v>3</v>
      </c>
      <c r="F22" s="80">
        <v>4</v>
      </c>
      <c r="G22" s="80">
        <v>5</v>
      </c>
      <c r="H22" s="79">
        <v>6</v>
      </c>
      <c r="I22" s="80">
        <v>7</v>
      </c>
    </row>
    <row r="23" spans="1:9" x14ac:dyDescent="0.2">
      <c r="A23" s="37" t="s">
        <v>103</v>
      </c>
      <c r="B23" s="8">
        <f>-B2</f>
        <v>-2500000</v>
      </c>
      <c r="C23" s="37"/>
      <c r="D23" s="37"/>
      <c r="E23" s="37"/>
      <c r="F23" s="37"/>
      <c r="G23" s="37"/>
      <c r="H23" s="37"/>
      <c r="I23" s="37"/>
    </row>
    <row r="24" spans="1:9" x14ac:dyDescent="0.2">
      <c r="A24" s="11" t="s">
        <v>104</v>
      </c>
      <c r="B24" s="9">
        <f>-B3</f>
        <v>-500000</v>
      </c>
      <c r="C24" s="11"/>
      <c r="D24" s="11"/>
      <c r="E24" s="11"/>
      <c r="F24" s="11"/>
      <c r="G24" s="11"/>
      <c r="H24" s="11"/>
      <c r="I24" s="11"/>
    </row>
    <row r="25" spans="1:9" x14ac:dyDescent="0.2">
      <c r="A25" s="11" t="s">
        <v>105</v>
      </c>
      <c r="B25" s="9">
        <f>-B4</f>
        <v>-150000</v>
      </c>
      <c r="C25" s="11"/>
      <c r="D25" s="11"/>
      <c r="E25" s="11"/>
      <c r="F25" s="11"/>
      <c r="G25" s="11"/>
      <c r="H25" s="11"/>
      <c r="I25" s="11"/>
    </row>
    <row r="26" spans="1:9" x14ac:dyDescent="0.2">
      <c r="A26" s="11" t="s">
        <v>12</v>
      </c>
      <c r="B26" s="9">
        <f>-B8</f>
        <v>-400000</v>
      </c>
      <c r="C26" s="11"/>
      <c r="D26" s="11"/>
      <c r="E26" s="11"/>
      <c r="F26" s="11"/>
      <c r="G26" s="11"/>
      <c r="H26" s="11"/>
      <c r="I26" s="9">
        <f>B8</f>
        <v>400000</v>
      </c>
    </row>
    <row r="27" spans="1:9" x14ac:dyDescent="0.2">
      <c r="A27" s="11" t="s">
        <v>18</v>
      </c>
      <c r="B27" s="9"/>
      <c r="C27" s="9">
        <f>B16*B9</f>
        <v>3600000</v>
      </c>
      <c r="D27" s="9">
        <f>B16*B10</f>
        <v>5040000</v>
      </c>
      <c r="E27" s="9">
        <f>B16*B11</f>
        <v>5760000</v>
      </c>
      <c r="F27" s="9">
        <f>B16*B12</f>
        <v>6480000</v>
      </c>
      <c r="G27" s="9">
        <f>B16*B13</f>
        <v>6480000</v>
      </c>
      <c r="H27" s="9">
        <f>B16*B14</f>
        <v>7200000</v>
      </c>
      <c r="I27" s="9">
        <f>B16*B15</f>
        <v>3600000</v>
      </c>
    </row>
    <row r="28" spans="1:9" x14ac:dyDescent="0.2">
      <c r="A28" s="11" t="s">
        <v>54</v>
      </c>
      <c r="B28" s="9"/>
      <c r="C28" s="9">
        <f>-B17*B9</f>
        <v>-2250000</v>
      </c>
      <c r="D28" s="9">
        <f>-B17*B10</f>
        <v>-3150000</v>
      </c>
      <c r="E28" s="9">
        <f>-B17*B11</f>
        <v>-3600000</v>
      </c>
      <c r="F28" s="9">
        <f>-B17*B12</f>
        <v>-4050000</v>
      </c>
      <c r="G28" s="9">
        <f>-B17*B13</f>
        <v>-4050000</v>
      </c>
      <c r="H28" s="9">
        <f>-B17*B14</f>
        <v>-4500000</v>
      </c>
      <c r="I28" s="9">
        <f>-B17*B15</f>
        <v>-2250000</v>
      </c>
    </row>
    <row r="29" spans="1:9" x14ac:dyDescent="0.2">
      <c r="A29" s="11" t="s">
        <v>117</v>
      </c>
      <c r="B29" s="9"/>
      <c r="C29" s="9">
        <f>-$B$1</f>
        <v>-500000</v>
      </c>
      <c r="D29" s="9">
        <f t="shared" ref="D29:I29" si="0">-$B$1</f>
        <v>-500000</v>
      </c>
      <c r="E29" s="9">
        <f t="shared" si="0"/>
        <v>-500000</v>
      </c>
      <c r="F29" s="9">
        <f t="shared" si="0"/>
        <v>-500000</v>
      </c>
      <c r="G29" s="9">
        <f t="shared" si="0"/>
        <v>-500000</v>
      </c>
      <c r="H29" s="9">
        <f t="shared" si="0"/>
        <v>-500000</v>
      </c>
      <c r="I29" s="9">
        <f t="shared" si="0"/>
        <v>-500000</v>
      </c>
    </row>
    <row r="30" spans="1:9" x14ac:dyDescent="0.2">
      <c r="A30" s="11" t="s">
        <v>64</v>
      </c>
      <c r="B30" s="9"/>
      <c r="C30" s="9">
        <f>-$B$5</f>
        <v>-800000</v>
      </c>
      <c r="D30" s="9">
        <f>-$B$5</f>
        <v>-800000</v>
      </c>
      <c r="E30" s="9">
        <f>-$B$5</f>
        <v>-800000</v>
      </c>
      <c r="F30" s="9">
        <f>-$B$5</f>
        <v>-800000</v>
      </c>
      <c r="G30" s="9"/>
      <c r="H30" s="9"/>
      <c r="I30" s="9"/>
    </row>
    <row r="31" spans="1:9" x14ac:dyDescent="0.2">
      <c r="A31" s="12" t="s">
        <v>118</v>
      </c>
      <c r="B31" s="10"/>
      <c r="C31" s="10">
        <f>-$B$6</f>
        <v>-100000</v>
      </c>
      <c r="D31" s="10">
        <f>-$B$6</f>
        <v>-100000</v>
      </c>
      <c r="E31" s="10">
        <f>-$B$6</f>
        <v>-100000</v>
      </c>
      <c r="F31" s="10">
        <f>-$B$6</f>
        <v>-100000</v>
      </c>
      <c r="G31" s="10">
        <f>-$B$6</f>
        <v>-100000</v>
      </c>
      <c r="H31" s="10">
        <f>-$B$7</f>
        <v>-150000</v>
      </c>
      <c r="I31" s="10">
        <f>-$B$7</f>
        <v>-150000</v>
      </c>
    </row>
    <row r="32" spans="1:9" x14ac:dyDescent="0.2">
      <c r="A32" s="21" t="s">
        <v>19</v>
      </c>
      <c r="B32" s="22">
        <f t="shared" ref="B32:I32" si="1">SUM(B23:B31)</f>
        <v>-3550000</v>
      </c>
      <c r="C32" s="22">
        <f t="shared" si="1"/>
        <v>-50000</v>
      </c>
      <c r="D32" s="22">
        <f t="shared" si="1"/>
        <v>490000</v>
      </c>
      <c r="E32" s="22">
        <f t="shared" si="1"/>
        <v>760000</v>
      </c>
      <c r="F32" s="22">
        <f t="shared" si="1"/>
        <v>1030000</v>
      </c>
      <c r="G32" s="22">
        <f t="shared" si="1"/>
        <v>1830000</v>
      </c>
      <c r="H32" s="22">
        <f t="shared" si="1"/>
        <v>2050000</v>
      </c>
      <c r="I32" s="22">
        <f t="shared" si="1"/>
        <v>1100000</v>
      </c>
    </row>
    <row r="33" spans="1:9" x14ac:dyDescent="0.2">
      <c r="B33" s="3"/>
      <c r="C33" s="3"/>
      <c r="D33" s="3"/>
      <c r="E33" s="3"/>
      <c r="F33" s="3"/>
      <c r="G33" s="3"/>
      <c r="H33" s="3"/>
      <c r="I33" s="3"/>
    </row>
    <row r="34" spans="1:9" x14ac:dyDescent="0.2">
      <c r="A34" s="111" t="s">
        <v>10</v>
      </c>
      <c r="B34" s="113">
        <f>IRR(B32:I32)</f>
        <v>0.15506924022443269</v>
      </c>
      <c r="C34" s="3"/>
      <c r="D34" s="3"/>
      <c r="E34" s="3"/>
      <c r="F34" s="3"/>
      <c r="G34" s="3"/>
      <c r="H34" s="3"/>
      <c r="I34" s="3"/>
    </row>
    <row r="35" spans="1:9" x14ac:dyDescent="0.2">
      <c r="A35" s="112" t="s">
        <v>6</v>
      </c>
      <c r="B35" s="114">
        <f>NPV(10%,C32:I32)+B32</f>
        <v>941938.7478048997</v>
      </c>
      <c r="C35" s="3"/>
      <c r="D35" s="3"/>
      <c r="E35" s="3"/>
      <c r="F35" s="3"/>
      <c r="G35" s="3"/>
      <c r="H35" s="3"/>
      <c r="I35" s="3"/>
    </row>
    <row r="36" spans="1:9" x14ac:dyDescent="0.2">
      <c r="B36" s="3"/>
      <c r="C36" s="3"/>
      <c r="D36" s="3"/>
      <c r="E36" s="3"/>
      <c r="F36" s="3"/>
      <c r="G36" s="3"/>
      <c r="H36" s="3"/>
      <c r="I36" s="3"/>
    </row>
    <row r="37" spans="1:9" x14ac:dyDescent="0.2">
      <c r="A37" s="37" t="s">
        <v>119</v>
      </c>
      <c r="B37" s="108">
        <f>1/((1+$B$19)^G22)</f>
        <v>0.62092132305915493</v>
      </c>
      <c r="C37" s="3"/>
      <c r="D37" s="3"/>
      <c r="E37" s="3"/>
      <c r="F37" s="3"/>
      <c r="G37" s="3"/>
      <c r="H37" s="3"/>
      <c r="I37" s="3"/>
    </row>
    <row r="38" spans="1:9" x14ac:dyDescent="0.2">
      <c r="A38" s="11" t="s">
        <v>120</v>
      </c>
      <c r="B38" s="109">
        <f>1/((1+$B$19)^H22)</f>
        <v>0.56447393005377722</v>
      </c>
      <c r="C38" s="3"/>
      <c r="D38" s="3"/>
      <c r="E38" s="3"/>
      <c r="F38" s="3"/>
      <c r="G38" s="3"/>
      <c r="H38" s="3"/>
      <c r="I38" s="3"/>
    </row>
    <row r="39" spans="1:9" x14ac:dyDescent="0.2">
      <c r="A39" s="12" t="s">
        <v>121</v>
      </c>
      <c r="B39" s="110">
        <f>1/((1+$B$19)^I22)</f>
        <v>0.51315811823070645</v>
      </c>
      <c r="C39" s="3"/>
      <c r="D39" s="3"/>
      <c r="E39" s="3"/>
      <c r="F39" s="3"/>
      <c r="G39" s="3"/>
      <c r="H39" s="3"/>
      <c r="I39" s="3"/>
    </row>
    <row r="40" spans="1:9" x14ac:dyDescent="0.2">
      <c r="A40" s="12" t="s">
        <v>122</v>
      </c>
      <c r="B40" s="110">
        <f>SUM(B37:B39)</f>
        <v>1.6985533713436385</v>
      </c>
      <c r="C40" s="3"/>
      <c r="D40" s="3"/>
      <c r="E40" s="3"/>
      <c r="F40" s="3"/>
      <c r="G40" s="3"/>
      <c r="H40" s="3"/>
      <c r="I40" s="3"/>
    </row>
    <row r="41" spans="1:9" x14ac:dyDescent="0.2">
      <c r="B41" s="81"/>
      <c r="C41" s="3"/>
      <c r="D41" s="3"/>
      <c r="E41" s="3"/>
      <c r="F41" s="3"/>
      <c r="G41" s="3"/>
      <c r="H41" s="3"/>
      <c r="I41" s="3"/>
    </row>
    <row r="42" spans="1:9" x14ac:dyDescent="0.2">
      <c r="A42" s="82" t="s">
        <v>123</v>
      </c>
      <c r="B42" s="83">
        <f>B35</f>
        <v>941938.7478048997</v>
      </c>
      <c r="C42" s="84" t="s">
        <v>124</v>
      </c>
      <c r="D42" s="84"/>
      <c r="E42" s="3"/>
      <c r="F42" s="3"/>
      <c r="G42" s="3"/>
      <c r="H42" s="3"/>
      <c r="I42" s="3"/>
    </row>
    <row r="43" spans="1:9" x14ac:dyDescent="0.2">
      <c r="A43" s="82" t="s">
        <v>125</v>
      </c>
      <c r="B43" s="83">
        <f>B42/B40</f>
        <v>554553.51812688715</v>
      </c>
      <c r="C43" s="84" t="s">
        <v>126</v>
      </c>
      <c r="D43" s="84"/>
      <c r="E43" s="3"/>
      <c r="F43" s="3"/>
      <c r="G43" s="3"/>
      <c r="H43" s="3"/>
      <c r="I43" s="3"/>
    </row>
    <row r="45" spans="1:9" x14ac:dyDescent="0.2">
      <c r="A45" s="82" t="s">
        <v>172</v>
      </c>
      <c r="B45" s="82"/>
      <c r="C45" s="82"/>
    </row>
  </sheetData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I20"/>
  <sheetViews>
    <sheetView zoomScale="130" zoomScaleNormal="130" workbookViewId="0">
      <selection activeCell="M16" sqref="M16"/>
    </sheetView>
  </sheetViews>
  <sheetFormatPr baseColWidth="10" defaultColWidth="9.140625" defaultRowHeight="12.75" x14ac:dyDescent="0.2"/>
  <cols>
    <col min="1" max="1" width="16" bestFit="1" customWidth="1"/>
  </cols>
  <sheetData>
    <row r="1" spans="1:9" x14ac:dyDescent="0.2">
      <c r="A1" s="38" t="s">
        <v>127</v>
      </c>
      <c r="B1" s="14">
        <v>-400000</v>
      </c>
    </row>
    <row r="2" spans="1:9" x14ac:dyDescent="0.2">
      <c r="A2" s="115" t="s">
        <v>128</v>
      </c>
      <c r="B2" s="16">
        <v>300000</v>
      </c>
    </row>
    <row r="3" spans="1:9" x14ac:dyDescent="0.2">
      <c r="A3" s="115" t="s">
        <v>129</v>
      </c>
      <c r="B3" s="16">
        <v>350000</v>
      </c>
    </row>
    <row r="4" spans="1:9" x14ac:dyDescent="0.2">
      <c r="A4" s="115" t="s">
        <v>130</v>
      </c>
      <c r="B4" s="16">
        <v>320000</v>
      </c>
    </row>
    <row r="5" spans="1:9" x14ac:dyDescent="0.2">
      <c r="A5" s="115" t="s">
        <v>131</v>
      </c>
      <c r="B5" s="16">
        <v>300000</v>
      </c>
    </row>
    <row r="6" spans="1:9" x14ac:dyDescent="0.2">
      <c r="A6" s="115" t="s">
        <v>132</v>
      </c>
      <c r="B6" s="16">
        <v>200000</v>
      </c>
    </row>
    <row r="7" spans="1:9" x14ac:dyDescent="0.2">
      <c r="A7" s="115" t="s">
        <v>133</v>
      </c>
      <c r="B7" s="16">
        <v>350000</v>
      </c>
    </row>
    <row r="8" spans="1:9" x14ac:dyDescent="0.2">
      <c r="A8" s="115" t="s">
        <v>134</v>
      </c>
      <c r="B8" s="16">
        <v>300000</v>
      </c>
    </row>
    <row r="9" spans="1:9" x14ac:dyDescent="0.2">
      <c r="A9" s="115" t="s">
        <v>135</v>
      </c>
      <c r="B9" s="16">
        <v>250000</v>
      </c>
    </row>
    <row r="10" spans="1:9" x14ac:dyDescent="0.2">
      <c r="A10" s="115" t="s">
        <v>136</v>
      </c>
      <c r="B10" s="16">
        <v>200000</v>
      </c>
    </row>
    <row r="11" spans="1:9" x14ac:dyDescent="0.2">
      <c r="A11" s="39" t="s">
        <v>137</v>
      </c>
      <c r="B11" s="19">
        <v>100000</v>
      </c>
    </row>
    <row r="13" spans="1:9" ht="25.5" x14ac:dyDescent="0.2">
      <c r="A13" s="122" t="s">
        <v>24</v>
      </c>
      <c r="B13" s="123">
        <v>0</v>
      </c>
      <c r="C13" s="123">
        <v>1</v>
      </c>
      <c r="D13" s="123">
        <v>2</v>
      </c>
      <c r="E13" s="123">
        <v>3</v>
      </c>
      <c r="F13" s="123">
        <v>4</v>
      </c>
      <c r="G13" s="124">
        <v>5</v>
      </c>
      <c r="H13" s="125" t="s">
        <v>6</v>
      </c>
      <c r="I13" s="126" t="s">
        <v>138</v>
      </c>
    </row>
    <row r="14" spans="1:9" x14ac:dyDescent="0.2">
      <c r="A14" s="15">
        <v>1</v>
      </c>
      <c r="B14" s="14">
        <f>$B$1</f>
        <v>-400000</v>
      </c>
      <c r="C14" s="14">
        <f>B2+B7</f>
        <v>650000</v>
      </c>
      <c r="D14" s="17"/>
      <c r="E14" s="40"/>
      <c r="F14" s="17"/>
      <c r="G14" s="64"/>
      <c r="H14" s="116">
        <f>B14+NPV($B$20,C14:G14)</f>
        <v>180357.14285714284</v>
      </c>
      <c r="I14" s="57">
        <f>PMT($B$20,C13,-H14)</f>
        <v>201999.99999999997</v>
      </c>
    </row>
    <row r="15" spans="1:9" x14ac:dyDescent="0.2">
      <c r="A15" s="15">
        <v>2</v>
      </c>
      <c r="B15" s="16">
        <f>$B$1</f>
        <v>-400000</v>
      </c>
      <c r="C15" s="16">
        <f>$B$2</f>
        <v>300000</v>
      </c>
      <c r="D15" s="16">
        <f>B3+B8</f>
        <v>650000</v>
      </c>
      <c r="E15" s="17"/>
      <c r="F15" s="17"/>
      <c r="G15" s="65"/>
      <c r="H15" s="117">
        <f>B15+NPV($B$20,C15:G15)</f>
        <v>386033.16326530604</v>
      </c>
      <c r="I15" s="118">
        <f>PMT($B$20,D13,-H15)</f>
        <v>228415.09433962262</v>
      </c>
    </row>
    <row r="16" spans="1:9" x14ac:dyDescent="0.2">
      <c r="A16" s="15">
        <v>3</v>
      </c>
      <c r="B16" s="16">
        <f>$B$1</f>
        <v>-400000</v>
      </c>
      <c r="C16" s="16">
        <f>$B$2</f>
        <v>300000</v>
      </c>
      <c r="D16" s="16">
        <f>$B$3</f>
        <v>350000</v>
      </c>
      <c r="E16" s="16">
        <f>B4+B9</f>
        <v>570000</v>
      </c>
      <c r="F16" s="17"/>
      <c r="G16" s="65"/>
      <c r="H16" s="117">
        <f>B16+NPV($B$20,C16:G16)</f>
        <v>552589.741253644</v>
      </c>
      <c r="I16" s="119">
        <f>PMT($B$20,E13,-H16)</f>
        <v>230070.17543859637</v>
      </c>
    </row>
    <row r="17" spans="1:9" x14ac:dyDescent="0.2">
      <c r="A17" s="15">
        <v>4</v>
      </c>
      <c r="B17" s="16">
        <f>$B$1</f>
        <v>-400000</v>
      </c>
      <c r="C17" s="16">
        <f>$B$2</f>
        <v>300000</v>
      </c>
      <c r="D17" s="16">
        <v>350000</v>
      </c>
      <c r="E17" s="16">
        <f>$B$4</f>
        <v>320000</v>
      </c>
      <c r="F17" s="16">
        <f>B5+B10</f>
        <v>500000</v>
      </c>
      <c r="G17" s="65"/>
      <c r="H17" s="117">
        <f>B17+NPV($B$20,C17:G17)</f>
        <v>692403.71850270708</v>
      </c>
      <c r="I17" s="118">
        <f>PMT($B$20,F13,-H17)</f>
        <v>227963.14795720234</v>
      </c>
    </row>
    <row r="18" spans="1:9" x14ac:dyDescent="0.2">
      <c r="A18" s="18">
        <v>5</v>
      </c>
      <c r="B18" s="19">
        <f>$B$1</f>
        <v>-400000</v>
      </c>
      <c r="C18" s="19">
        <f>$B$2</f>
        <v>300000</v>
      </c>
      <c r="D18" s="19">
        <v>350000</v>
      </c>
      <c r="E18" s="19">
        <f>$B$4</f>
        <v>320000</v>
      </c>
      <c r="F18" s="19">
        <f>B5</f>
        <v>300000</v>
      </c>
      <c r="G18" s="120">
        <f>B6+B11</f>
        <v>300000</v>
      </c>
      <c r="H18" s="121">
        <f>B18+NPV($B$20,C18:G18)</f>
        <v>735528.15953732049</v>
      </c>
      <c r="I18" s="58">
        <f>PMT($B$20,G13,-H18)</f>
        <v>204042.66957234114</v>
      </c>
    </row>
    <row r="20" spans="1:9" x14ac:dyDescent="0.2">
      <c r="A20" s="127" t="s">
        <v>139</v>
      </c>
      <c r="B20" s="2">
        <v>0.12</v>
      </c>
    </row>
  </sheetData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A0C29B-5C67-4598-A079-B0A9CDFA7B4F}">
  <dimension ref="A1:I11"/>
  <sheetViews>
    <sheetView zoomScale="140" zoomScaleNormal="140" workbookViewId="0">
      <selection activeCell="B12" sqref="B12"/>
    </sheetView>
  </sheetViews>
  <sheetFormatPr baseColWidth="10" defaultRowHeight="12.75" x14ac:dyDescent="0.2"/>
  <cols>
    <col min="1" max="1" width="14.7109375" bestFit="1" customWidth="1"/>
    <col min="3" max="3" width="13.5703125" bestFit="1" customWidth="1"/>
  </cols>
  <sheetData>
    <row r="1" spans="1:9" x14ac:dyDescent="0.2">
      <c r="B1" s="142">
        <v>0</v>
      </c>
      <c r="C1" s="142">
        <v>1</v>
      </c>
      <c r="D1" s="142">
        <v>2</v>
      </c>
      <c r="E1" s="142">
        <v>3</v>
      </c>
      <c r="F1" s="142">
        <v>4</v>
      </c>
      <c r="G1" s="142">
        <v>5</v>
      </c>
      <c r="H1" s="142">
        <v>6</v>
      </c>
      <c r="I1" s="142">
        <v>7</v>
      </c>
    </row>
    <row r="2" spans="1:9" x14ac:dyDescent="0.2">
      <c r="A2" s="85" t="s">
        <v>184</v>
      </c>
      <c r="B2" s="3">
        <v>-1200000</v>
      </c>
      <c r="C2" s="3">
        <v>-60000</v>
      </c>
      <c r="D2" s="3">
        <v>-60000</v>
      </c>
      <c r="E2" s="3">
        <v>-60000</v>
      </c>
      <c r="F2" s="3">
        <v>-60000</v>
      </c>
    </row>
    <row r="3" spans="1:9" x14ac:dyDescent="0.2">
      <c r="A3" s="85" t="s">
        <v>185</v>
      </c>
      <c r="B3" s="3">
        <v>-1700000</v>
      </c>
      <c r="C3" s="3">
        <v>-80000</v>
      </c>
      <c r="D3" s="3">
        <v>-80000</v>
      </c>
      <c r="E3" s="3">
        <v>-80000</v>
      </c>
      <c r="F3" s="3">
        <v>-80000</v>
      </c>
      <c r="G3" s="3">
        <v>-80000</v>
      </c>
      <c r="H3" s="3">
        <v>-80000</v>
      </c>
      <c r="I3" s="3">
        <v>-80000</v>
      </c>
    </row>
    <row r="5" spans="1:9" x14ac:dyDescent="0.2">
      <c r="A5" s="85" t="s">
        <v>56</v>
      </c>
      <c r="B5" s="73">
        <v>0.1</v>
      </c>
    </row>
    <row r="7" spans="1:9" x14ac:dyDescent="0.2">
      <c r="B7" s="244" t="s">
        <v>6</v>
      </c>
      <c r="C7" s="244" t="s">
        <v>186</v>
      </c>
    </row>
    <row r="8" spans="1:9" x14ac:dyDescent="0.2">
      <c r="A8" s="85" t="s">
        <v>184</v>
      </c>
      <c r="B8" s="3">
        <f>NPV(B5,C2:F2)+B2</f>
        <v>-1390191.9267809575</v>
      </c>
      <c r="C8" s="29">
        <f>PMT(B5,F1,-B8)</f>
        <v>-438564.96444731741</v>
      </c>
    </row>
    <row r="9" spans="1:9" x14ac:dyDescent="0.2">
      <c r="A9" s="85" t="s">
        <v>185</v>
      </c>
      <c r="B9" s="3">
        <f>NPV(B5,C3:I3)+B3</f>
        <v>-2089473.5054154345</v>
      </c>
      <c r="C9" s="245">
        <f>PMT(B5,I1,-B9)</f>
        <v>-429189.34949101269</v>
      </c>
    </row>
    <row r="11" spans="1:9" x14ac:dyDescent="0.2">
      <c r="B11" s="85" t="s">
        <v>187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C10"/>
  <sheetViews>
    <sheetView zoomScale="140" zoomScaleNormal="140" workbookViewId="0">
      <selection activeCell="E39" sqref="E39"/>
    </sheetView>
  </sheetViews>
  <sheetFormatPr baseColWidth="10" defaultColWidth="9.140625" defaultRowHeight="12.75" x14ac:dyDescent="0.2"/>
  <cols>
    <col min="1" max="1" width="12.28515625" bestFit="1" customWidth="1"/>
    <col min="3" max="3" width="9.7109375" bestFit="1" customWidth="1"/>
  </cols>
  <sheetData>
    <row r="1" spans="1:3" x14ac:dyDescent="0.2">
      <c r="A1" s="215" t="s">
        <v>140</v>
      </c>
      <c r="B1" s="216" t="s">
        <v>141</v>
      </c>
      <c r="C1" s="216" t="s">
        <v>142</v>
      </c>
    </row>
    <row r="2" spans="1:3" x14ac:dyDescent="0.2">
      <c r="A2" s="85" t="s">
        <v>143</v>
      </c>
      <c r="B2" s="3">
        <v>1000</v>
      </c>
      <c r="C2" s="3">
        <v>1000</v>
      </c>
    </row>
    <row r="3" spans="1:3" x14ac:dyDescent="0.2">
      <c r="A3" s="85" t="s">
        <v>144</v>
      </c>
      <c r="B3" s="73">
        <v>0.06</v>
      </c>
      <c r="C3" s="73">
        <v>0.1</v>
      </c>
    </row>
    <row r="4" spans="1:3" x14ac:dyDescent="0.2">
      <c r="A4" s="85" t="s">
        <v>145</v>
      </c>
      <c r="B4">
        <f>B2*B3</f>
        <v>60</v>
      </c>
      <c r="C4">
        <f>C2*C3</f>
        <v>100</v>
      </c>
    </row>
    <row r="5" spans="1:3" x14ac:dyDescent="0.2">
      <c r="A5" s="85" t="s">
        <v>146</v>
      </c>
      <c r="B5">
        <v>1</v>
      </c>
      <c r="C5">
        <v>15</v>
      </c>
    </row>
    <row r="6" spans="1:3" x14ac:dyDescent="0.2">
      <c r="A6" s="85" t="s">
        <v>139</v>
      </c>
      <c r="B6" s="73">
        <v>0.08</v>
      </c>
      <c r="C6" s="73">
        <v>0.08</v>
      </c>
    </row>
    <row r="8" spans="1:3" x14ac:dyDescent="0.2">
      <c r="A8" s="88" t="s">
        <v>147</v>
      </c>
      <c r="B8" s="89">
        <f>-PV(B6,B5,B4)+B2/(1+B6)</f>
        <v>981.48148148148152</v>
      </c>
      <c r="C8" s="89">
        <f>-PV(C6,C5,C4)+C2/(1+C6)^C5</f>
        <v>1171.1895737585276</v>
      </c>
    </row>
    <row r="10" spans="1:3" x14ac:dyDescent="0.2">
      <c r="A10" s="85" t="s">
        <v>148</v>
      </c>
    </row>
  </sheetData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M20"/>
  <sheetViews>
    <sheetView zoomScale="130" zoomScaleNormal="130" workbookViewId="0">
      <selection activeCell="H37" sqref="H37"/>
    </sheetView>
  </sheetViews>
  <sheetFormatPr baseColWidth="10" defaultColWidth="9.140625" defaultRowHeight="12.75" x14ac:dyDescent="0.2"/>
  <cols>
    <col min="1" max="1" width="12.28515625" bestFit="1" customWidth="1"/>
  </cols>
  <sheetData>
    <row r="1" spans="1:9" x14ac:dyDescent="0.2">
      <c r="A1" s="136" t="s">
        <v>143</v>
      </c>
      <c r="B1" s="134">
        <v>1000</v>
      </c>
    </row>
    <row r="2" spans="1:9" x14ac:dyDescent="0.2">
      <c r="A2" s="136" t="s">
        <v>144</v>
      </c>
      <c r="B2" s="137">
        <v>8.5000000000000006E-2</v>
      </c>
    </row>
    <row r="3" spans="1:9" x14ac:dyDescent="0.2">
      <c r="A3" s="136" t="s">
        <v>145</v>
      </c>
      <c r="B3" s="128">
        <f>B1*B2</f>
        <v>85</v>
      </c>
    </row>
    <row r="4" spans="1:9" x14ac:dyDescent="0.2">
      <c r="A4" s="136" t="s">
        <v>147</v>
      </c>
      <c r="B4" s="128">
        <v>855</v>
      </c>
    </row>
    <row r="6" spans="1:9" x14ac:dyDescent="0.2">
      <c r="A6" s="86" t="s">
        <v>1</v>
      </c>
      <c r="B6" s="90">
        <v>0</v>
      </c>
      <c r="C6" s="90">
        <v>1</v>
      </c>
      <c r="D6" s="90">
        <v>2</v>
      </c>
      <c r="E6" s="90">
        <v>3</v>
      </c>
      <c r="F6" s="90">
        <v>4</v>
      </c>
      <c r="G6" s="90">
        <v>5</v>
      </c>
      <c r="H6" s="90">
        <v>6</v>
      </c>
      <c r="I6" s="90">
        <v>7</v>
      </c>
    </row>
    <row r="7" spans="1:9" x14ac:dyDescent="0.2">
      <c r="A7" s="136" t="s">
        <v>19</v>
      </c>
      <c r="B7" s="128">
        <f>-B4</f>
        <v>-855</v>
      </c>
      <c r="C7" s="128">
        <f>$B$3</f>
        <v>85</v>
      </c>
      <c r="D7" s="128">
        <f t="shared" ref="D7:H7" si="0">$B$3</f>
        <v>85</v>
      </c>
      <c r="E7" s="128">
        <f t="shared" si="0"/>
        <v>85</v>
      </c>
      <c r="F7" s="128">
        <f t="shared" si="0"/>
        <v>85</v>
      </c>
      <c r="G7" s="128">
        <f t="shared" si="0"/>
        <v>85</v>
      </c>
      <c r="H7" s="128">
        <f t="shared" si="0"/>
        <v>85</v>
      </c>
      <c r="I7" s="134">
        <f>$B$3+B1</f>
        <v>1085</v>
      </c>
    </row>
    <row r="9" spans="1:9" x14ac:dyDescent="0.2">
      <c r="A9" s="138" t="s">
        <v>149</v>
      </c>
      <c r="B9" s="139">
        <f>IRR(B7:I7)</f>
        <v>0.11641137420418346</v>
      </c>
    </row>
    <row r="11" spans="1:9" x14ac:dyDescent="0.2">
      <c r="A11" s="86" t="s">
        <v>1</v>
      </c>
      <c r="B11" s="90">
        <v>0</v>
      </c>
      <c r="C11" s="90">
        <v>1</v>
      </c>
      <c r="D11" s="90">
        <v>2</v>
      </c>
      <c r="E11" s="90">
        <v>3</v>
      </c>
      <c r="F11" s="90">
        <v>4</v>
      </c>
      <c r="G11" s="90">
        <v>5</v>
      </c>
      <c r="H11" s="90">
        <v>6</v>
      </c>
      <c r="I11" s="90">
        <v>7</v>
      </c>
    </row>
    <row r="12" spans="1:9" x14ac:dyDescent="0.2">
      <c r="A12" s="136" t="s">
        <v>19</v>
      </c>
      <c r="B12" s="128"/>
      <c r="C12" s="128">
        <f>$B$3</f>
        <v>85</v>
      </c>
      <c r="D12" s="128">
        <f t="shared" ref="D12:H12" si="1">$B$3</f>
        <v>85</v>
      </c>
      <c r="E12" s="128">
        <f t="shared" si="1"/>
        <v>85</v>
      </c>
      <c r="F12" s="128">
        <f t="shared" si="1"/>
        <v>85</v>
      </c>
      <c r="G12" s="128">
        <f t="shared" si="1"/>
        <v>85</v>
      </c>
      <c r="H12" s="128">
        <f t="shared" si="1"/>
        <v>85</v>
      </c>
      <c r="I12" s="134">
        <f>$B$3+B1</f>
        <v>1085</v>
      </c>
    </row>
    <row r="14" spans="1:9" x14ac:dyDescent="0.2">
      <c r="A14" s="138" t="s">
        <v>139</v>
      </c>
      <c r="B14" s="139">
        <v>7.4999999999999997E-2</v>
      </c>
    </row>
    <row r="16" spans="1:9" x14ac:dyDescent="0.2">
      <c r="A16" s="86" t="s">
        <v>147</v>
      </c>
      <c r="B16" s="91">
        <f>NPV(B14,C12:I12)</f>
        <v>1052.9660132136157</v>
      </c>
    </row>
    <row r="17" spans="1:13" x14ac:dyDescent="0.2">
      <c r="M17" s="85"/>
    </row>
    <row r="18" spans="1:13" x14ac:dyDescent="0.2">
      <c r="A18" s="138" t="s">
        <v>139</v>
      </c>
      <c r="B18" s="139">
        <v>0.18</v>
      </c>
    </row>
    <row r="20" spans="1:13" x14ac:dyDescent="0.2">
      <c r="A20" s="86" t="s">
        <v>147</v>
      </c>
      <c r="B20" s="91">
        <f>NPV(B18,C12:I12)</f>
        <v>637.90487863438671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0"/>
  <sheetViews>
    <sheetView zoomScale="210" zoomScaleNormal="210" workbookViewId="0">
      <selection activeCell="D18" sqref="D18"/>
    </sheetView>
  </sheetViews>
  <sheetFormatPr baseColWidth="10" defaultColWidth="11.42578125" defaultRowHeight="12.75" x14ac:dyDescent="0.2"/>
  <cols>
    <col min="1" max="15" width="11.42578125" customWidth="1"/>
    <col min="16" max="16" width="11.85546875" customWidth="1"/>
  </cols>
  <sheetData>
    <row r="1" spans="1:4" x14ac:dyDescent="0.2">
      <c r="A1" s="1" t="s">
        <v>0</v>
      </c>
      <c r="B1" s="2">
        <v>0.2</v>
      </c>
    </row>
    <row r="3" spans="1:4" x14ac:dyDescent="0.2">
      <c r="A3" s="4" t="s">
        <v>1</v>
      </c>
      <c r="B3" s="4" t="s">
        <v>7</v>
      </c>
      <c r="C3" s="4" t="s">
        <v>8</v>
      </c>
      <c r="D3" s="4" t="s">
        <v>9</v>
      </c>
    </row>
    <row r="4" spans="1:4" x14ac:dyDescent="0.2">
      <c r="A4" s="13">
        <v>0</v>
      </c>
      <c r="B4" s="14">
        <v>-6000000</v>
      </c>
      <c r="C4" s="14">
        <v>-6000000</v>
      </c>
      <c r="D4" s="14">
        <v>-6000000</v>
      </c>
    </row>
    <row r="5" spans="1:4" x14ac:dyDescent="0.2">
      <c r="A5" s="15">
        <v>1</v>
      </c>
      <c r="B5" s="16">
        <v>2500000</v>
      </c>
      <c r="C5" s="16">
        <v>4000000</v>
      </c>
      <c r="D5" s="16">
        <v>1000000</v>
      </c>
    </row>
    <row r="6" spans="1:4" x14ac:dyDescent="0.2">
      <c r="A6" s="15">
        <v>2</v>
      </c>
      <c r="B6" s="16">
        <v>2500000</v>
      </c>
      <c r="C6" s="16">
        <v>3000000</v>
      </c>
      <c r="D6" s="16">
        <v>2000000</v>
      </c>
    </row>
    <row r="7" spans="1:4" x14ac:dyDescent="0.2">
      <c r="A7" s="15">
        <v>3</v>
      </c>
      <c r="B7" s="16">
        <v>2500000</v>
      </c>
      <c r="C7" s="16">
        <v>2000000</v>
      </c>
      <c r="D7" s="16">
        <v>3000000</v>
      </c>
    </row>
    <row r="8" spans="1:4" x14ac:dyDescent="0.2">
      <c r="A8" s="18">
        <v>4</v>
      </c>
      <c r="B8" s="19">
        <v>2500000</v>
      </c>
      <c r="C8" s="19">
        <v>1000000</v>
      </c>
      <c r="D8" s="19">
        <v>4000000</v>
      </c>
    </row>
    <row r="9" spans="1:4" x14ac:dyDescent="0.2">
      <c r="A9" s="24" t="s">
        <v>6</v>
      </c>
      <c r="B9" s="25">
        <f>B4+NPV($B$1,B5:B8)</f>
        <v>471836.41975308675</v>
      </c>
      <c r="C9" s="25">
        <f>C4+NPV($B$1,C5:C8)</f>
        <v>1056327.1604938284</v>
      </c>
      <c r="D9" s="25">
        <f>D4+NPV($B$1,D5:D8)</f>
        <v>-112654.32098765392</v>
      </c>
    </row>
    <row r="10" spans="1:4" x14ac:dyDescent="0.2">
      <c r="A10" s="23" t="s">
        <v>10</v>
      </c>
      <c r="B10" s="26">
        <f>IRR(B4:B8)</f>
        <v>0.24098855623127258</v>
      </c>
      <c r="C10" s="26">
        <f>IRR(C4:C8)</f>
        <v>0.31383112417353232</v>
      </c>
      <c r="D10" s="26">
        <f>IRR(D4:D8)</f>
        <v>0.19193957130144867</v>
      </c>
    </row>
  </sheetData>
  <pageMargins left="0.75" right="0.75" top="1" bottom="1" header="0.5" footer="0.5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E12"/>
  <sheetViews>
    <sheetView zoomScale="170" zoomScaleNormal="170" workbookViewId="0">
      <selection activeCell="C32" sqref="C31:C32"/>
    </sheetView>
  </sheetViews>
  <sheetFormatPr baseColWidth="10" defaultColWidth="9.140625" defaultRowHeight="12.75" x14ac:dyDescent="0.2"/>
  <cols>
    <col min="1" max="1" width="12.28515625" bestFit="1" customWidth="1"/>
  </cols>
  <sheetData>
    <row r="1" spans="1:5" x14ac:dyDescent="0.2">
      <c r="A1" s="138" t="s">
        <v>143</v>
      </c>
      <c r="B1" s="105">
        <v>1000</v>
      </c>
    </row>
    <row r="2" spans="1:5" x14ac:dyDescent="0.2">
      <c r="A2" s="138" t="s">
        <v>144</v>
      </c>
      <c r="B2" s="140">
        <v>0.05</v>
      </c>
    </row>
    <row r="3" spans="1:5" x14ac:dyDescent="0.2">
      <c r="A3" s="138" t="s">
        <v>145</v>
      </c>
      <c r="B3" s="141">
        <f>B1*B2</f>
        <v>50</v>
      </c>
    </row>
    <row r="4" spans="1:5" x14ac:dyDescent="0.2">
      <c r="A4" s="138" t="s">
        <v>146</v>
      </c>
      <c r="B4" s="106">
        <v>3</v>
      </c>
    </row>
    <row r="5" spans="1:5" x14ac:dyDescent="0.2">
      <c r="A5" s="138" t="s">
        <v>139</v>
      </c>
      <c r="B5" s="140">
        <v>0.08</v>
      </c>
    </row>
    <row r="7" spans="1:5" x14ac:dyDescent="0.2">
      <c r="A7" s="86" t="s">
        <v>1</v>
      </c>
      <c r="B7" s="94">
        <v>0</v>
      </c>
      <c r="C7" s="90">
        <v>1</v>
      </c>
      <c r="D7" s="90">
        <v>2</v>
      </c>
      <c r="E7" s="90">
        <v>3</v>
      </c>
    </row>
    <row r="8" spans="1:5" x14ac:dyDescent="0.2">
      <c r="A8" s="85" t="s">
        <v>140</v>
      </c>
      <c r="B8" s="93">
        <f>NPV(B5,C8:E8)</f>
        <v>922.6870903825635</v>
      </c>
      <c r="C8" s="92">
        <f>$B$3</f>
        <v>50</v>
      </c>
      <c r="D8" s="92">
        <f t="shared" ref="D8" si="0">$B$3</f>
        <v>50</v>
      </c>
      <c r="E8" s="92">
        <f>$B$3+B1</f>
        <v>1050</v>
      </c>
    </row>
    <row r="9" spans="1:5" x14ac:dyDescent="0.2">
      <c r="A9" s="85" t="s">
        <v>150</v>
      </c>
      <c r="B9" s="93">
        <f>-B8</f>
        <v>-922.6870903825635</v>
      </c>
      <c r="C9" s="92">
        <f>C8</f>
        <v>50</v>
      </c>
      <c r="D9" s="92">
        <f t="shared" ref="D9:E9" si="1">D8</f>
        <v>50</v>
      </c>
      <c r="E9" s="92">
        <f t="shared" si="1"/>
        <v>1050</v>
      </c>
    </row>
    <row r="10" spans="1:5" x14ac:dyDescent="0.2">
      <c r="A10" s="86" t="s">
        <v>151</v>
      </c>
      <c r="B10" s="95">
        <f>IRR(B9:E9)</f>
        <v>7.9999999999985194E-2</v>
      </c>
      <c r="C10" s="92"/>
      <c r="D10" s="92"/>
      <c r="E10" s="92"/>
    </row>
    <row r="11" spans="1:5" x14ac:dyDescent="0.2">
      <c r="A11" s="85"/>
      <c r="B11" s="93"/>
    </row>
    <row r="12" spans="1:5" x14ac:dyDescent="0.2">
      <c r="A12" s="87" t="s">
        <v>152</v>
      </c>
      <c r="B12" s="96">
        <f>(C8/(1+B5)+2*D8/(1+B5)^D7+3*E8/(1+B5)^E7)/B8</f>
        <v>2.8531901713813754</v>
      </c>
    </row>
  </sheetData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H26"/>
  <sheetViews>
    <sheetView tabSelected="1" zoomScale="210" zoomScaleNormal="210" workbookViewId="0">
      <selection activeCell="D20" sqref="D20"/>
    </sheetView>
  </sheetViews>
  <sheetFormatPr baseColWidth="10" defaultColWidth="9.140625" defaultRowHeight="12.75" x14ac:dyDescent="0.2"/>
  <cols>
    <col min="1" max="1" width="17.42578125" bestFit="1" customWidth="1"/>
    <col min="7" max="7" width="4.42578125" customWidth="1"/>
  </cols>
  <sheetData>
    <row r="1" spans="1:8" x14ac:dyDescent="0.2">
      <c r="A1" s="129" t="s">
        <v>140</v>
      </c>
      <c r="B1" s="142" t="s">
        <v>141</v>
      </c>
      <c r="C1" s="142" t="s">
        <v>142</v>
      </c>
      <c r="D1" s="142" t="s">
        <v>153</v>
      </c>
    </row>
    <row r="2" spans="1:8" x14ac:dyDescent="0.2">
      <c r="A2" t="s">
        <v>143</v>
      </c>
      <c r="B2">
        <v>800</v>
      </c>
      <c r="C2">
        <v>800</v>
      </c>
      <c r="D2">
        <v>800</v>
      </c>
    </row>
    <row r="3" spans="1:8" x14ac:dyDescent="0.2">
      <c r="A3" t="s">
        <v>144</v>
      </c>
      <c r="B3" s="73">
        <v>0.05</v>
      </c>
      <c r="C3" s="73">
        <v>0.09</v>
      </c>
      <c r="D3" s="73">
        <v>7.0000000000000007E-2</v>
      </c>
    </row>
    <row r="4" spans="1:8" x14ac:dyDescent="0.2">
      <c r="B4" s="73"/>
      <c r="C4" s="73"/>
      <c r="D4" s="73"/>
    </row>
    <row r="5" spans="1:8" x14ac:dyDescent="0.2">
      <c r="A5" s="85" t="s">
        <v>188</v>
      </c>
      <c r="B5" s="73">
        <v>0.08</v>
      </c>
      <c r="C5" s="73"/>
      <c r="D5" s="73"/>
    </row>
    <row r="8" spans="1:8" x14ac:dyDescent="0.2">
      <c r="A8" s="246" t="s">
        <v>140</v>
      </c>
      <c r="B8" s="246" t="s">
        <v>147</v>
      </c>
      <c r="C8" s="246" t="s">
        <v>154</v>
      </c>
      <c r="D8" s="246" t="s">
        <v>155</v>
      </c>
      <c r="E8" s="246" t="s">
        <v>156</v>
      </c>
      <c r="F8" s="246" t="s">
        <v>149</v>
      </c>
    </row>
    <row r="9" spans="1:8" x14ac:dyDescent="0.2">
      <c r="A9" s="252" t="s">
        <v>141</v>
      </c>
      <c r="B9" s="249">
        <v>-748.96</v>
      </c>
      <c r="C9" s="249">
        <f>B2*B3</f>
        <v>40</v>
      </c>
      <c r="D9" s="249">
        <f>B2*B3+B2</f>
        <v>840</v>
      </c>
      <c r="E9" s="249"/>
      <c r="F9" s="247">
        <f>IRR(B9:D9)</f>
        <v>8.6075354187087116E-2</v>
      </c>
      <c r="H9" s="237" t="s">
        <v>182</v>
      </c>
    </row>
    <row r="10" spans="1:8" x14ac:dyDescent="0.2">
      <c r="A10" s="252" t="s">
        <v>142</v>
      </c>
      <c r="B10" s="250">
        <f>NPV(F10,C10:E10)</f>
        <v>801.0783412792282</v>
      </c>
      <c r="C10" s="249">
        <f>C2*C3</f>
        <v>72</v>
      </c>
      <c r="D10" s="249">
        <f>C2*C3</f>
        <v>72</v>
      </c>
      <c r="E10" s="249">
        <f>C2*C3+C2</f>
        <v>872</v>
      </c>
      <c r="F10" s="247">
        <v>8.9468000000000006E-2</v>
      </c>
    </row>
    <row r="11" spans="1:8" x14ac:dyDescent="0.2">
      <c r="A11" s="253" t="s">
        <v>153</v>
      </c>
      <c r="B11" s="251">
        <f>NPV(F11,C11:E11)</f>
        <v>777.33985369855861</v>
      </c>
      <c r="C11" s="254">
        <f>D2*D3</f>
        <v>56.000000000000007</v>
      </c>
      <c r="D11" s="254">
        <f>D2*D3+D2</f>
        <v>856</v>
      </c>
      <c r="E11" s="254"/>
      <c r="F11" s="248">
        <v>8.6014999999999994E-2</v>
      </c>
    </row>
    <row r="13" spans="1:8" x14ac:dyDescent="0.2">
      <c r="A13" s="255" t="s">
        <v>189</v>
      </c>
      <c r="B13" s="193">
        <f>-B9-C9/(1+B5)</f>
        <v>711.92296296296297</v>
      </c>
    </row>
    <row r="14" spans="1:8" x14ac:dyDescent="0.2">
      <c r="A14" s="256" t="s">
        <v>190</v>
      </c>
      <c r="B14" s="195">
        <f>D9/(1+B5)</f>
        <v>777.77777777777771</v>
      </c>
    </row>
    <row r="15" spans="1:8" x14ac:dyDescent="0.2">
      <c r="A15" s="257" t="s">
        <v>191</v>
      </c>
      <c r="B15" s="258">
        <f>B14/B13-1</f>
        <v>9.2502726054421114E-2</v>
      </c>
      <c r="D15" s="237" t="s">
        <v>181</v>
      </c>
    </row>
    <row r="17" spans="1:4" x14ac:dyDescent="0.2">
      <c r="A17" s="255" t="s">
        <v>192</v>
      </c>
      <c r="B17" s="193">
        <f>B10-C10/(1+B5)-D10/((1+B5)*(1+B15))</f>
        <v>673.38970635859334</v>
      </c>
    </row>
    <row r="18" spans="1:4" x14ac:dyDescent="0.2">
      <c r="A18" s="256" t="s">
        <v>193</v>
      </c>
      <c r="B18" s="195">
        <f>E10/((1+B5)*(1+B15))</f>
        <v>739.04383774250437</v>
      </c>
    </row>
    <row r="19" spans="1:4" x14ac:dyDescent="0.2">
      <c r="A19" s="257" t="s">
        <v>194</v>
      </c>
      <c r="B19" s="258">
        <f>B18/B17-1</f>
        <v>9.7497972962700574E-2</v>
      </c>
      <c r="D19" s="237" t="s">
        <v>183</v>
      </c>
    </row>
    <row r="21" spans="1:4" x14ac:dyDescent="0.2">
      <c r="A21" s="213" t="s">
        <v>195</v>
      </c>
      <c r="B21" s="259">
        <f>D10/(1+B15)+E10/((1+B15)*(1+B19))</f>
        <v>793.16460858156665</v>
      </c>
    </row>
    <row r="23" spans="1:4" x14ac:dyDescent="0.2">
      <c r="A23" s="111" t="s">
        <v>196</v>
      </c>
      <c r="B23" s="260">
        <f>C10/(1+B5)/B10+2*D10/((1+B5)*(1+B15))/B10+3*E10/((1+B5)*(1+B15)*(1+B19))/B10</f>
        <v>2.7573829030542272</v>
      </c>
    </row>
    <row r="24" spans="1:4" x14ac:dyDescent="0.2">
      <c r="A24" s="112" t="s">
        <v>197</v>
      </c>
      <c r="B24" s="261">
        <f>C10/(1+F10)/B10+2*D10/(1+F10)^2/B10+3*E10/(1+F10)^3/B10</f>
        <v>2.7592810203482867</v>
      </c>
    </row>
    <row r="26" spans="1:4" x14ac:dyDescent="0.2">
      <c r="A26" s="85" t="s">
        <v>198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9"/>
  <sheetViews>
    <sheetView zoomScale="140" zoomScaleNormal="140" workbookViewId="0">
      <selection activeCell="H40" sqref="H40"/>
    </sheetView>
  </sheetViews>
  <sheetFormatPr baseColWidth="10" defaultColWidth="11.42578125" defaultRowHeight="12.75" x14ac:dyDescent="0.2"/>
  <cols>
    <col min="1" max="1" width="24.42578125" bestFit="1" customWidth="1"/>
    <col min="2" max="2" width="12.85546875" bestFit="1" customWidth="1"/>
  </cols>
  <sheetData>
    <row r="1" spans="1:7" x14ac:dyDescent="0.2">
      <c r="A1" s="40" t="s">
        <v>11</v>
      </c>
      <c r="B1" s="14">
        <v>3000000</v>
      </c>
    </row>
    <row r="2" spans="1:7" x14ac:dyDescent="0.2">
      <c r="A2" s="17" t="s">
        <v>12</v>
      </c>
      <c r="B2" s="16">
        <v>750000</v>
      </c>
    </row>
    <row r="3" spans="1:7" x14ac:dyDescent="0.2">
      <c r="A3" s="17" t="s">
        <v>13</v>
      </c>
      <c r="B3" s="16">
        <v>2500000</v>
      </c>
    </row>
    <row r="4" spans="1:7" x14ac:dyDescent="0.2">
      <c r="A4" s="17" t="s">
        <v>14</v>
      </c>
      <c r="B4" s="16">
        <v>4000</v>
      </c>
    </row>
    <row r="5" spans="1:7" x14ac:dyDescent="0.2">
      <c r="A5" s="17" t="s">
        <v>15</v>
      </c>
      <c r="B5" s="16">
        <v>425</v>
      </c>
    </row>
    <row r="6" spans="1:7" x14ac:dyDescent="0.2">
      <c r="A6" s="17" t="s">
        <v>16</v>
      </c>
      <c r="B6" s="16">
        <v>750000</v>
      </c>
    </row>
    <row r="7" spans="1:7" x14ac:dyDescent="0.2">
      <c r="A7" s="17" t="s">
        <v>17</v>
      </c>
      <c r="B7" s="16">
        <v>350000</v>
      </c>
    </row>
    <row r="8" spans="1:7" x14ac:dyDescent="0.2">
      <c r="A8" s="20" t="s">
        <v>0</v>
      </c>
      <c r="B8" s="41">
        <v>0.1</v>
      </c>
    </row>
    <row r="10" spans="1:7" x14ac:dyDescent="0.2">
      <c r="A10" s="35" t="s">
        <v>1</v>
      </c>
      <c r="B10" s="28">
        <v>0</v>
      </c>
      <c r="C10" s="4">
        <v>1</v>
      </c>
      <c r="D10" s="4">
        <v>2</v>
      </c>
      <c r="E10" s="4">
        <v>3</v>
      </c>
      <c r="F10" s="4">
        <v>4</v>
      </c>
      <c r="G10" s="4">
        <v>5</v>
      </c>
    </row>
    <row r="11" spans="1:7" x14ac:dyDescent="0.2">
      <c r="A11" t="s">
        <v>18</v>
      </c>
      <c r="B11" s="34"/>
      <c r="C11" s="34">
        <f>$B$4*$B$5</f>
        <v>1700000</v>
      </c>
      <c r="D11" s="34">
        <f>$B$4*$B$5</f>
        <v>1700000</v>
      </c>
      <c r="E11" s="34">
        <f>$B$4*$B$5</f>
        <v>1700000</v>
      </c>
      <c r="F11" s="34">
        <f>$B$4*$B$5</f>
        <v>1700000</v>
      </c>
      <c r="G11" s="34">
        <f>$B$4*$B$5</f>
        <v>1700000</v>
      </c>
    </row>
    <row r="12" spans="1:7" x14ac:dyDescent="0.2">
      <c r="A12" t="s">
        <v>16</v>
      </c>
      <c r="B12" s="11"/>
      <c r="C12" s="9">
        <f>-$B$6</f>
        <v>-750000</v>
      </c>
      <c r="D12" s="9">
        <f>-$B$6</f>
        <v>-750000</v>
      </c>
      <c r="E12" s="9">
        <f>-$B$6</f>
        <v>-750000</v>
      </c>
      <c r="F12" s="9">
        <f>-$B$6</f>
        <v>-750000</v>
      </c>
      <c r="G12" s="9">
        <f>-$B$6</f>
        <v>-750000</v>
      </c>
    </row>
    <row r="13" spans="1:7" x14ac:dyDescent="0.2">
      <c r="A13" t="s">
        <v>17</v>
      </c>
      <c r="B13" s="11"/>
      <c r="C13" s="9">
        <f>-$B$7</f>
        <v>-350000</v>
      </c>
      <c r="D13" s="9">
        <f>-$B$7</f>
        <v>-350000</v>
      </c>
      <c r="E13" s="9">
        <f>-$B$7</f>
        <v>-350000</v>
      </c>
      <c r="F13" s="9">
        <f>-$B$7</f>
        <v>-350000</v>
      </c>
      <c r="G13" s="9">
        <f>-$B$7</f>
        <v>-350000</v>
      </c>
    </row>
    <row r="14" spans="1:7" x14ac:dyDescent="0.2">
      <c r="A14" s="85" t="s">
        <v>11</v>
      </c>
      <c r="B14" s="9">
        <f>-B1</f>
        <v>-3000000</v>
      </c>
      <c r="C14" s="9"/>
      <c r="D14" s="9"/>
      <c r="E14" s="9"/>
      <c r="F14" s="9"/>
      <c r="G14" s="9">
        <f>B3</f>
        <v>2500000</v>
      </c>
    </row>
    <row r="15" spans="1:7" x14ac:dyDescent="0.2">
      <c r="A15" s="143" t="s">
        <v>12</v>
      </c>
      <c r="B15" s="10">
        <f>-B6</f>
        <v>-750000</v>
      </c>
      <c r="C15" s="10"/>
      <c r="D15" s="10"/>
      <c r="E15" s="10"/>
      <c r="F15" s="10"/>
      <c r="G15" s="10">
        <f>B6</f>
        <v>750000</v>
      </c>
    </row>
    <row r="16" spans="1:7" x14ac:dyDescent="0.2">
      <c r="A16" s="47" t="s">
        <v>19</v>
      </c>
      <c r="B16" s="36">
        <f>SUM(B11:B15)</f>
        <v>-3750000</v>
      </c>
      <c r="C16" s="36">
        <f t="shared" ref="C16:G16" si="0">SUM(C11:C15)</f>
        <v>600000</v>
      </c>
      <c r="D16" s="36">
        <f t="shared" si="0"/>
        <v>600000</v>
      </c>
      <c r="E16" s="36">
        <f t="shared" si="0"/>
        <v>600000</v>
      </c>
      <c r="F16" s="36">
        <f t="shared" si="0"/>
        <v>600000</v>
      </c>
      <c r="G16" s="36">
        <f t="shared" si="0"/>
        <v>3850000</v>
      </c>
    </row>
    <row r="18" spans="1:2" x14ac:dyDescent="0.2">
      <c r="A18" s="154" t="s">
        <v>157</v>
      </c>
      <c r="B18" s="14">
        <f>B16+NPV(B8,C16:G16)</f>
        <v>542466.36158732139</v>
      </c>
    </row>
    <row r="19" spans="1:2" x14ac:dyDescent="0.2">
      <c r="A19" s="155" t="s">
        <v>158</v>
      </c>
      <c r="B19" s="42">
        <f>IRR(B16:G16)</f>
        <v>0.13982173000146747</v>
      </c>
    </row>
  </sheetData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16"/>
  <sheetViews>
    <sheetView zoomScale="150" zoomScaleNormal="150" workbookViewId="0">
      <selection activeCell="F28" sqref="F28"/>
    </sheetView>
  </sheetViews>
  <sheetFormatPr baseColWidth="10" defaultColWidth="11.42578125" defaultRowHeight="12.75" x14ac:dyDescent="0.2"/>
  <cols>
    <col min="1" max="1" width="19.7109375" bestFit="1" customWidth="1"/>
    <col min="2" max="2" width="11.42578125" customWidth="1"/>
    <col min="3" max="12" width="7.5703125" customWidth="1"/>
  </cols>
  <sheetData>
    <row r="1" spans="1:12" x14ac:dyDescent="0.2">
      <c r="A1" s="40" t="s">
        <v>20</v>
      </c>
      <c r="B1" s="14">
        <v>800000</v>
      </c>
    </row>
    <row r="2" spans="1:12" x14ac:dyDescent="0.2">
      <c r="A2" s="17" t="s">
        <v>21</v>
      </c>
      <c r="B2" s="16">
        <v>900000</v>
      </c>
    </row>
    <row r="3" spans="1:12" x14ac:dyDescent="0.2">
      <c r="A3" s="17" t="s">
        <v>22</v>
      </c>
      <c r="B3" s="16">
        <v>4300000</v>
      </c>
    </row>
    <row r="4" spans="1:12" x14ac:dyDescent="0.2">
      <c r="A4" s="17" t="s">
        <v>23</v>
      </c>
      <c r="B4" s="16">
        <v>200000</v>
      </c>
    </row>
    <row r="5" spans="1:12" x14ac:dyDescent="0.2">
      <c r="A5" s="17" t="s">
        <v>0</v>
      </c>
      <c r="B5" s="48">
        <v>0.12</v>
      </c>
    </row>
    <row r="6" spans="1:12" x14ac:dyDescent="0.2">
      <c r="A6" s="20" t="s">
        <v>24</v>
      </c>
      <c r="B6" s="20">
        <v>10</v>
      </c>
    </row>
    <row r="8" spans="1:12" x14ac:dyDescent="0.2">
      <c r="A8" s="35" t="s">
        <v>1</v>
      </c>
      <c r="B8" s="4">
        <v>0</v>
      </c>
      <c r="C8" s="4">
        <v>1</v>
      </c>
      <c r="D8" s="4">
        <v>2</v>
      </c>
      <c r="E8" s="4">
        <v>3</v>
      </c>
      <c r="F8" s="4">
        <v>4</v>
      </c>
      <c r="G8" s="4">
        <v>5</v>
      </c>
      <c r="H8" s="4">
        <v>6</v>
      </c>
      <c r="I8" s="4">
        <v>7</v>
      </c>
      <c r="J8" s="4">
        <v>8</v>
      </c>
      <c r="K8" s="4">
        <v>9</v>
      </c>
      <c r="L8" s="4">
        <v>10</v>
      </c>
    </row>
    <row r="9" spans="1:12" x14ac:dyDescent="0.2">
      <c r="A9" s="43" t="s">
        <v>22</v>
      </c>
      <c r="B9" s="45">
        <f>-$B$3</f>
        <v>-4300000</v>
      </c>
      <c r="C9" s="5"/>
      <c r="D9" s="5"/>
      <c r="E9" s="5"/>
      <c r="F9" s="5"/>
      <c r="G9" s="5"/>
      <c r="H9" s="5"/>
      <c r="I9" s="5"/>
      <c r="J9" s="5"/>
      <c r="K9" s="5"/>
      <c r="L9" s="5"/>
    </row>
    <row r="10" spans="1:12" x14ac:dyDescent="0.2">
      <c r="A10" s="30" t="s">
        <v>25</v>
      </c>
      <c r="B10" s="46">
        <f>$B$2</f>
        <v>900000</v>
      </c>
      <c r="C10" s="6"/>
      <c r="D10" s="6"/>
      <c r="E10" s="6"/>
      <c r="F10" s="6"/>
      <c r="G10" s="6"/>
      <c r="H10" s="6"/>
      <c r="I10" s="6"/>
      <c r="J10" s="6"/>
      <c r="K10" s="6"/>
      <c r="L10" s="6"/>
    </row>
    <row r="11" spans="1:12" x14ac:dyDescent="0.2">
      <c r="A11" s="30" t="s">
        <v>26</v>
      </c>
      <c r="B11" s="46">
        <f>-$B$4</f>
        <v>-200000</v>
      </c>
      <c r="C11" s="6"/>
      <c r="D11" s="6"/>
      <c r="E11" s="6"/>
      <c r="F11" s="6"/>
      <c r="G11" s="6"/>
      <c r="H11" s="6"/>
      <c r="I11" s="6"/>
      <c r="J11" s="6"/>
      <c r="K11" s="6"/>
      <c r="L11" s="6"/>
    </row>
    <row r="12" spans="1:12" x14ac:dyDescent="0.2">
      <c r="A12" s="32" t="s">
        <v>20</v>
      </c>
      <c r="B12" s="12"/>
      <c r="C12" s="10">
        <f>$B$1</f>
        <v>800000</v>
      </c>
      <c r="D12" s="10">
        <f t="shared" ref="D12:L12" si="0">$B$1</f>
        <v>800000</v>
      </c>
      <c r="E12" s="10">
        <f t="shared" si="0"/>
        <v>800000</v>
      </c>
      <c r="F12" s="10">
        <f t="shared" si="0"/>
        <v>800000</v>
      </c>
      <c r="G12" s="10">
        <f t="shared" si="0"/>
        <v>800000</v>
      </c>
      <c r="H12" s="10">
        <f t="shared" si="0"/>
        <v>800000</v>
      </c>
      <c r="I12" s="10">
        <f t="shared" si="0"/>
        <v>800000</v>
      </c>
      <c r="J12" s="10">
        <f t="shared" si="0"/>
        <v>800000</v>
      </c>
      <c r="K12" s="10">
        <f t="shared" si="0"/>
        <v>800000</v>
      </c>
      <c r="L12" s="10">
        <f t="shared" si="0"/>
        <v>800000</v>
      </c>
    </row>
    <row r="13" spans="1:12" x14ac:dyDescent="0.2">
      <c r="A13" s="47" t="s">
        <v>19</v>
      </c>
      <c r="B13" s="36">
        <f>SUM(B9:B12)</f>
        <v>-3600000</v>
      </c>
      <c r="C13" s="36">
        <f t="shared" ref="C13:L13" si="1">SUM(C9:C12)</f>
        <v>800000</v>
      </c>
      <c r="D13" s="36">
        <f t="shared" si="1"/>
        <v>800000</v>
      </c>
      <c r="E13" s="36">
        <f t="shared" si="1"/>
        <v>800000</v>
      </c>
      <c r="F13" s="36">
        <f t="shared" si="1"/>
        <v>800000</v>
      </c>
      <c r="G13" s="36">
        <f t="shared" si="1"/>
        <v>800000</v>
      </c>
      <c r="H13" s="36">
        <f t="shared" si="1"/>
        <v>800000</v>
      </c>
      <c r="I13" s="36">
        <f t="shared" si="1"/>
        <v>800000</v>
      </c>
      <c r="J13" s="36">
        <f t="shared" si="1"/>
        <v>800000</v>
      </c>
      <c r="K13" s="36">
        <f t="shared" si="1"/>
        <v>800000</v>
      </c>
      <c r="L13" s="36">
        <f t="shared" si="1"/>
        <v>800000</v>
      </c>
    </row>
    <row r="15" spans="1:12" x14ac:dyDescent="0.2">
      <c r="A15" s="38" t="s">
        <v>6</v>
      </c>
      <c r="B15" s="14">
        <f>B13+NPV($B$5,C13:L13)</f>
        <v>920178.42272868939</v>
      </c>
    </row>
    <row r="16" spans="1:12" x14ac:dyDescent="0.2">
      <c r="A16" s="39" t="s">
        <v>10</v>
      </c>
      <c r="B16" s="42">
        <f>IRR(B13:L13)</f>
        <v>0.17963013847578102</v>
      </c>
    </row>
  </sheetData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3"/>
  <sheetViews>
    <sheetView zoomScale="140" zoomScaleNormal="140" workbookViewId="0">
      <selection activeCell="H19" sqref="H19"/>
    </sheetView>
  </sheetViews>
  <sheetFormatPr baseColWidth="10" defaultColWidth="11.42578125" defaultRowHeight="12.75" x14ac:dyDescent="0.2"/>
  <cols>
    <col min="1" max="1" width="23.28515625" bestFit="1" customWidth="1"/>
  </cols>
  <sheetData>
    <row r="1" spans="1:8" x14ac:dyDescent="0.2">
      <c r="A1" s="40" t="s">
        <v>27</v>
      </c>
      <c r="B1" s="14">
        <v>1750000</v>
      </c>
    </row>
    <row r="2" spans="1:8" x14ac:dyDescent="0.2">
      <c r="A2" s="17" t="s">
        <v>28</v>
      </c>
      <c r="B2" s="16">
        <v>950000</v>
      </c>
    </row>
    <row r="3" spans="1:8" x14ac:dyDescent="0.2">
      <c r="A3" s="17" t="s">
        <v>29</v>
      </c>
      <c r="B3" s="16">
        <v>205000</v>
      </c>
    </row>
    <row r="4" spans="1:8" x14ac:dyDescent="0.2">
      <c r="A4" s="20" t="s">
        <v>0</v>
      </c>
      <c r="B4" s="49">
        <v>0.1</v>
      </c>
    </row>
    <row r="6" spans="1:8" x14ac:dyDescent="0.2">
      <c r="A6" s="27" t="s">
        <v>1</v>
      </c>
      <c r="B6" s="28">
        <v>0</v>
      </c>
      <c r="C6" s="4">
        <v>1</v>
      </c>
      <c r="D6" s="4">
        <v>2</v>
      </c>
      <c r="E6" s="44">
        <v>3</v>
      </c>
      <c r="F6" s="4">
        <v>4</v>
      </c>
      <c r="G6" s="4">
        <v>5</v>
      </c>
      <c r="H6" s="4">
        <v>6</v>
      </c>
    </row>
    <row r="7" spans="1:8" x14ac:dyDescent="0.2">
      <c r="A7" s="37" t="s">
        <v>30</v>
      </c>
      <c r="B7" s="8">
        <f>-$B$1</f>
        <v>-1750000</v>
      </c>
      <c r="C7" s="37"/>
      <c r="D7" s="37"/>
      <c r="E7" s="37"/>
      <c r="F7" s="37"/>
      <c r="G7" s="37"/>
      <c r="H7" s="37"/>
    </row>
    <row r="8" spans="1:8" x14ac:dyDescent="0.2">
      <c r="A8" s="11" t="s">
        <v>31</v>
      </c>
      <c r="B8" s="11"/>
      <c r="C8" s="9">
        <f t="shared" ref="C8:H8" si="0">$B$3</f>
        <v>205000</v>
      </c>
      <c r="D8" s="9">
        <f t="shared" si="0"/>
        <v>205000</v>
      </c>
      <c r="E8" s="9">
        <f t="shared" si="0"/>
        <v>205000</v>
      </c>
      <c r="F8" s="9">
        <f t="shared" si="0"/>
        <v>205000</v>
      </c>
      <c r="G8" s="9">
        <f t="shared" si="0"/>
        <v>205000</v>
      </c>
      <c r="H8" s="9">
        <f t="shared" si="0"/>
        <v>205000</v>
      </c>
    </row>
    <row r="9" spans="1:8" x14ac:dyDescent="0.2">
      <c r="A9" s="12" t="s">
        <v>32</v>
      </c>
      <c r="B9" s="12"/>
      <c r="C9" s="12"/>
      <c r="D9" s="12"/>
      <c r="E9" s="12"/>
      <c r="F9" s="12"/>
      <c r="G9" s="12"/>
      <c r="H9" s="10">
        <f>$B$2</f>
        <v>950000</v>
      </c>
    </row>
    <row r="10" spans="1:8" x14ac:dyDescent="0.2">
      <c r="A10" s="23" t="s">
        <v>19</v>
      </c>
      <c r="B10" s="36">
        <f>SUM(B7:B9)</f>
        <v>-1750000</v>
      </c>
      <c r="C10" s="36">
        <f t="shared" ref="C10:H10" si="1">SUM(C7:C9)</f>
        <v>205000</v>
      </c>
      <c r="D10" s="36">
        <f t="shared" si="1"/>
        <v>205000</v>
      </c>
      <c r="E10" s="36">
        <f t="shared" si="1"/>
        <v>205000</v>
      </c>
      <c r="F10" s="36">
        <f t="shared" si="1"/>
        <v>205000</v>
      </c>
      <c r="G10" s="36">
        <f t="shared" si="1"/>
        <v>205000</v>
      </c>
      <c r="H10" s="36">
        <f t="shared" si="1"/>
        <v>1155000</v>
      </c>
    </row>
    <row r="12" spans="1:8" x14ac:dyDescent="0.2">
      <c r="A12" s="38" t="s">
        <v>6</v>
      </c>
      <c r="B12" s="14">
        <f>B10+NPV(B4,C10:H10)</f>
        <v>-320921.32305915561</v>
      </c>
    </row>
    <row r="13" spans="1:8" x14ac:dyDescent="0.2">
      <c r="A13" s="39" t="s">
        <v>10</v>
      </c>
      <c r="B13" s="42">
        <f>IRR(B10:H10)</f>
        <v>4.9921614328810593E-2</v>
      </c>
    </row>
  </sheetData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21"/>
  <sheetViews>
    <sheetView zoomScale="140" zoomScaleNormal="140" workbookViewId="0">
      <selection activeCell="A12" sqref="A12:G21"/>
    </sheetView>
  </sheetViews>
  <sheetFormatPr baseColWidth="10" defaultColWidth="11.42578125" defaultRowHeight="12.75" x14ac:dyDescent="0.2"/>
  <cols>
    <col min="1" max="1" width="27.28515625" customWidth="1"/>
    <col min="2" max="2" width="13.7109375" bestFit="1" customWidth="1"/>
    <col min="3" max="3" width="13.85546875" bestFit="1" customWidth="1"/>
    <col min="4" max="6" width="12.5703125" bestFit="1" customWidth="1"/>
    <col min="7" max="7" width="12" bestFit="1" customWidth="1"/>
  </cols>
  <sheetData>
    <row r="1" spans="1:7" x14ac:dyDescent="0.2">
      <c r="A1" s="40" t="s">
        <v>33</v>
      </c>
      <c r="B1" s="40">
        <v>14</v>
      </c>
    </row>
    <row r="2" spans="1:7" x14ac:dyDescent="0.2">
      <c r="A2" s="17" t="s">
        <v>34</v>
      </c>
      <c r="B2" s="17">
        <v>10</v>
      </c>
    </row>
    <row r="3" spans="1:7" x14ac:dyDescent="0.2">
      <c r="A3" s="17" t="s">
        <v>35</v>
      </c>
      <c r="B3" s="16">
        <v>4500000</v>
      </c>
    </row>
    <row r="4" spans="1:7" x14ac:dyDescent="0.2">
      <c r="A4" s="17" t="s">
        <v>36</v>
      </c>
      <c r="B4" s="16">
        <v>3800000</v>
      </c>
    </row>
    <row r="5" spans="1:7" x14ac:dyDescent="0.2">
      <c r="A5" s="17" t="s">
        <v>37</v>
      </c>
      <c r="B5" s="17">
        <v>60</v>
      </c>
    </row>
    <row r="6" spans="1:7" x14ac:dyDescent="0.2">
      <c r="A6" s="17" t="s">
        <v>38</v>
      </c>
      <c r="B6" s="17">
        <v>40</v>
      </c>
    </row>
    <row r="7" spans="1:7" x14ac:dyDescent="0.2">
      <c r="A7" s="17" t="s">
        <v>35</v>
      </c>
      <c r="B7" s="16">
        <v>2750000</v>
      </c>
    </row>
    <row r="8" spans="1:7" x14ac:dyDescent="0.2">
      <c r="A8" s="17" t="s">
        <v>39</v>
      </c>
      <c r="B8" s="16">
        <v>1800000</v>
      </c>
    </row>
    <row r="9" spans="1:7" x14ac:dyDescent="0.2">
      <c r="A9" s="17" t="s">
        <v>40</v>
      </c>
      <c r="B9" s="16">
        <v>60000000</v>
      </c>
    </row>
    <row r="10" spans="1:7" x14ac:dyDescent="0.2">
      <c r="A10" s="156" t="s">
        <v>56</v>
      </c>
      <c r="B10" s="49">
        <v>0.1</v>
      </c>
    </row>
    <row r="12" spans="1:7" x14ac:dyDescent="0.2">
      <c r="A12" s="157" t="s">
        <v>1</v>
      </c>
      <c r="B12" s="158" t="s">
        <v>159</v>
      </c>
      <c r="C12" s="159" t="s">
        <v>160</v>
      </c>
      <c r="D12" s="159" t="s">
        <v>161</v>
      </c>
      <c r="E12" s="159" t="s">
        <v>162</v>
      </c>
      <c r="F12" s="159" t="s">
        <v>163</v>
      </c>
      <c r="G12" s="159" t="s">
        <v>164</v>
      </c>
    </row>
    <row r="13" spans="1:7" x14ac:dyDescent="0.2">
      <c r="A13" s="37" t="s">
        <v>40</v>
      </c>
      <c r="B13" s="52">
        <f>-$B$9/2</f>
        <v>-30000000</v>
      </c>
      <c r="C13" s="37"/>
      <c r="D13" s="52">
        <f>-$B$9/2</f>
        <v>-30000000</v>
      </c>
      <c r="E13" s="37"/>
      <c r="F13" s="37"/>
      <c r="G13" s="37"/>
    </row>
    <row r="14" spans="1:7" x14ac:dyDescent="0.2">
      <c r="A14" s="11" t="s">
        <v>36</v>
      </c>
      <c r="B14" s="11"/>
      <c r="C14" s="34">
        <f>-$B$1*$B$4/2</f>
        <v>-26600000</v>
      </c>
      <c r="D14" s="34">
        <f>-$B$1*$B$4/2</f>
        <v>-26600000</v>
      </c>
      <c r="E14" s="34">
        <f>-$B$2*$B$4/2</f>
        <v>-19000000</v>
      </c>
      <c r="F14" s="34">
        <f>-$B$2*$B$4/2</f>
        <v>-19000000</v>
      </c>
      <c r="G14" s="11"/>
    </row>
    <row r="15" spans="1:7" x14ac:dyDescent="0.2">
      <c r="A15" s="11" t="s">
        <v>39</v>
      </c>
      <c r="B15" s="11"/>
      <c r="C15" s="34">
        <f>-$B$5*$B$8/2</f>
        <v>-54000000</v>
      </c>
      <c r="D15" s="34">
        <f>-$B$5*$B$8/2</f>
        <v>-54000000</v>
      </c>
      <c r="E15" s="34">
        <f>-$B$6*$B$8/2</f>
        <v>-36000000</v>
      </c>
      <c r="F15" s="34">
        <f>-$B$6*$B$8/2</f>
        <v>-36000000</v>
      </c>
      <c r="G15" s="11"/>
    </row>
    <row r="16" spans="1:7" x14ac:dyDescent="0.2">
      <c r="A16" s="11" t="s">
        <v>41</v>
      </c>
      <c r="B16" s="11"/>
      <c r="C16" s="34"/>
      <c r="D16" s="34">
        <f>($B$1+$B$2)*$B$3/4</f>
        <v>27000000</v>
      </c>
      <c r="E16" s="34">
        <f>($B$1+$B$2)*$B$3/4</f>
        <v>27000000</v>
      </c>
      <c r="F16" s="34">
        <f>($B$1+$B$2)*$B$3/4</f>
        <v>27000000</v>
      </c>
      <c r="G16" s="34">
        <f>($B$1+$B$2)*$B$3/4</f>
        <v>27000000</v>
      </c>
    </row>
    <row r="17" spans="1:7" x14ac:dyDescent="0.2">
      <c r="A17" s="12" t="s">
        <v>42</v>
      </c>
      <c r="B17" s="12"/>
      <c r="C17" s="12"/>
      <c r="D17" s="51">
        <f>($B$5+$B$6)*$B$7/4</f>
        <v>68750000</v>
      </c>
      <c r="E17" s="51">
        <f>($B$5+$B$6)*$B$7/4</f>
        <v>68750000</v>
      </c>
      <c r="F17" s="51">
        <f>($B$5+$B$6)*$B$7/4</f>
        <v>68750000</v>
      </c>
      <c r="G17" s="51">
        <f>($B$5+$B$6)*$B$7/4</f>
        <v>68750000</v>
      </c>
    </row>
    <row r="18" spans="1:7" x14ac:dyDescent="0.2">
      <c r="A18" s="23" t="s">
        <v>19</v>
      </c>
      <c r="B18" s="53">
        <f t="shared" ref="B18:G18" si="0">SUM(B13:B17)</f>
        <v>-30000000</v>
      </c>
      <c r="C18" s="53">
        <f t="shared" si="0"/>
        <v>-80600000</v>
      </c>
      <c r="D18" s="53">
        <f t="shared" si="0"/>
        <v>-14850000</v>
      </c>
      <c r="E18" s="53">
        <f t="shared" si="0"/>
        <v>40750000</v>
      </c>
      <c r="F18" s="53">
        <f t="shared" si="0"/>
        <v>40750000</v>
      </c>
      <c r="G18" s="53">
        <f t="shared" si="0"/>
        <v>95750000</v>
      </c>
    </row>
    <row r="20" spans="1:7" x14ac:dyDescent="0.2">
      <c r="A20" s="38" t="s">
        <v>6</v>
      </c>
      <c r="B20" s="54">
        <f>B18+NPV($B$10,C18:G18)</f>
        <v>2356638.580325447</v>
      </c>
    </row>
    <row r="21" spans="1:7" x14ac:dyDescent="0.2">
      <c r="A21" s="155" t="s">
        <v>10</v>
      </c>
      <c r="B21" s="42">
        <f>IRR(B18:G18)</f>
        <v>0.10655761150519005</v>
      </c>
    </row>
  </sheetData>
  <pageMargins left="0.75" right="0.75" top="1" bottom="1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6"/>
  <sheetViews>
    <sheetView zoomScale="150" zoomScaleNormal="150" workbookViewId="0">
      <selection activeCell="F19" sqref="F19"/>
    </sheetView>
  </sheetViews>
  <sheetFormatPr baseColWidth="10" defaultColWidth="11.42578125" defaultRowHeight="12.75" x14ac:dyDescent="0.2"/>
  <cols>
    <col min="1" max="1" width="14.28515625" bestFit="1" customWidth="1"/>
  </cols>
  <sheetData>
    <row r="1" spans="1:8" x14ac:dyDescent="0.2">
      <c r="A1" s="160" t="s">
        <v>1</v>
      </c>
      <c r="B1" s="161">
        <v>0</v>
      </c>
      <c r="C1" s="161">
        <v>1</v>
      </c>
      <c r="D1" s="161">
        <v>2</v>
      </c>
      <c r="E1" s="161">
        <v>3</v>
      </c>
      <c r="F1" s="162" t="s">
        <v>6</v>
      </c>
      <c r="G1" s="163" t="s">
        <v>10</v>
      </c>
    </row>
    <row r="2" spans="1:8" x14ac:dyDescent="0.2">
      <c r="A2" s="43" t="s">
        <v>43</v>
      </c>
      <c r="B2" s="8">
        <v>-620000</v>
      </c>
      <c r="C2" s="8">
        <v>150000</v>
      </c>
      <c r="D2" s="8">
        <v>250000</v>
      </c>
      <c r="E2" s="59">
        <v>370000</v>
      </c>
      <c r="F2" s="57">
        <f>B2+NPV($B$6,C2:E2)</f>
        <v>69234.423928301432</v>
      </c>
      <c r="G2" s="61">
        <f>IRR(B2:E2)</f>
        <v>0.1007655265218188</v>
      </c>
      <c r="H2" s="238" t="s">
        <v>181</v>
      </c>
    </row>
    <row r="3" spans="1:8" x14ac:dyDescent="0.2">
      <c r="A3" s="32" t="s">
        <v>44</v>
      </c>
      <c r="B3" s="10">
        <v>-280000</v>
      </c>
      <c r="C3" s="10">
        <v>150000</v>
      </c>
      <c r="D3" s="10">
        <v>100000</v>
      </c>
      <c r="E3" s="60">
        <v>100000</v>
      </c>
      <c r="F3" s="58">
        <f>B3+NPV($B$6,C3:E3)</f>
        <v>39943.850556095422</v>
      </c>
      <c r="G3" s="62">
        <f>IRR(B3:E3)</f>
        <v>0.13082591222663509</v>
      </c>
      <c r="H3" s="239" t="s">
        <v>181</v>
      </c>
    </row>
    <row r="4" spans="1:8" x14ac:dyDescent="0.2">
      <c r="A4" s="55" t="s">
        <v>45</v>
      </c>
      <c r="B4" s="22">
        <f>B2-B3</f>
        <v>-340000</v>
      </c>
      <c r="C4" s="22">
        <f>C2-C3</f>
        <v>0</v>
      </c>
      <c r="D4" s="22">
        <f>D2-D3</f>
        <v>150000</v>
      </c>
      <c r="E4" s="22">
        <f>E2-E3</f>
        <v>270000</v>
      </c>
      <c r="F4" s="36">
        <f>F2-F3</f>
        <v>29290.57337220601</v>
      </c>
      <c r="G4" s="56">
        <f>IRR(B4:E4)</f>
        <v>8.3543305815493518E-2</v>
      </c>
      <c r="H4" s="240" t="s">
        <v>182</v>
      </c>
    </row>
    <row r="6" spans="1:8" x14ac:dyDescent="0.2">
      <c r="A6" s="127" t="s">
        <v>56</v>
      </c>
      <c r="B6" s="2">
        <v>0.05</v>
      </c>
    </row>
  </sheetData>
  <pageMargins left="0.75" right="0.75" top="1" bottom="1" header="0.5" footer="0.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18"/>
  <sheetViews>
    <sheetView zoomScale="120" zoomScaleNormal="120" workbookViewId="0">
      <selection activeCell="F24" sqref="F24"/>
    </sheetView>
  </sheetViews>
  <sheetFormatPr baseColWidth="10" defaultColWidth="11.42578125" defaultRowHeight="12.75" x14ac:dyDescent="0.2"/>
  <cols>
    <col min="1" max="1" width="19.7109375" bestFit="1" customWidth="1"/>
    <col min="2" max="2" width="12.85546875" bestFit="1" customWidth="1"/>
    <col min="3" max="3" width="10.28515625" customWidth="1"/>
    <col min="4" max="4" width="5.7109375" customWidth="1"/>
    <col min="5" max="5" width="12" bestFit="1" customWidth="1"/>
    <col min="6" max="7" width="13.7109375" bestFit="1" customWidth="1"/>
  </cols>
  <sheetData>
    <row r="1" spans="1:8" x14ac:dyDescent="0.2">
      <c r="B1" s="4" t="s">
        <v>46</v>
      </c>
      <c r="C1" s="4" t="s">
        <v>47</v>
      </c>
      <c r="E1" s="176" t="s">
        <v>167</v>
      </c>
      <c r="F1" s="176" t="s">
        <v>141</v>
      </c>
      <c r="G1" s="176" t="s">
        <v>142</v>
      </c>
      <c r="H1" s="176" t="s">
        <v>169</v>
      </c>
    </row>
    <row r="2" spans="1:8" x14ac:dyDescent="0.2">
      <c r="A2" s="37" t="s">
        <v>48</v>
      </c>
      <c r="B2" s="166">
        <v>1050000</v>
      </c>
      <c r="C2" s="166">
        <v>1270000</v>
      </c>
      <c r="E2" s="6">
        <v>0</v>
      </c>
      <c r="F2" s="34">
        <f>-B12</f>
        <v>-1800000</v>
      </c>
      <c r="G2" s="34">
        <f>-C12</f>
        <v>-2160000</v>
      </c>
      <c r="H2" s="11"/>
    </row>
    <row r="3" spans="1:8" x14ac:dyDescent="0.2">
      <c r="A3" s="12" t="s">
        <v>49</v>
      </c>
      <c r="B3" s="167">
        <v>-600000</v>
      </c>
      <c r="C3" s="167">
        <v>-750000</v>
      </c>
      <c r="E3" s="6">
        <v>1</v>
      </c>
      <c r="F3" s="34">
        <f>$B$4</f>
        <v>450000</v>
      </c>
      <c r="G3" s="34">
        <f>$C$4</f>
        <v>520000</v>
      </c>
      <c r="H3" s="9">
        <v>190000</v>
      </c>
    </row>
    <row r="4" spans="1:8" x14ac:dyDescent="0.2">
      <c r="A4" s="156" t="s">
        <v>173</v>
      </c>
      <c r="B4" s="168">
        <f>SUM(B2:B3)</f>
        <v>450000</v>
      </c>
      <c r="C4" s="168">
        <f>SUM(C2:C3)</f>
        <v>520000</v>
      </c>
      <c r="E4" s="6">
        <v>2</v>
      </c>
      <c r="F4" s="34">
        <f t="shared" ref="F4:F16" si="0">$B$4</f>
        <v>450000</v>
      </c>
      <c r="G4" s="34">
        <f t="shared" ref="G4:G16" si="1">$C$4</f>
        <v>520000</v>
      </c>
      <c r="H4" s="9">
        <v>190000</v>
      </c>
    </row>
    <row r="5" spans="1:8" x14ac:dyDescent="0.2">
      <c r="B5" s="169"/>
      <c r="C5" s="169"/>
      <c r="E5" s="6">
        <v>3</v>
      </c>
      <c r="F5" s="34">
        <f t="shared" si="0"/>
        <v>450000</v>
      </c>
      <c r="G5" s="34">
        <f t="shared" si="1"/>
        <v>520000</v>
      </c>
      <c r="H5" s="9">
        <v>190000</v>
      </c>
    </row>
    <row r="6" spans="1:8" x14ac:dyDescent="0.2">
      <c r="A6" s="164" t="s">
        <v>165</v>
      </c>
      <c r="B6" s="170">
        <v>-40000</v>
      </c>
      <c r="C6" s="170">
        <v>-300000</v>
      </c>
      <c r="E6" s="6">
        <v>4</v>
      </c>
      <c r="F6" s="34">
        <f t="shared" si="0"/>
        <v>450000</v>
      </c>
      <c r="G6" s="34">
        <f t="shared" si="1"/>
        <v>520000</v>
      </c>
      <c r="H6" s="9">
        <v>190000</v>
      </c>
    </row>
    <row r="7" spans="1:8" x14ac:dyDescent="0.2">
      <c r="E7" s="6">
        <v>5</v>
      </c>
      <c r="F7" s="34">
        <f t="shared" si="0"/>
        <v>450000</v>
      </c>
      <c r="G7" s="34">
        <f t="shared" si="1"/>
        <v>520000</v>
      </c>
      <c r="H7" s="9">
        <v>190000</v>
      </c>
    </row>
    <row r="8" spans="1:8" x14ac:dyDescent="0.2">
      <c r="A8" s="171" t="s">
        <v>50</v>
      </c>
      <c r="B8" s="172">
        <f>B4+B6</f>
        <v>410000</v>
      </c>
      <c r="C8" s="172">
        <f>C4+C6</f>
        <v>220000</v>
      </c>
      <c r="E8" s="6">
        <v>6</v>
      </c>
      <c r="F8" s="34">
        <f t="shared" si="0"/>
        <v>450000</v>
      </c>
      <c r="G8" s="34">
        <f t="shared" si="1"/>
        <v>520000</v>
      </c>
      <c r="H8" s="9">
        <v>190000</v>
      </c>
    </row>
    <row r="9" spans="1:8" x14ac:dyDescent="0.2">
      <c r="E9" s="6">
        <v>7</v>
      </c>
      <c r="F9" s="34">
        <f t="shared" si="0"/>
        <v>450000</v>
      </c>
      <c r="G9" s="34">
        <f t="shared" si="1"/>
        <v>520000</v>
      </c>
      <c r="H9" s="9">
        <v>190000</v>
      </c>
    </row>
    <row r="10" spans="1:8" x14ac:dyDescent="0.2">
      <c r="A10" s="173" t="s">
        <v>166</v>
      </c>
      <c r="B10" s="8">
        <v>1440000</v>
      </c>
      <c r="C10" s="8">
        <v>1620000</v>
      </c>
      <c r="E10" s="6">
        <v>8</v>
      </c>
      <c r="F10" s="34">
        <f t="shared" si="0"/>
        <v>450000</v>
      </c>
      <c r="G10" s="34">
        <f t="shared" si="1"/>
        <v>520000</v>
      </c>
      <c r="H10" s="9">
        <v>190000</v>
      </c>
    </row>
    <row r="11" spans="1:8" x14ac:dyDescent="0.2">
      <c r="A11" s="153" t="s">
        <v>105</v>
      </c>
      <c r="B11" s="10">
        <v>360000</v>
      </c>
      <c r="C11" s="10">
        <v>540000</v>
      </c>
      <c r="E11" s="6">
        <v>9</v>
      </c>
      <c r="F11" s="34">
        <f t="shared" si="0"/>
        <v>450000</v>
      </c>
      <c r="G11" s="34">
        <f t="shared" si="1"/>
        <v>520000</v>
      </c>
      <c r="H11" s="9">
        <v>190000</v>
      </c>
    </row>
    <row r="12" spans="1:8" x14ac:dyDescent="0.2">
      <c r="A12" s="164" t="s">
        <v>51</v>
      </c>
      <c r="B12" s="174">
        <f>SUM(B10:B11)</f>
        <v>1800000</v>
      </c>
      <c r="C12" s="174">
        <f>SUM(C10:C11)</f>
        <v>2160000</v>
      </c>
      <c r="E12" s="6">
        <v>10</v>
      </c>
      <c r="F12" s="34">
        <f t="shared" si="0"/>
        <v>450000</v>
      </c>
      <c r="G12" s="34">
        <f t="shared" si="1"/>
        <v>520000</v>
      </c>
      <c r="H12" s="9">
        <v>190000</v>
      </c>
    </row>
    <row r="13" spans="1:8" x14ac:dyDescent="0.2">
      <c r="E13" s="6">
        <v>11</v>
      </c>
      <c r="F13" s="34">
        <f t="shared" si="0"/>
        <v>450000</v>
      </c>
      <c r="G13" s="34">
        <f t="shared" si="1"/>
        <v>520000</v>
      </c>
      <c r="H13" s="9">
        <v>190000</v>
      </c>
    </row>
    <row r="14" spans="1:8" x14ac:dyDescent="0.2">
      <c r="A14" s="164" t="s">
        <v>56</v>
      </c>
      <c r="B14" s="175">
        <v>0.12</v>
      </c>
      <c r="C14" s="175">
        <f>B14</f>
        <v>0.12</v>
      </c>
      <c r="E14" s="6">
        <v>12</v>
      </c>
      <c r="F14" s="34">
        <f t="shared" si="0"/>
        <v>450000</v>
      </c>
      <c r="G14" s="34">
        <f t="shared" si="1"/>
        <v>520000</v>
      </c>
      <c r="H14" s="9">
        <v>190000</v>
      </c>
    </row>
    <row r="15" spans="1:8" x14ac:dyDescent="0.2">
      <c r="E15" s="6">
        <v>13</v>
      </c>
      <c r="F15" s="34">
        <f t="shared" si="0"/>
        <v>450000</v>
      </c>
      <c r="G15" s="34">
        <f t="shared" si="1"/>
        <v>520000</v>
      </c>
      <c r="H15" s="9">
        <v>190000</v>
      </c>
    </row>
    <row r="16" spans="1:8" x14ac:dyDescent="0.2">
      <c r="E16" s="6">
        <v>14</v>
      </c>
      <c r="F16" s="34">
        <f t="shared" si="0"/>
        <v>450000</v>
      </c>
      <c r="G16" s="34">
        <f t="shared" si="1"/>
        <v>520000</v>
      </c>
      <c r="H16" s="9">
        <v>190000</v>
      </c>
    </row>
    <row r="17" spans="5:8" x14ac:dyDescent="0.2">
      <c r="E17" s="7">
        <v>15</v>
      </c>
      <c r="F17" s="51">
        <f>B8</f>
        <v>410000</v>
      </c>
      <c r="G17" s="51">
        <f>C8</f>
        <v>220000</v>
      </c>
      <c r="H17" s="9">
        <v>190000</v>
      </c>
    </row>
    <row r="18" spans="5:8" x14ac:dyDescent="0.2">
      <c r="E18" s="164" t="s">
        <v>168</v>
      </c>
      <c r="F18" s="178">
        <f>NPV($B$14,F3:F17)+F2</f>
        <v>1257581.1698086825</v>
      </c>
      <c r="G18" s="178">
        <f>NPV($B$14,G3:G17)+G2</f>
        <v>1326840.6561425407</v>
      </c>
      <c r="H18" s="178">
        <f>NPV($B$14,H3:H17)+H2</f>
        <v>1294064.25299835</v>
      </c>
    </row>
  </sheetData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43"/>
  <sheetViews>
    <sheetView topLeftCell="A13" zoomScale="189" zoomScaleNormal="189" workbookViewId="0">
      <selection activeCell="A40" sqref="A40"/>
    </sheetView>
  </sheetViews>
  <sheetFormatPr baseColWidth="10" defaultColWidth="9.140625" defaultRowHeight="12.75" x14ac:dyDescent="0.2"/>
  <cols>
    <col min="1" max="1" width="26.85546875" bestFit="1" customWidth="1"/>
    <col min="2" max="6" width="9.7109375" bestFit="1" customWidth="1"/>
  </cols>
  <sheetData>
    <row r="1" spans="1:6" x14ac:dyDescent="0.2">
      <c r="A1" s="102" t="s">
        <v>52</v>
      </c>
      <c r="B1" s="97">
        <v>4500000</v>
      </c>
    </row>
    <row r="2" spans="1:6" x14ac:dyDescent="0.2">
      <c r="A2" s="103" t="s">
        <v>13</v>
      </c>
      <c r="B2" s="98">
        <v>0.8</v>
      </c>
    </row>
    <row r="3" spans="1:6" x14ac:dyDescent="0.2">
      <c r="A3" s="103" t="s">
        <v>53</v>
      </c>
      <c r="B3" s="99">
        <v>2500000</v>
      </c>
    </row>
    <row r="4" spans="1:6" x14ac:dyDescent="0.2">
      <c r="A4" s="103" t="s">
        <v>54</v>
      </c>
      <c r="B4" s="98">
        <v>0.5</v>
      </c>
    </row>
    <row r="5" spans="1:6" x14ac:dyDescent="0.2">
      <c r="A5" s="149" t="s">
        <v>99</v>
      </c>
      <c r="B5" s="99">
        <v>250000</v>
      </c>
    </row>
    <row r="6" spans="1:6" x14ac:dyDescent="0.2">
      <c r="A6" s="103"/>
      <c r="B6" s="100"/>
    </row>
    <row r="7" spans="1:6" x14ac:dyDescent="0.2">
      <c r="A7" s="103" t="s">
        <v>55</v>
      </c>
      <c r="B7" s="99">
        <v>8000000</v>
      </c>
    </row>
    <row r="8" spans="1:6" x14ac:dyDescent="0.2">
      <c r="A8" s="103" t="s">
        <v>13</v>
      </c>
      <c r="B8" s="98">
        <v>0.75</v>
      </c>
    </row>
    <row r="9" spans="1:6" x14ac:dyDescent="0.2">
      <c r="A9" s="103" t="s">
        <v>53</v>
      </c>
      <c r="B9" s="99">
        <v>3750000</v>
      </c>
    </row>
    <row r="10" spans="1:6" x14ac:dyDescent="0.2">
      <c r="A10" s="103" t="s">
        <v>54</v>
      </c>
      <c r="B10" s="98">
        <f>1500000/B9</f>
        <v>0.4</v>
      </c>
    </row>
    <row r="11" spans="1:6" x14ac:dyDescent="0.2">
      <c r="A11" s="149" t="s">
        <v>99</v>
      </c>
      <c r="B11" s="99">
        <v>500000</v>
      </c>
    </row>
    <row r="12" spans="1:6" x14ac:dyDescent="0.2">
      <c r="A12" s="103"/>
      <c r="B12" s="100"/>
    </row>
    <row r="13" spans="1:6" x14ac:dyDescent="0.2">
      <c r="A13" s="104" t="s">
        <v>56</v>
      </c>
      <c r="B13" s="101">
        <v>0.15</v>
      </c>
    </row>
    <row r="15" spans="1:6" x14ac:dyDescent="0.2">
      <c r="A15" s="63" t="s">
        <v>1</v>
      </c>
      <c r="B15" s="179">
        <v>0</v>
      </c>
      <c r="C15" s="179">
        <v>1</v>
      </c>
      <c r="D15" s="179">
        <v>2</v>
      </c>
      <c r="E15" s="179">
        <v>3</v>
      </c>
      <c r="F15" s="179">
        <v>4</v>
      </c>
    </row>
    <row r="16" spans="1:6" x14ac:dyDescent="0.2">
      <c r="A16" s="9" t="str">
        <f>A1</f>
        <v>Havblikk</v>
      </c>
      <c r="B16" s="9">
        <f>-B1</f>
        <v>-4500000</v>
      </c>
      <c r="C16" s="9"/>
      <c r="D16" s="9"/>
      <c r="E16" s="9"/>
      <c r="F16" s="9">
        <f>B1*B2</f>
        <v>3600000</v>
      </c>
    </row>
    <row r="17" spans="1:6" x14ac:dyDescent="0.2">
      <c r="A17" s="9" t="s">
        <v>53</v>
      </c>
      <c r="B17" s="9"/>
      <c r="C17" s="9">
        <f>$B$3</f>
        <v>2500000</v>
      </c>
      <c r="D17" s="9">
        <f>$B$3</f>
        <v>2500000</v>
      </c>
      <c r="E17" s="9">
        <f>$B$3</f>
        <v>2500000</v>
      </c>
      <c r="F17" s="9">
        <f>$B$3</f>
        <v>2500000</v>
      </c>
    </row>
    <row r="18" spans="1:6" x14ac:dyDescent="0.2">
      <c r="A18" s="9" t="s">
        <v>54</v>
      </c>
      <c r="B18" s="9"/>
      <c r="C18" s="9">
        <f>-$B$4*C17</f>
        <v>-1250000</v>
      </c>
      <c r="D18" s="9">
        <f>-$B$4*D17</f>
        <v>-1250000</v>
      </c>
      <c r="E18" s="9">
        <f>-$B$4*E17</f>
        <v>-1250000</v>
      </c>
      <c r="F18" s="9">
        <f>-$B$4*F17</f>
        <v>-1250000</v>
      </c>
    </row>
    <row r="19" spans="1:6" x14ac:dyDescent="0.2">
      <c r="A19" s="10" t="s">
        <v>57</v>
      </c>
      <c r="B19" s="10"/>
      <c r="C19" s="10">
        <f>-$B$5</f>
        <v>-250000</v>
      </c>
      <c r="D19" s="10">
        <f>-$B$5</f>
        <v>-250000</v>
      </c>
      <c r="E19" s="10">
        <f>-$B$5</f>
        <v>-250000</v>
      </c>
      <c r="F19" s="10">
        <f>-$B$5</f>
        <v>-250000</v>
      </c>
    </row>
    <row r="20" spans="1:6" x14ac:dyDescent="0.2">
      <c r="A20" s="217" t="s">
        <v>19</v>
      </c>
      <c r="B20" s="217">
        <f>SUM(B16:B19)</f>
        <v>-4500000</v>
      </c>
      <c r="C20" s="217">
        <f>SUM(C16:C19)</f>
        <v>1000000</v>
      </c>
      <c r="D20" s="217">
        <f>SUM(D16:D19)</f>
        <v>1000000</v>
      </c>
      <c r="E20" s="217">
        <f>SUM(E16:E19)</f>
        <v>1000000</v>
      </c>
      <c r="F20" s="217">
        <f>SUM(F16:F19)</f>
        <v>4600000</v>
      </c>
    </row>
    <row r="21" spans="1:6" x14ac:dyDescent="0.2">
      <c r="A21" s="3"/>
      <c r="B21" s="3"/>
      <c r="C21" s="3"/>
      <c r="D21" s="3"/>
      <c r="E21" s="3"/>
      <c r="F21" s="3"/>
    </row>
    <row r="22" spans="1:6" x14ac:dyDescent="0.2">
      <c r="A22" s="180" t="s">
        <v>170</v>
      </c>
      <c r="B22" s="14">
        <f>NPV(B13,C20:F20)+B20</f>
        <v>413290.04684803355</v>
      </c>
      <c r="C22" s="3"/>
      <c r="D22" s="3"/>
      <c r="E22" s="3"/>
      <c r="F22" s="3"/>
    </row>
    <row r="23" spans="1:6" x14ac:dyDescent="0.2">
      <c r="A23" s="181" t="s">
        <v>10</v>
      </c>
      <c r="B23" s="182">
        <f>IRR(B20:F20)</f>
        <v>0.18410097675873782</v>
      </c>
      <c r="C23" s="3"/>
      <c r="D23" s="3"/>
      <c r="E23" s="3"/>
      <c r="F23" s="3"/>
    </row>
    <row r="24" spans="1:6" x14ac:dyDescent="0.2">
      <c r="A24" s="3"/>
      <c r="B24" s="75"/>
      <c r="C24" s="3"/>
      <c r="D24" s="3"/>
      <c r="E24" s="3"/>
      <c r="F24" s="3"/>
    </row>
    <row r="25" spans="1:6" x14ac:dyDescent="0.2">
      <c r="A25" s="3"/>
      <c r="B25" s="3"/>
      <c r="C25" s="3"/>
      <c r="D25" s="3"/>
      <c r="E25" s="3"/>
      <c r="F25" s="3"/>
    </row>
    <row r="26" spans="1:6" x14ac:dyDescent="0.2">
      <c r="A26" s="63" t="s">
        <v>1</v>
      </c>
      <c r="B26" s="179">
        <v>0</v>
      </c>
      <c r="C26" s="179">
        <v>1</v>
      </c>
      <c r="D26" s="179">
        <v>2</v>
      </c>
      <c r="E26" s="179">
        <v>3</v>
      </c>
      <c r="F26" s="179">
        <v>4</v>
      </c>
    </row>
    <row r="27" spans="1:6" x14ac:dyDescent="0.2">
      <c r="A27" s="9" t="s">
        <v>55</v>
      </c>
      <c r="B27" s="9">
        <f>-B7</f>
        <v>-8000000</v>
      </c>
      <c r="C27" s="9"/>
      <c r="D27" s="9"/>
      <c r="E27" s="9"/>
      <c r="F27" s="9">
        <f>B27*-B8</f>
        <v>6000000</v>
      </c>
    </row>
    <row r="28" spans="1:6" x14ac:dyDescent="0.2">
      <c r="A28" s="9" t="s">
        <v>53</v>
      </c>
      <c r="B28" s="9"/>
      <c r="C28" s="9">
        <f>$B$9</f>
        <v>3750000</v>
      </c>
      <c r="D28" s="9">
        <f>$B$9</f>
        <v>3750000</v>
      </c>
      <c r="E28" s="9">
        <f>$B$9</f>
        <v>3750000</v>
      </c>
      <c r="F28" s="9">
        <f>$B$9</f>
        <v>3750000</v>
      </c>
    </row>
    <row r="29" spans="1:6" x14ac:dyDescent="0.2">
      <c r="A29" s="9" t="s">
        <v>54</v>
      </c>
      <c r="B29" s="9"/>
      <c r="C29" s="9">
        <f>-$B$9*$B$10</f>
        <v>-1500000</v>
      </c>
      <c r="D29" s="9">
        <f>-$B$9*$B$10</f>
        <v>-1500000</v>
      </c>
      <c r="E29" s="9">
        <f>-$B$9*$B$10</f>
        <v>-1500000</v>
      </c>
      <c r="F29" s="9">
        <f>-$B$9*$B$10</f>
        <v>-1500000</v>
      </c>
    </row>
    <row r="30" spans="1:6" x14ac:dyDescent="0.2">
      <c r="A30" s="10" t="s">
        <v>57</v>
      </c>
      <c r="B30" s="10"/>
      <c r="C30" s="10">
        <f>-$B$11</f>
        <v>-500000</v>
      </c>
      <c r="D30" s="10">
        <f>-$B$11</f>
        <v>-500000</v>
      </c>
      <c r="E30" s="10">
        <f>-$B$11</f>
        <v>-500000</v>
      </c>
      <c r="F30" s="10">
        <f>-$B$11</f>
        <v>-500000</v>
      </c>
    </row>
    <row r="31" spans="1:6" x14ac:dyDescent="0.2">
      <c r="A31" s="217" t="s">
        <v>19</v>
      </c>
      <c r="B31" s="217">
        <f>SUM(B27:B30)</f>
        <v>-8000000</v>
      </c>
      <c r="C31" s="217">
        <f>SUM(C27:C30)</f>
        <v>1750000</v>
      </c>
      <c r="D31" s="217">
        <f>SUM(D27:D30)</f>
        <v>1750000</v>
      </c>
      <c r="E31" s="217">
        <f>SUM(E27:E30)</f>
        <v>1750000</v>
      </c>
      <c r="F31" s="217">
        <f>SUM(F27:F30)</f>
        <v>7750000</v>
      </c>
    </row>
    <row r="32" spans="1:6" x14ac:dyDescent="0.2">
      <c r="A32" s="8"/>
      <c r="B32" s="3"/>
      <c r="C32" s="3"/>
      <c r="D32" s="3"/>
      <c r="E32" s="3"/>
      <c r="F32" s="3"/>
    </row>
    <row r="33" spans="1:6" x14ac:dyDescent="0.2">
      <c r="A33" s="180" t="s">
        <v>170</v>
      </c>
      <c r="B33" s="14">
        <f>NPV(B13,C31:F31)+B31</f>
        <v>426731.60830614716</v>
      </c>
      <c r="C33" s="3"/>
      <c r="D33" s="3"/>
      <c r="E33" s="3"/>
      <c r="F33" s="3"/>
    </row>
    <row r="34" spans="1:6" x14ac:dyDescent="0.2">
      <c r="A34" s="181" t="s">
        <v>10</v>
      </c>
      <c r="B34" s="182">
        <f>IRR(B31:F31)</f>
        <v>0.17012556703419768</v>
      </c>
      <c r="C34" s="3"/>
      <c r="D34" s="3"/>
      <c r="E34" s="3"/>
      <c r="F34" s="3"/>
    </row>
    <row r="35" spans="1:6" x14ac:dyDescent="0.2">
      <c r="A35" s="3"/>
      <c r="B35" s="3"/>
      <c r="C35" s="3"/>
      <c r="D35" s="3"/>
      <c r="E35" s="3"/>
      <c r="F35" s="3"/>
    </row>
    <row r="36" spans="1:6" x14ac:dyDescent="0.2">
      <c r="A36" s="183" t="s">
        <v>171</v>
      </c>
      <c r="B36" s="3"/>
      <c r="C36" s="3"/>
      <c r="D36" s="3"/>
      <c r="E36" s="3"/>
      <c r="F36" s="3"/>
    </row>
    <row r="38" spans="1:6" x14ac:dyDescent="0.2">
      <c r="A38" s="63" t="s">
        <v>1</v>
      </c>
      <c r="B38" s="179">
        <v>0</v>
      </c>
      <c r="C38" s="179">
        <v>1</v>
      </c>
      <c r="D38" s="179">
        <v>2</v>
      </c>
      <c r="E38" s="179">
        <v>3</v>
      </c>
      <c r="F38" s="179">
        <v>4</v>
      </c>
    </row>
    <row r="39" spans="1:6" x14ac:dyDescent="0.2">
      <c r="A39" s="43" t="s">
        <v>55</v>
      </c>
      <c r="B39" s="9">
        <f>B31</f>
        <v>-8000000</v>
      </c>
      <c r="C39" s="9">
        <f>C31</f>
        <v>1750000</v>
      </c>
      <c r="D39" s="9">
        <f>D31</f>
        <v>1750000</v>
      </c>
      <c r="E39" s="9">
        <f>E31</f>
        <v>1750000</v>
      </c>
      <c r="F39" s="9">
        <f>F31</f>
        <v>7750000</v>
      </c>
    </row>
    <row r="40" spans="1:6" x14ac:dyDescent="0.2">
      <c r="A40" s="32" t="s">
        <v>52</v>
      </c>
      <c r="B40" s="10">
        <f>B20</f>
        <v>-4500000</v>
      </c>
      <c r="C40" s="10">
        <f>C20</f>
        <v>1000000</v>
      </c>
      <c r="D40" s="10">
        <f>D20</f>
        <v>1000000</v>
      </c>
      <c r="E40" s="10">
        <f>E20</f>
        <v>1000000</v>
      </c>
      <c r="F40" s="10">
        <f>F20</f>
        <v>4600000</v>
      </c>
    </row>
    <row r="41" spans="1:6" x14ac:dyDescent="0.2">
      <c r="A41" s="184" t="s">
        <v>58</v>
      </c>
      <c r="B41" s="185">
        <f>B39-B40</f>
        <v>-3500000</v>
      </c>
      <c r="C41" s="185">
        <f>C39-C40</f>
        <v>750000</v>
      </c>
      <c r="D41" s="185">
        <f>D39-D40</f>
        <v>750000</v>
      </c>
      <c r="E41" s="185">
        <f>E39-E40</f>
        <v>750000</v>
      </c>
      <c r="F41" s="185">
        <f>F39-F40</f>
        <v>3150000</v>
      </c>
    </row>
    <row r="43" spans="1:6" x14ac:dyDescent="0.2">
      <c r="A43" s="177" t="s">
        <v>10</v>
      </c>
      <c r="B43" s="186">
        <f>IRR(B41:F41)</f>
        <v>0.15148064080390511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21</vt:i4>
      </vt:variant>
    </vt:vector>
  </HeadingPairs>
  <TitlesOfParts>
    <vt:vector size="21" baseType="lpstr">
      <vt:lpstr>Opp 1</vt:lpstr>
      <vt:lpstr>Opp 2</vt:lpstr>
      <vt:lpstr>Opp 3</vt:lpstr>
      <vt:lpstr>Opp 4</vt:lpstr>
      <vt:lpstr>Opp 5</vt:lpstr>
      <vt:lpstr>Opp 6</vt:lpstr>
      <vt:lpstr>Opp 7</vt:lpstr>
      <vt:lpstr>Opp 8</vt:lpstr>
      <vt:lpstr>Opp 9</vt:lpstr>
      <vt:lpstr>Opp 10</vt:lpstr>
      <vt:lpstr>Opp 11</vt:lpstr>
      <vt:lpstr>Opp 12</vt:lpstr>
      <vt:lpstr>Opp 13</vt:lpstr>
      <vt:lpstr>Opp 14</vt:lpstr>
      <vt:lpstr>Opp 15</vt:lpstr>
      <vt:lpstr>Opp 16</vt:lpstr>
      <vt:lpstr>Opp 17</vt:lpstr>
      <vt:lpstr>Opp 18</vt:lpstr>
      <vt:lpstr>Opp 19</vt:lpstr>
      <vt:lpstr>Opp 20</vt:lpstr>
      <vt:lpstr>Opp 21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Ivar Bredesen</dc:creator>
  <cp:keywords/>
  <dc:description/>
  <cp:lastModifiedBy>Ivar Bredesen</cp:lastModifiedBy>
  <cp:revision/>
  <dcterms:created xsi:type="dcterms:W3CDTF">2001-08-17T14:40:00Z</dcterms:created>
  <dcterms:modified xsi:type="dcterms:W3CDTF">2023-06-23T09:57:18Z</dcterms:modified>
  <cp:category/>
  <cp:contentStatus/>
</cp:coreProperties>
</file>