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gnfswh\Desktop\"/>
    </mc:Choice>
  </mc:AlternateContent>
  <xr:revisionPtr revIDLastSave="0" documentId="8_{03F2DB86-50FF-49A9-8E83-F4C4333D33F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5.1" sheetId="1" r:id="rId1"/>
    <sheet name="2" sheetId="3" r:id="rId2"/>
    <sheet name="3" sheetId="4" r:id="rId3"/>
    <sheet name="4" sheetId="5" r:id="rId4"/>
    <sheet name="5" sheetId="2" r:id="rId5"/>
    <sheet name="6" sheetId="7" r:id="rId6"/>
    <sheet name="7" sheetId="8" r:id="rId7"/>
    <sheet name="8" sheetId="9" r:id="rId8"/>
    <sheet name="9" sheetId="10" r:id="rId9"/>
    <sheet name="10" sheetId="11" r:id="rId10"/>
    <sheet name="11" sheetId="12" r:id="rId11"/>
    <sheet name="12" sheetId="13" r:id="rId12"/>
    <sheet name="13" sheetId="14" r:id="rId13"/>
    <sheet name="14" sheetId="15" r:id="rId14"/>
    <sheet name="15" sheetId="16" r:id="rId15"/>
    <sheet name="16" sheetId="6" r:id="rId16"/>
    <sheet name="17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6" l="1"/>
  <c r="F23" i="16"/>
  <c r="G23" i="16"/>
  <c r="D23" i="16"/>
  <c r="E22" i="16"/>
  <c r="F22" i="16"/>
  <c r="G22" i="16"/>
  <c r="D22" i="16"/>
  <c r="D21" i="16"/>
  <c r="B21" i="16"/>
  <c r="B22" i="16"/>
  <c r="B23" i="16"/>
  <c r="B20" i="16"/>
  <c r="G21" i="16"/>
  <c r="F21" i="16"/>
  <c r="F24" i="16" s="1"/>
  <c r="E21" i="16"/>
  <c r="C20" i="16"/>
  <c r="C24" i="16" s="1"/>
  <c r="B21" i="15"/>
  <c r="K23" i="15"/>
  <c r="B23" i="15"/>
  <c r="J21" i="15"/>
  <c r="K21" i="15"/>
  <c r="K24" i="15" s="1"/>
  <c r="J22" i="15"/>
  <c r="K22" i="15"/>
  <c r="H21" i="15"/>
  <c r="H24" i="15" s="1"/>
  <c r="I21" i="15"/>
  <c r="I24" i="15" s="1"/>
  <c r="H22" i="15"/>
  <c r="I22" i="15"/>
  <c r="E22" i="15"/>
  <c r="F22" i="15"/>
  <c r="G22" i="15"/>
  <c r="G24" i="15" s="1"/>
  <c r="D22" i="15"/>
  <c r="E21" i="15"/>
  <c r="F21" i="15"/>
  <c r="G21" i="15"/>
  <c r="D21" i="15"/>
  <c r="D24" i="15" s="1"/>
  <c r="C20" i="15"/>
  <c r="C24" i="15" s="1"/>
  <c r="D20" i="14"/>
  <c r="D22" i="14" s="1"/>
  <c r="G21" i="14"/>
  <c r="C21" i="14"/>
  <c r="C22" i="14" s="1"/>
  <c r="E20" i="14"/>
  <c r="E22" i="14" s="1"/>
  <c r="F20" i="14"/>
  <c r="F22" i="14" s="1"/>
  <c r="G20" i="14"/>
  <c r="G22" i="14" s="1"/>
  <c r="B21" i="14"/>
  <c r="B20" i="14"/>
  <c r="B52" i="14"/>
  <c r="B51" i="14"/>
  <c r="C52" i="14"/>
  <c r="C51" i="14"/>
  <c r="D17" i="14"/>
  <c r="B19" i="14"/>
  <c r="C48" i="14"/>
  <c r="C47" i="14"/>
  <c r="E47" i="14" s="1"/>
  <c r="F47" i="14" s="1"/>
  <c r="B47" i="14"/>
  <c r="C46" i="14"/>
  <c r="E46" i="14" s="1"/>
  <c r="F46" i="14" s="1"/>
  <c r="B46" i="14"/>
  <c r="C45" i="14"/>
  <c r="E45" i="14" s="1"/>
  <c r="F45" i="14" s="1"/>
  <c r="B45" i="14"/>
  <c r="C19" i="14"/>
  <c r="G18" i="14"/>
  <c r="F18" i="14"/>
  <c r="E18" i="14"/>
  <c r="D18" i="14"/>
  <c r="G17" i="14"/>
  <c r="F17" i="14"/>
  <c r="E17" i="14"/>
  <c r="C16" i="14"/>
  <c r="E38" i="13"/>
  <c r="F38" i="13" s="1"/>
  <c r="E39" i="13"/>
  <c r="F39" i="13" s="1"/>
  <c r="C41" i="13"/>
  <c r="C37" i="13"/>
  <c r="E37" i="13" s="1"/>
  <c r="F37" i="13" s="1"/>
  <c r="C38" i="13"/>
  <c r="C39" i="13"/>
  <c r="B40" i="13"/>
  <c r="B39" i="13"/>
  <c r="B38" i="13"/>
  <c r="B37" i="13"/>
  <c r="H15" i="13"/>
  <c r="H18" i="13" s="1"/>
  <c r="H16" i="13"/>
  <c r="E16" i="13"/>
  <c r="F16" i="13"/>
  <c r="G16" i="13"/>
  <c r="D16" i="13"/>
  <c r="C17" i="13"/>
  <c r="E15" i="13"/>
  <c r="F15" i="13"/>
  <c r="G15" i="13"/>
  <c r="D15" i="13"/>
  <c r="C14" i="13"/>
  <c r="C54" i="12"/>
  <c r="G24" i="16" l="1"/>
  <c r="D24" i="16"/>
  <c r="E24" i="16"/>
  <c r="C29" i="16"/>
  <c r="C28" i="16"/>
  <c r="J24" i="15"/>
  <c r="F24" i="15"/>
  <c r="E24" i="15"/>
  <c r="C32" i="15" s="1"/>
  <c r="C28" i="15"/>
  <c r="C24" i="14"/>
  <c r="C32" i="14"/>
  <c r="D48" i="14" s="1"/>
  <c r="E48" i="14" s="1"/>
  <c r="F48" i="14" s="1"/>
  <c r="C28" i="14"/>
  <c r="G18" i="13"/>
  <c r="C18" i="13"/>
  <c r="D18" i="13"/>
  <c r="F18" i="13"/>
  <c r="E18" i="13"/>
  <c r="E44" i="12"/>
  <c r="E46" i="12" s="1"/>
  <c r="F44" i="12"/>
  <c r="G44" i="12"/>
  <c r="D44" i="12"/>
  <c r="G45" i="12"/>
  <c r="F45" i="12"/>
  <c r="F46" i="12" s="1"/>
  <c r="E45" i="12"/>
  <c r="D45" i="12"/>
  <c r="B45" i="12"/>
  <c r="B44" i="12"/>
  <c r="C43" i="12"/>
  <c r="C46" i="12" s="1"/>
  <c r="C50" i="12" s="1"/>
  <c r="E16" i="12"/>
  <c r="F16" i="12"/>
  <c r="G16" i="12"/>
  <c r="D16" i="12"/>
  <c r="B16" i="12"/>
  <c r="B18" i="12"/>
  <c r="B17" i="12"/>
  <c r="E18" i="12"/>
  <c r="F18" i="12"/>
  <c r="G18" i="12"/>
  <c r="D18" i="12"/>
  <c r="D17" i="12"/>
  <c r="G17" i="12"/>
  <c r="F17" i="12"/>
  <c r="E17" i="12"/>
  <c r="C15" i="12"/>
  <c r="C19" i="12" s="1"/>
  <c r="I7" i="11"/>
  <c r="I6" i="11"/>
  <c r="H7" i="11"/>
  <c r="H6" i="11"/>
  <c r="B44" i="10"/>
  <c r="C42" i="10"/>
  <c r="C39" i="10"/>
  <c r="H33" i="10"/>
  <c r="H34" i="10"/>
  <c r="H35" i="10"/>
  <c r="H36" i="10"/>
  <c r="E35" i="10"/>
  <c r="F35" i="10"/>
  <c r="G35" i="10"/>
  <c r="D35" i="10"/>
  <c r="C27" i="10"/>
  <c r="C24" i="10"/>
  <c r="H15" i="10"/>
  <c r="H14" i="10"/>
  <c r="H16" i="10"/>
  <c r="G17" i="10"/>
  <c r="E14" i="10"/>
  <c r="E17" i="10" s="1"/>
  <c r="E34" i="10" s="1"/>
  <c r="F14" i="10"/>
  <c r="G14" i="10"/>
  <c r="D14" i="10"/>
  <c r="B40" i="10"/>
  <c r="B39" i="10"/>
  <c r="B38" i="10"/>
  <c r="B34" i="10"/>
  <c r="G33" i="10"/>
  <c r="F33" i="10"/>
  <c r="E33" i="10"/>
  <c r="D33" i="10"/>
  <c r="C33" i="10"/>
  <c r="B33" i="10"/>
  <c r="B31" i="10"/>
  <c r="C21" i="10"/>
  <c r="G16" i="10"/>
  <c r="F16" i="10"/>
  <c r="E16" i="10"/>
  <c r="D16" i="10"/>
  <c r="D17" i="10"/>
  <c r="D34" i="10" s="1"/>
  <c r="C13" i="10"/>
  <c r="C17" i="10" s="1"/>
  <c r="C35" i="9"/>
  <c r="F28" i="9"/>
  <c r="E28" i="9"/>
  <c r="D28" i="9"/>
  <c r="C28" i="9"/>
  <c r="C19" i="9"/>
  <c r="C16" i="9"/>
  <c r="C15" i="9"/>
  <c r="F8" i="9"/>
  <c r="E8" i="9"/>
  <c r="D8" i="9"/>
  <c r="C8" i="9"/>
  <c r="C42" i="8"/>
  <c r="C41" i="8"/>
  <c r="C40" i="8"/>
  <c r="B41" i="8"/>
  <c r="B42" i="8"/>
  <c r="B40" i="8"/>
  <c r="D38" i="8"/>
  <c r="E38" i="8"/>
  <c r="F38" i="8"/>
  <c r="G38" i="8"/>
  <c r="C38" i="8"/>
  <c r="E37" i="8"/>
  <c r="F37" i="8"/>
  <c r="G37" i="8"/>
  <c r="D37" i="8"/>
  <c r="C35" i="8"/>
  <c r="D35" i="8"/>
  <c r="E35" i="8"/>
  <c r="F35" i="8"/>
  <c r="G35" i="8"/>
  <c r="B35" i="8"/>
  <c r="C33" i="8"/>
  <c r="B33" i="8"/>
  <c r="C36" i="8"/>
  <c r="D36" i="8"/>
  <c r="E36" i="8"/>
  <c r="F36" i="8"/>
  <c r="G36" i="8"/>
  <c r="B36" i="8"/>
  <c r="C8" i="2"/>
  <c r="C10" i="2" s="1"/>
  <c r="C15" i="7"/>
  <c r="C16" i="7"/>
  <c r="C25" i="8"/>
  <c r="G19" i="8"/>
  <c r="C19" i="8"/>
  <c r="B19" i="8"/>
  <c r="E20" i="8"/>
  <c r="F20" i="8"/>
  <c r="G20" i="8"/>
  <c r="D20" i="8"/>
  <c r="D21" i="8" s="1"/>
  <c r="G18" i="8"/>
  <c r="E17" i="8"/>
  <c r="F17" i="8"/>
  <c r="G17" i="8"/>
  <c r="D17" i="8"/>
  <c r="C16" i="8"/>
  <c r="C9" i="7"/>
  <c r="H7" i="7"/>
  <c r="G7" i="7"/>
  <c r="F7" i="7"/>
  <c r="E7" i="7"/>
  <c r="D7" i="7"/>
  <c r="C7" i="7"/>
  <c r="C17" i="2"/>
  <c r="C18" i="2" s="1"/>
  <c r="C16" i="2"/>
  <c r="D8" i="2"/>
  <c r="E8" i="2"/>
  <c r="F8" i="2"/>
  <c r="G8" i="2"/>
  <c r="C5" i="5"/>
  <c r="C4" i="5"/>
  <c r="C3" i="5"/>
  <c r="C2" i="5"/>
  <c r="C3" i="4"/>
  <c r="C4" i="4" s="1"/>
  <c r="C6" i="4" s="1"/>
  <c r="C8" i="4" s="1"/>
  <c r="C7" i="4"/>
  <c r="C2" i="4"/>
  <c r="C6" i="3"/>
  <c r="C4" i="3"/>
  <c r="C3" i="3"/>
  <c r="C2" i="3"/>
  <c r="E5" i="1"/>
  <c r="C30" i="16" l="1"/>
  <c r="C32" i="16"/>
  <c r="C29" i="15"/>
  <c r="C30" i="15" s="1"/>
  <c r="C29" i="14"/>
  <c r="C30" i="14" s="1"/>
  <c r="C23" i="13"/>
  <c r="C40" i="13"/>
  <c r="E40" i="13" s="1"/>
  <c r="F40" i="13" s="1"/>
  <c r="C26" i="13"/>
  <c r="D41" i="13" s="1"/>
  <c r="E41" i="13" s="1"/>
  <c r="F41" i="13" s="1"/>
  <c r="C22" i="13"/>
  <c r="C24" i="13" s="1"/>
  <c r="C27" i="12"/>
  <c r="D46" i="12"/>
  <c r="C51" i="12" s="1"/>
  <c r="G46" i="12"/>
  <c r="E19" i="12"/>
  <c r="D19" i="12"/>
  <c r="C24" i="12" s="1"/>
  <c r="F19" i="12"/>
  <c r="G19" i="12"/>
  <c r="C23" i="12"/>
  <c r="H17" i="10"/>
  <c r="G34" i="10"/>
  <c r="G36" i="10"/>
  <c r="F17" i="10"/>
  <c r="F34" i="10" s="1"/>
  <c r="C34" i="10"/>
  <c r="C36" i="10" s="1"/>
  <c r="C38" i="10" s="1"/>
  <c r="C23" i="10"/>
  <c r="D36" i="10"/>
  <c r="E36" i="10"/>
  <c r="F36" i="10"/>
  <c r="C36" i="9"/>
  <c r="C37" i="9" s="1"/>
  <c r="C39" i="9"/>
  <c r="C17" i="9"/>
  <c r="E21" i="8"/>
  <c r="C28" i="8" s="1"/>
  <c r="F21" i="8"/>
  <c r="G21" i="8"/>
  <c r="C21" i="8"/>
  <c r="C27" i="8" s="1"/>
  <c r="C29" i="8" s="1"/>
  <c r="C17" i="7"/>
  <c r="C52" i="12" l="1"/>
  <c r="C25" i="12"/>
  <c r="C40" i="10"/>
  <c r="C25" i="10"/>
</calcChain>
</file>

<file path=xl/sharedStrings.xml><?xml version="1.0" encoding="utf-8"?>
<sst xmlns="http://schemas.openxmlformats.org/spreadsheetml/2006/main" count="339" uniqueCount="136">
  <si>
    <t>Årlige innbetalinger</t>
  </si>
  <si>
    <t>- utbetalinger til variable kostnader</t>
  </si>
  <si>
    <t>- utbetalinger til betalbare faste kostnader</t>
  </si>
  <si>
    <t xml:space="preserve">Årlig innbetalingsoverskudd </t>
  </si>
  <si>
    <t>Salgsinntekt (9,50 * 5 000) =</t>
  </si>
  <si>
    <t>- variable kostnader (5 * 5 000) =</t>
  </si>
  <si>
    <t>- betalbare faste kostnader</t>
  </si>
  <si>
    <t>=Innbetalingsoverskudd (= dekningsbidrag)</t>
  </si>
  <si>
    <t>=Korrigert innbetalingsoverskudd</t>
  </si>
  <si>
    <t>a)</t>
  </si>
  <si>
    <t>b)</t>
  </si>
  <si>
    <t>Dekningsbidrag</t>
  </si>
  <si>
    <t>Årlig innbetalingsoverskudd</t>
  </si>
  <si>
    <t>- tapt dekningsbidrag annet produkt (25 000 * 0,40) =</t>
  </si>
  <si>
    <t>Korrigert årlig innbetalingsoverskudd</t>
  </si>
  <si>
    <t>Salgsinntekt (10,50 * 10 000) =</t>
  </si>
  <si>
    <t>- variable kostnader (6 * 10 000) =</t>
  </si>
  <si>
    <t>85 000 / 1,12^2</t>
  </si>
  <si>
    <t>15 000 / 1,15</t>
  </si>
  <si>
    <t>27 000 / 1,17^2</t>
  </si>
  <si>
    <t>100 000 / 1,10^3</t>
  </si>
  <si>
    <t>c)</t>
  </si>
  <si>
    <t>d)</t>
  </si>
  <si>
    <t>År</t>
  </si>
  <si>
    <t>Investering</t>
  </si>
  <si>
    <t>Innbetalingsoverskudd</t>
  </si>
  <si>
    <t>Utrangerinsverdi</t>
  </si>
  <si>
    <t>Kontantstrøm</t>
  </si>
  <si>
    <t>Tilbakebetalingstid</t>
  </si>
  <si>
    <t>år (det vil si 3 år og 1,5 måned)</t>
  </si>
  <si>
    <t>Beregning av nåverdi:</t>
  </si>
  <si>
    <t>Avkastningskrav:</t>
  </si>
  <si>
    <t>Investering år 0</t>
  </si>
  <si>
    <t>Nåverdi av kontantstrøm</t>
  </si>
  <si>
    <t>Prosjektets nåverdi</t>
  </si>
  <si>
    <t>Lønnsom siden nåverdien er større enn kr 0 (NV&gt;0)</t>
  </si>
  <si>
    <r>
      <t>Hvis vi bruker rentetabell, kan vi finne nåverdien slik: – 500 000 + 160 000 · A</t>
    </r>
    <r>
      <rPr>
        <vertAlign val="subscript"/>
        <sz val="11"/>
        <color theme="1"/>
        <rFont val="Calibri"/>
        <family val="2"/>
        <scheme val="minor"/>
      </rPr>
      <t>(11/3)</t>
    </r>
    <r>
      <rPr>
        <sz val="11"/>
        <color theme="1"/>
        <rFont val="Calibri"/>
        <family val="2"/>
        <scheme val="minor"/>
      </rPr>
      <t xml:space="preserve"> + 210 000 · R -1 </t>
    </r>
    <r>
      <rPr>
        <vertAlign val="subscript"/>
        <sz val="11"/>
        <color theme="1"/>
        <rFont val="Calibri"/>
        <family val="2"/>
        <scheme val="minor"/>
      </rPr>
      <t>(11/4)</t>
    </r>
    <r>
      <rPr>
        <sz val="11"/>
        <color theme="1"/>
        <rFont val="Calibri"/>
        <family val="2"/>
        <scheme val="minor"/>
      </rPr>
      <t xml:space="preserve"> = kr 29 328</t>
    </r>
  </si>
  <si>
    <t>NB Klikk på cellene for å se utregningen</t>
  </si>
  <si>
    <t>Årlig DB</t>
  </si>
  <si>
    <t>Betalbare faste kostnader</t>
  </si>
  <si>
    <t>år (det vil si ca 3 år og 2 måneder)</t>
  </si>
  <si>
    <r>
      <t>Hvis vi bruker rentetabell, kan vi finne nåverdien slik:– 1 400 000 + 440 000 · A</t>
    </r>
    <r>
      <rPr>
        <vertAlign val="subscript"/>
        <sz val="11"/>
        <color theme="1"/>
        <rFont val="Calibri"/>
        <family val="2"/>
        <scheme val="minor"/>
      </rPr>
      <t>(15/5)</t>
    </r>
    <r>
      <rPr>
        <sz val="11"/>
        <color theme="1"/>
        <rFont val="Calibri"/>
        <family val="2"/>
        <scheme val="minor"/>
      </rPr>
      <t xml:space="preserve"> = kr 74 948</t>
    </r>
  </si>
  <si>
    <t>Inndata:</t>
  </si>
  <si>
    <t>Pris</t>
  </si>
  <si>
    <t>Variable kostnader per enhet</t>
  </si>
  <si>
    <t>Solgt mengde per år</t>
  </si>
  <si>
    <t>Utrangeringsverdi</t>
  </si>
  <si>
    <t>Økning omløpsmidler</t>
  </si>
  <si>
    <t>Batalbare faste kostnader</t>
  </si>
  <si>
    <t>Kalkulasjonsrente</t>
  </si>
  <si>
    <t>Miljøavgift</t>
  </si>
  <si>
    <t>Ny kontantstrøm</t>
  </si>
  <si>
    <t>Ikke lenger lønnsom siden NV&lt;0.</t>
  </si>
  <si>
    <t>Utdata:</t>
  </si>
  <si>
    <t>Internrente:</t>
  </si>
  <si>
    <t>Ikke lønnsom siden nåverdien er lavere enn kr 0 (NV&lt;0) og internrenten &lt; kalkulasjonsrenten (rentekravet)</t>
  </si>
  <si>
    <t>Fremdeles ikke lønnsom siden nåverdien er lavere enn kr 0 (NV&lt;0) og internrenten &lt; kalkulasjonsrenten (rentekravet)</t>
  </si>
  <si>
    <t xml:space="preserve">Selv om sum innbetalinger er de samme så er lønnsomheten bedre siden innbetalingene kommer tidligere </t>
  </si>
  <si>
    <t>(høyere verdi for deg å få kr 1 i dag i stedet for om ett år)</t>
  </si>
  <si>
    <t>Innsparing</t>
  </si>
  <si>
    <t>Ikke lønnsom siden nåverdien er mindre enn kr 0 (NV&lt;0) og internrenten &lt; rentekravet.</t>
  </si>
  <si>
    <t>Miljøgevinst</t>
  </si>
  <si>
    <t>Bedriften får en mer miljøvennlig profil</t>
  </si>
  <si>
    <t>Forebygger/forhindrer eventuell negativ omtale i media i tiden fremover</t>
  </si>
  <si>
    <t>Negative virkninger av å si opp to ansatte trekker andre veien</t>
  </si>
  <si>
    <t>MEN, eierene bør investere i noe annet som gir positiv NV.</t>
  </si>
  <si>
    <t>KS Silver Box</t>
  </si>
  <si>
    <t>KS Sølvatoren</t>
  </si>
  <si>
    <t>Nåverdi</t>
  </si>
  <si>
    <t>Internrente</t>
  </si>
  <si>
    <t>Rentekrav:</t>
  </si>
  <si>
    <t>Nåverdimetoden og internrentemetoden gir forskjellig rangering av de to prosjektene. Det er imidlertid nåverdi-</t>
  </si>
  <si>
    <t>Bedriften bør derfor velge Sølvatoren siden den gir størst nåverdi.</t>
  </si>
  <si>
    <t xml:space="preserve">metoden som gir den korrekte rangeringen ved gjensidig utelukkende investeringer siden metoden tar hensyn til investeringsvolumet </t>
  </si>
  <si>
    <t>(antall kroner som investeres).</t>
  </si>
  <si>
    <t>Innsparing årsverk</t>
  </si>
  <si>
    <t>Spart miljøavgift</t>
  </si>
  <si>
    <t>Kostnadsreduksjoner</t>
  </si>
  <si>
    <t>Lønnsom siden nåverdien er større enn kr 0 (NV&gt;0) og internrenten &gt; rentekravet.</t>
  </si>
  <si>
    <t>Beregninger alternativ "Miljøanlegg AS"</t>
  </si>
  <si>
    <t>Beregninger alternativ "AS Landteknikk"</t>
  </si>
  <si>
    <t>Konklusjon:</t>
  </si>
  <si>
    <t>Bedriften bør velge tilbudet fra AS Landteknikk, siden det har den høyeste nåverdien. Ved gjensidig ute-</t>
  </si>
  <si>
    <t>antal kroner som investeres (investeringsvolumet).</t>
  </si>
  <si>
    <t>lukkende investeringer velger vi alltid prosjektet som har høyest nåverdi siden metoden tar hensyn til</t>
  </si>
  <si>
    <t>Pris per enhet</t>
  </si>
  <si>
    <t>Variablekostnader per enh</t>
  </si>
  <si>
    <t>Mengde</t>
  </si>
  <si>
    <t>Kampanje</t>
  </si>
  <si>
    <t>Inntekter</t>
  </si>
  <si>
    <t>Variable kostnader</t>
  </si>
  <si>
    <t>Beregninger kritisk verdi</t>
  </si>
  <si>
    <t>Her bruker vi "målsøking" under menyen "Data" -&gt; "Hva-skjer-hvis- analyse" og endrer en og en variabel</t>
  </si>
  <si>
    <t>dvs partiell analyse:</t>
  </si>
  <si>
    <t>Variabel</t>
  </si>
  <si>
    <t>Verdi i kalkyle</t>
  </si>
  <si>
    <t>Kritisk verdi</t>
  </si>
  <si>
    <t>Margin</t>
  </si>
  <si>
    <t>Margin %</t>
  </si>
  <si>
    <t>Rente</t>
  </si>
  <si>
    <t>De mest følsomme variablene ser ut til å være salgsprisen og de variable kostnadene. Prisen tåler kun en</t>
  </si>
  <si>
    <t>nedgang på en krone (ca. 1,8 %) før lønnsomhetsgrensa er nådd. De variable enhetskostnadene kan øke med</t>
  </si>
  <si>
    <t>inntil 2,9 % før prosjektet blir ulønnsomt.</t>
  </si>
  <si>
    <t>Utviklingskost v/start</t>
  </si>
  <si>
    <t>Økte betalbare faste kostnader</t>
  </si>
  <si>
    <t>Økte omløpsmidler</t>
  </si>
  <si>
    <t>Inntjeningstid:</t>
  </si>
  <si>
    <t>år</t>
  </si>
  <si>
    <t>I utgangspunktet lønnsom basert på NV-beregningene ovenfor. Oversikt over kritiske verdier nedenfor.</t>
  </si>
  <si>
    <t>Her er det målsøkt med utgangspunkt i hvilken verdi må celle C9 / C10 ha for at celle C30 skal være lik 0..</t>
  </si>
  <si>
    <t>Ved å bruke målsøking i modellen finner vi at prosjektet maksimalt tåler årlige betalbare kostnader på</t>
  </si>
  <si>
    <t>kr 31 142. Omløpsmidlene kan maksimalt øke med kr 207 612 før prosjektet blir ulønnsomt.</t>
  </si>
  <si>
    <t>Leieinntekter</t>
  </si>
  <si>
    <t xml:space="preserve">Variable kostnader </t>
  </si>
  <si>
    <t>(ikke avskrivninger….)</t>
  </si>
  <si>
    <t>Budsjettet viser et underskudd på kr 15 000 for første driftsåret. Beslutningen om eventuelt å bygge motellet</t>
  </si>
  <si>
    <t>bør bygge på en investeringskalkyle. Der tar vi ikke med rente- og avskrivningskostnader. Disse kostnadene</t>
  </si>
  <si>
    <t>er innebygget i investeringskalkylen ved at vi diskonterer de årlige innbetalingsoverskuddene med en</t>
  </si>
  <si>
    <t>bestemt rentesats (kalkulasjonsrenten).</t>
  </si>
  <si>
    <t>Konklusjon: Budsjettet er uegnet som beslutningsgrunnlag</t>
  </si>
  <si>
    <t>Sparte årsverk</t>
  </si>
  <si>
    <t>Resusert vann / utslipp</t>
  </si>
  <si>
    <t>Bedre utnyttelse råstoff</t>
  </si>
  <si>
    <t>- Belastningene på det ytre miljøet blir redusert. Bedriften kan bli spart for negativ omtale i media o.l.</t>
  </si>
  <si>
    <t>- Betydelig forbedring av arbeidsmiljøet som fører til redusert sykefravær, og sparte kostnader for bedriften</t>
  </si>
  <si>
    <t>- Maskinen har sannsynligvis en utrangeringsverdi om 4 år?</t>
  </si>
  <si>
    <t>Vi bruker modellen, og finner kritiske verdier for disse faktorene:</t>
  </si>
  <si>
    <t>Dersom det årlige innbetalingsoverskuddet økes til kr 1 316 938, blir nåverdien positivt. Det betyr at hvis vi</t>
  </si>
  <si>
    <t>verdsetter virkningene på det ytre miljøet og redusert sykefravær til mer enn kr (1 316 938 – 1 310 000) = kr 6 938</t>
  </si>
  <si>
    <t>per år, blir nåverdien positiv. Verdien er sannsynligvis mange ganger så høy!</t>
  </si>
  <si>
    <t>En utrangeringsverdi på kr 33 158 gjør at nåverdien blir lik null. Det virker sannsynlig at utrangeringsverdien er</t>
  </si>
  <si>
    <t>høyere enn det.</t>
  </si>
  <si>
    <t>vante data. Alle de andre opplysningene er relevante, men særlig virkningene på arbeidsmiljøet kan være vanskelig å tallfeste.</t>
  </si>
  <si>
    <t>Av de gitte opplysningene er overskuddet for forrige år og den allerede gjennomførte markedsundersøkelsen irrele-</t>
  </si>
  <si>
    <t>Selv om det er bittert å tenke på at 20 millioner kroner er brukt til ingen nytte, er det bedriftsøkonomisk korrekt å stoppe prosjektet.</t>
  </si>
  <si>
    <t>Penger som allerede er brukt til planlegging og forberedelser er irrelevante i forhold til den beslutningen som står for døren.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</si>
</sst>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\ %"/>
    <numFmt numFmtId="167" formatCode="0.0"/>
    <numFmt numFmtId="168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quotePrefix="1"/>
    <xf numFmtId="0" fontId="0" fillId="0" borderId="2" xfId="0" applyBorder="1"/>
    <xf numFmtId="0" fontId="0" fillId="0" borderId="1" xfId="0" quotePrefix="1" applyBorder="1"/>
    <xf numFmtId="0" fontId="0" fillId="0" borderId="2" xfId="0" quotePrefix="1" applyBorder="1"/>
    <xf numFmtId="164" fontId="0" fillId="0" borderId="2" xfId="1" applyNumberFormat="1" applyFont="1" applyBorder="1"/>
    <xf numFmtId="1" fontId="0" fillId="0" borderId="0" xfId="0" applyNumberFormat="1"/>
    <xf numFmtId="0" fontId="0" fillId="0" borderId="7" xfId="0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9" fontId="0" fillId="0" borderId="0" xfId="0" applyNumberFormat="1"/>
    <xf numFmtId="164" fontId="0" fillId="0" borderId="10" xfId="1" applyNumberFormat="1" applyFont="1" applyBorder="1"/>
    <xf numFmtId="164" fontId="0" fillId="0" borderId="0" xfId="1" applyNumberFormat="1" applyFont="1" applyBorder="1"/>
    <xf numFmtId="164" fontId="0" fillId="0" borderId="11" xfId="1" applyNumberFormat="1" applyFont="1" applyBorder="1"/>
    <xf numFmtId="164" fontId="0" fillId="0" borderId="3" xfId="1" applyNumberFormat="1" applyFont="1" applyBorder="1"/>
    <xf numFmtId="165" fontId="0" fillId="0" borderId="10" xfId="1" applyNumberFormat="1" applyFont="1" applyBorder="1"/>
    <xf numFmtId="165" fontId="0" fillId="0" borderId="3" xfId="1" applyNumberFormat="1" applyFont="1" applyBorder="1"/>
    <xf numFmtId="165" fontId="0" fillId="0" borderId="0" xfId="1" applyNumberFormat="1" applyFont="1"/>
    <xf numFmtId="0" fontId="0" fillId="0" borderId="13" xfId="0" applyBorder="1"/>
    <xf numFmtId="164" fontId="0" fillId="0" borderId="13" xfId="1" applyNumberFormat="1" applyFont="1" applyBorder="1"/>
    <xf numFmtId="0" fontId="2" fillId="0" borderId="0" xfId="0" applyFont="1"/>
    <xf numFmtId="164" fontId="0" fillId="0" borderId="12" xfId="1" applyNumberFormat="1" applyFont="1" applyBorder="1"/>
    <xf numFmtId="165" fontId="0" fillId="0" borderId="0" xfId="1" applyNumberFormat="1" applyFont="1" applyBorder="1"/>
    <xf numFmtId="165" fontId="0" fillId="0" borderId="12" xfId="1" applyNumberFormat="1" applyFont="1" applyBorder="1"/>
    <xf numFmtId="165" fontId="0" fillId="0" borderId="8" xfId="1" applyNumberFormat="1" applyFont="1" applyBorder="1"/>
    <xf numFmtId="165" fontId="0" fillId="0" borderId="2" xfId="1" applyNumberFormat="1" applyFont="1" applyBorder="1"/>
    <xf numFmtId="165" fontId="0" fillId="0" borderId="13" xfId="1" applyNumberFormat="1" applyFont="1" applyBorder="1"/>
    <xf numFmtId="164" fontId="0" fillId="0" borderId="4" xfId="1" applyNumberFormat="1" applyFont="1" applyBorder="1"/>
    <xf numFmtId="164" fontId="0" fillId="0" borderId="7" xfId="1" applyNumberFormat="1" applyFont="1" applyBorder="1"/>
    <xf numFmtId="164" fontId="0" fillId="0" borderId="5" xfId="1" applyNumberFormat="1" applyFont="1" applyBorder="1"/>
    <xf numFmtId="43" fontId="0" fillId="0" borderId="0" xfId="0" applyNumberFormat="1"/>
    <xf numFmtId="3" fontId="0" fillId="0" borderId="0" xfId="0" applyNumberFormat="1"/>
    <xf numFmtId="3" fontId="0" fillId="0" borderId="10" xfId="1" applyNumberFormat="1" applyFont="1" applyBorder="1"/>
    <xf numFmtId="3" fontId="0" fillId="0" borderId="0" xfId="1" applyNumberFormat="1" applyFont="1" applyBorder="1"/>
    <xf numFmtId="3" fontId="0" fillId="0" borderId="6" xfId="1" applyNumberFormat="1" applyFont="1" applyBorder="1"/>
    <xf numFmtId="3" fontId="0" fillId="0" borderId="11" xfId="1" applyNumberFormat="1" applyFont="1" applyBorder="1"/>
    <xf numFmtId="3" fontId="0" fillId="0" borderId="12" xfId="1" applyNumberFormat="1" applyFont="1" applyBorder="1"/>
    <xf numFmtId="3" fontId="0" fillId="0" borderId="3" xfId="1" applyNumberFormat="1" applyFont="1" applyBorder="1"/>
    <xf numFmtId="165" fontId="0" fillId="0" borderId="0" xfId="0" applyNumberFormat="1"/>
    <xf numFmtId="165" fontId="0" fillId="0" borderId="3" xfId="0" applyNumberFormat="1" applyBorder="1"/>
    <xf numFmtId="165" fontId="0" fillId="0" borderId="10" xfId="0" applyNumberFormat="1" applyBorder="1"/>
    <xf numFmtId="165" fontId="0" fillId="0" borderId="12" xfId="0" applyNumberFormat="1" applyBorder="1"/>
    <xf numFmtId="166" fontId="0" fillId="0" borderId="0" xfId="0" applyNumberFormat="1"/>
    <xf numFmtId="3" fontId="0" fillId="0" borderId="7" xfId="1" applyNumberFormat="1" applyFont="1" applyBorder="1"/>
    <xf numFmtId="165" fontId="0" fillId="0" borderId="7" xfId="0" applyNumberFormat="1" applyBorder="1"/>
    <xf numFmtId="165" fontId="0" fillId="0" borderId="0" xfId="0" applyNumberFormat="1" applyBorder="1"/>
    <xf numFmtId="0" fontId="4" fillId="0" borderId="0" xfId="0" applyFont="1"/>
    <xf numFmtId="3" fontId="0" fillId="0" borderId="4" xfId="1" applyNumberFormat="1" applyFont="1" applyBorder="1"/>
    <xf numFmtId="3" fontId="0" fillId="0" borderId="5" xfId="1" applyNumberFormat="1" applyFont="1" applyBorder="1"/>
    <xf numFmtId="0" fontId="0" fillId="0" borderId="11" xfId="0" applyBorder="1"/>
    <xf numFmtId="3" fontId="0" fillId="0" borderId="10" xfId="0" applyNumberFormat="1" applyBorder="1"/>
    <xf numFmtId="3" fontId="0" fillId="0" borderId="11" xfId="0" applyNumberFormat="1" applyBorder="1"/>
    <xf numFmtId="166" fontId="0" fillId="0" borderId="12" xfId="0" applyNumberFormat="1" applyBorder="1"/>
    <xf numFmtId="166" fontId="0" fillId="0" borderId="12" xfId="2" applyNumberFormat="1" applyFont="1" applyBorder="1"/>
    <xf numFmtId="3" fontId="0" fillId="0" borderId="4" xfId="0" applyNumberFormat="1" applyBorder="1"/>
    <xf numFmtId="3" fontId="0" fillId="0" borderId="7" xfId="0" applyNumberFormat="1" applyBorder="1"/>
    <xf numFmtId="166" fontId="0" fillId="0" borderId="8" xfId="0" applyNumberFormat="1" applyBorder="1"/>
    <xf numFmtId="166" fontId="0" fillId="0" borderId="6" xfId="2" applyNumberFormat="1" applyFont="1" applyBorder="1"/>
    <xf numFmtId="166" fontId="0" fillId="0" borderId="14" xfId="2" applyNumberFormat="1" applyFont="1" applyBorder="1"/>
    <xf numFmtId="166" fontId="0" fillId="0" borderId="15" xfId="2" applyNumberFormat="1" applyFont="1" applyBorder="1"/>
    <xf numFmtId="166" fontId="0" fillId="0" borderId="0" xfId="2" applyNumberFormat="1" applyFont="1" applyBorder="1"/>
    <xf numFmtId="167" fontId="0" fillId="0" borderId="0" xfId="0" applyNumberFormat="1"/>
    <xf numFmtId="168" fontId="0" fillId="0" borderId="4" xfId="0" applyNumberFormat="1" applyBorder="1"/>
    <xf numFmtId="168" fontId="0" fillId="0" borderId="7" xfId="0" applyNumberFormat="1" applyBorder="1"/>
    <xf numFmtId="168" fontId="0" fillId="0" borderId="10" xfId="0" applyNumberFormat="1" applyBorder="1"/>
    <xf numFmtId="168" fontId="0" fillId="0" borderId="11" xfId="0" applyNumberFormat="1" applyBorder="1"/>
    <xf numFmtId="3" fontId="0" fillId="0" borderId="12" xfId="0" applyNumberFormat="1" applyBorder="1"/>
    <xf numFmtId="168" fontId="0" fillId="0" borderId="12" xfId="0" applyNumberFormat="1" applyBorder="1"/>
    <xf numFmtId="168" fontId="0" fillId="0" borderId="0" xfId="0" applyNumberFormat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"/>
  <sheetViews>
    <sheetView tabSelected="1" zoomScale="210" zoomScaleNormal="210" workbookViewId="0">
      <selection activeCell="H4" sqref="H4"/>
    </sheetView>
  </sheetViews>
  <sheetFormatPr baseColWidth="10" defaultColWidth="9" defaultRowHeight="15" x14ac:dyDescent="0.25"/>
  <cols>
    <col min="5" max="5" width="12" bestFit="1" customWidth="1"/>
  </cols>
  <sheetData>
    <row r="2" spans="1:5" x14ac:dyDescent="0.25">
      <c r="A2" t="s">
        <v>0</v>
      </c>
      <c r="E2" s="2">
        <v>600000</v>
      </c>
    </row>
    <row r="3" spans="1:5" x14ac:dyDescent="0.25">
      <c r="A3" t="s">
        <v>1</v>
      </c>
      <c r="E3" s="2">
        <v>350000</v>
      </c>
    </row>
    <row r="4" spans="1:5" x14ac:dyDescent="0.25">
      <c r="A4" t="s">
        <v>2</v>
      </c>
      <c r="E4" s="2">
        <v>50000</v>
      </c>
    </row>
    <row r="5" spans="1:5" x14ac:dyDescent="0.25">
      <c r="A5" s="1" t="s">
        <v>3</v>
      </c>
      <c r="B5" s="1"/>
      <c r="C5" s="1"/>
      <c r="D5" s="1"/>
      <c r="E5" s="3">
        <f>E2-E3-E4</f>
        <v>200000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0F913-5F6F-45D7-BDF2-0D9217BAD060}">
  <dimension ref="A1:I13"/>
  <sheetViews>
    <sheetView zoomScale="140" zoomScaleNormal="140" workbookViewId="0">
      <selection activeCell="D26" sqref="D26"/>
    </sheetView>
  </sheetViews>
  <sheetFormatPr baseColWidth="10" defaultRowHeight="15" x14ac:dyDescent="0.25"/>
  <cols>
    <col min="1" max="1" width="3" customWidth="1"/>
    <col min="2" max="2" width="20.5703125" customWidth="1"/>
    <col min="3" max="3" width="12.7109375" bestFit="1" customWidth="1"/>
    <col min="4" max="7" width="11.28515625" bestFit="1" customWidth="1"/>
  </cols>
  <sheetData>
    <row r="1" spans="1:9" x14ac:dyDescent="0.25">
      <c r="A1" s="28" t="s">
        <v>37</v>
      </c>
    </row>
    <row r="3" spans="1:9" x14ac:dyDescent="0.25">
      <c r="B3" t="s">
        <v>70</v>
      </c>
      <c r="C3" s="18">
        <v>0.17</v>
      </c>
    </row>
    <row r="5" spans="1:9" x14ac:dyDescent="0.25">
      <c r="B5" s="12" t="s">
        <v>23</v>
      </c>
      <c r="C5" s="13">
        <v>0</v>
      </c>
      <c r="D5" s="14">
        <v>1</v>
      </c>
      <c r="E5" s="13">
        <v>2</v>
      </c>
      <c r="F5" s="15">
        <v>3</v>
      </c>
      <c r="G5" s="13">
        <v>4</v>
      </c>
      <c r="H5" s="12" t="s">
        <v>68</v>
      </c>
      <c r="I5" s="12" t="s">
        <v>69</v>
      </c>
    </row>
    <row r="6" spans="1:9" x14ac:dyDescent="0.25">
      <c r="B6" s="10" t="s">
        <v>66</v>
      </c>
      <c r="C6" s="40">
        <v>-400000</v>
      </c>
      <c r="D6" s="41">
        <v>170000</v>
      </c>
      <c r="E6" s="41">
        <v>170000</v>
      </c>
      <c r="F6" s="41">
        <v>170000</v>
      </c>
      <c r="G6" s="41">
        <v>170000</v>
      </c>
      <c r="H6" s="39">
        <f>NPV($C$3,D6:G6)+C6</f>
        <v>66349.951766840881</v>
      </c>
      <c r="I6" s="18">
        <f>IRR(C6:G6)</f>
        <v>0.25206630823644804</v>
      </c>
    </row>
    <row r="7" spans="1:9" x14ac:dyDescent="0.25">
      <c r="B7" s="10" t="s">
        <v>67</v>
      </c>
      <c r="C7" s="43">
        <v>-600000</v>
      </c>
      <c r="D7" s="41">
        <v>250000</v>
      </c>
      <c r="E7" s="41">
        <v>250000</v>
      </c>
      <c r="F7" s="41">
        <v>250000</v>
      </c>
      <c r="G7" s="41">
        <v>250000</v>
      </c>
      <c r="H7" s="39">
        <f>NPV($C$3,D7:G7)+C7</f>
        <v>85808.752598295454</v>
      </c>
      <c r="I7" s="18">
        <f>IRR(C7:G7)</f>
        <v>0.24098855623127258</v>
      </c>
    </row>
    <row r="9" spans="1:9" x14ac:dyDescent="0.25">
      <c r="B9" t="s">
        <v>71</v>
      </c>
    </row>
    <row r="10" spans="1:9" x14ac:dyDescent="0.25">
      <c r="B10" t="s">
        <v>73</v>
      </c>
    </row>
    <row r="11" spans="1:9" x14ac:dyDescent="0.25">
      <c r="B11" t="s">
        <v>74</v>
      </c>
    </row>
    <row r="13" spans="1:9" x14ac:dyDescent="0.25">
      <c r="B13" t="s">
        <v>72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C2FA1-8F7E-47B6-8AEB-CEEE1CEE338D}">
  <dimension ref="A1:G62"/>
  <sheetViews>
    <sheetView zoomScale="140" zoomScaleNormal="140" workbookViewId="0">
      <selection activeCell="B62" sqref="B62"/>
    </sheetView>
  </sheetViews>
  <sheetFormatPr baseColWidth="10" defaultRowHeight="15" x14ac:dyDescent="0.25"/>
  <cols>
    <col min="1" max="1" width="3" customWidth="1"/>
    <col min="2" max="2" width="21.85546875" customWidth="1"/>
    <col min="3" max="3" width="12.7109375" bestFit="1" customWidth="1"/>
    <col min="4" max="7" width="11.28515625" bestFit="1" customWidth="1"/>
  </cols>
  <sheetData>
    <row r="1" spans="1:7" x14ac:dyDescent="0.25">
      <c r="A1" s="28" t="s">
        <v>37</v>
      </c>
    </row>
    <row r="3" spans="1:7" x14ac:dyDescent="0.25">
      <c r="A3" s="54" t="s">
        <v>79</v>
      </c>
    </row>
    <row r="5" spans="1:7" x14ac:dyDescent="0.25">
      <c r="B5" s="28" t="s">
        <v>42</v>
      </c>
    </row>
    <row r="6" spans="1:7" x14ac:dyDescent="0.25">
      <c r="B6" t="s">
        <v>24</v>
      </c>
      <c r="C6" s="39">
        <v>1500000</v>
      </c>
    </row>
    <row r="7" spans="1:7" x14ac:dyDescent="0.25">
      <c r="B7" t="s">
        <v>77</v>
      </c>
      <c r="C7" s="39">
        <v>85000</v>
      </c>
    </row>
    <row r="8" spans="1:7" x14ac:dyDescent="0.25">
      <c r="B8" t="s">
        <v>75</v>
      </c>
      <c r="C8" s="39">
        <v>420000</v>
      </c>
    </row>
    <row r="9" spans="1:7" x14ac:dyDescent="0.25">
      <c r="B9" t="s">
        <v>76</v>
      </c>
      <c r="C9" s="39">
        <v>95000</v>
      </c>
    </row>
    <row r="10" spans="1:7" x14ac:dyDescent="0.25">
      <c r="B10" t="s">
        <v>49</v>
      </c>
      <c r="C10" s="18">
        <v>0.12</v>
      </c>
    </row>
    <row r="12" spans="1:7" x14ac:dyDescent="0.25">
      <c r="B12" s="28" t="s">
        <v>53</v>
      </c>
    </row>
    <row r="14" spans="1:7" x14ac:dyDescent="0.25">
      <c r="B14" s="12" t="s">
        <v>23</v>
      </c>
      <c r="C14" s="13">
        <v>0</v>
      </c>
      <c r="D14" s="14">
        <v>1</v>
      </c>
      <c r="E14" s="13">
        <v>2</v>
      </c>
      <c r="F14" s="15">
        <v>3</v>
      </c>
      <c r="G14" s="13">
        <v>4</v>
      </c>
    </row>
    <row r="15" spans="1:7" x14ac:dyDescent="0.25">
      <c r="B15" s="10" t="s">
        <v>24</v>
      </c>
      <c r="C15" s="55">
        <f>-C6</f>
        <v>-1500000</v>
      </c>
      <c r="D15" s="40"/>
      <c r="E15" s="56"/>
      <c r="F15" s="40"/>
      <c r="G15" s="40"/>
    </row>
    <row r="16" spans="1:7" x14ac:dyDescent="0.25">
      <c r="B16" s="10" t="str">
        <f>B7</f>
        <v>Kostnadsreduksjoner</v>
      </c>
      <c r="C16" s="51"/>
      <c r="D16" s="43">
        <f>$C$7</f>
        <v>85000</v>
      </c>
      <c r="E16" s="41">
        <f>$C$7</f>
        <v>85000</v>
      </c>
      <c r="F16" s="43">
        <f>$C$7</f>
        <v>85000</v>
      </c>
      <c r="G16" s="43">
        <f>$C$7</f>
        <v>85000</v>
      </c>
    </row>
    <row r="17" spans="1:7" x14ac:dyDescent="0.25">
      <c r="B17" s="10" t="str">
        <f>B8</f>
        <v>Innsparing årsverk</v>
      </c>
      <c r="C17" s="51"/>
      <c r="D17" s="43">
        <f>($C$8)</f>
        <v>420000</v>
      </c>
      <c r="E17" s="41">
        <f>($C$8)</f>
        <v>420000</v>
      </c>
      <c r="F17" s="43">
        <f>($C$8)</f>
        <v>420000</v>
      </c>
      <c r="G17" s="43">
        <f>($C$8)</f>
        <v>420000</v>
      </c>
    </row>
    <row r="18" spans="1:7" x14ac:dyDescent="0.25">
      <c r="B18" s="10" t="str">
        <f>B9</f>
        <v>Spart miljøavgift</v>
      </c>
      <c r="C18" s="51"/>
      <c r="D18" s="44">
        <f>$C$9</f>
        <v>95000</v>
      </c>
      <c r="E18" s="41">
        <f>$C$9</f>
        <v>95000</v>
      </c>
      <c r="F18" s="44">
        <f>$C$9</f>
        <v>95000</v>
      </c>
      <c r="G18" s="44">
        <f>$C$9</f>
        <v>95000</v>
      </c>
    </row>
    <row r="19" spans="1:7" x14ac:dyDescent="0.25">
      <c r="B19" s="12" t="s">
        <v>27</v>
      </c>
      <c r="C19" s="45">
        <f>SUM(C15:C18)</f>
        <v>-1500000</v>
      </c>
      <c r="D19" s="45">
        <f>SUM(D15:D18)</f>
        <v>600000</v>
      </c>
      <c r="E19" s="45">
        <f>SUM(E15:E18)</f>
        <v>600000</v>
      </c>
      <c r="F19" s="45">
        <f>SUM(F15:F18)</f>
        <v>600000</v>
      </c>
      <c r="G19" s="45">
        <f>SUM(G15:G18)</f>
        <v>600000</v>
      </c>
    </row>
    <row r="21" spans="1:7" x14ac:dyDescent="0.25">
      <c r="B21" t="s">
        <v>30</v>
      </c>
    </row>
    <row r="23" spans="1:7" x14ac:dyDescent="0.25">
      <c r="B23" t="s">
        <v>32</v>
      </c>
      <c r="C23" s="25">
        <f>C19</f>
        <v>-1500000</v>
      </c>
    </row>
    <row r="24" spans="1:7" x14ac:dyDescent="0.25">
      <c r="B24" t="s">
        <v>33</v>
      </c>
      <c r="C24" s="2">
        <f>NPV(C10,D19:G19)</f>
        <v>1822409.6079758431</v>
      </c>
    </row>
    <row r="25" spans="1:7" ht="15.75" thickBot="1" x14ac:dyDescent="0.3">
      <c r="B25" s="26" t="s">
        <v>34</v>
      </c>
      <c r="C25" s="34">
        <f>C23+C24</f>
        <v>322409.60797584313</v>
      </c>
    </row>
    <row r="26" spans="1:7" ht="15.75" thickTop="1" x14ac:dyDescent="0.25"/>
    <row r="27" spans="1:7" x14ac:dyDescent="0.25">
      <c r="B27" t="s">
        <v>54</v>
      </c>
      <c r="C27" s="18">
        <f>IRR(C19:G19)</f>
        <v>0.2186226960983424</v>
      </c>
    </row>
    <row r="29" spans="1:7" x14ac:dyDescent="0.25">
      <c r="B29" t="s">
        <v>78</v>
      </c>
    </row>
    <row r="32" spans="1:7" x14ac:dyDescent="0.25">
      <c r="A32" s="54" t="s">
        <v>80</v>
      </c>
    </row>
    <row r="34" spans="2:7" x14ac:dyDescent="0.25">
      <c r="B34" s="28" t="s">
        <v>42</v>
      </c>
    </row>
    <row r="35" spans="2:7" x14ac:dyDescent="0.25">
      <c r="B35" t="s">
        <v>24</v>
      </c>
      <c r="C35" s="39">
        <v>750000</v>
      </c>
    </row>
    <row r="36" spans="2:7" x14ac:dyDescent="0.25">
      <c r="B36" t="s">
        <v>75</v>
      </c>
      <c r="C36" s="39">
        <v>280000</v>
      </c>
    </row>
    <row r="37" spans="2:7" x14ac:dyDescent="0.25">
      <c r="B37" t="s">
        <v>76</v>
      </c>
      <c r="C37" s="39">
        <v>95000</v>
      </c>
    </row>
    <row r="38" spans="2:7" x14ac:dyDescent="0.25">
      <c r="B38" t="s">
        <v>49</v>
      </c>
      <c r="C38" s="18">
        <v>0.12</v>
      </c>
    </row>
    <row r="40" spans="2:7" x14ac:dyDescent="0.25">
      <c r="B40" s="28" t="s">
        <v>53</v>
      </c>
    </row>
    <row r="42" spans="2:7" x14ac:dyDescent="0.25">
      <c r="B42" s="12" t="s">
        <v>23</v>
      </c>
      <c r="C42" s="13">
        <v>0</v>
      </c>
      <c r="D42" s="14">
        <v>1</v>
      </c>
      <c r="E42" s="13">
        <v>2</v>
      </c>
      <c r="F42" s="15">
        <v>3</v>
      </c>
      <c r="G42" s="13">
        <v>4</v>
      </c>
    </row>
    <row r="43" spans="2:7" x14ac:dyDescent="0.25">
      <c r="B43" s="10" t="s">
        <v>24</v>
      </c>
      <c r="C43" s="55">
        <f>-C35</f>
        <v>-750000</v>
      </c>
      <c r="D43" s="40"/>
      <c r="E43" s="56"/>
      <c r="F43" s="40"/>
      <c r="G43" s="40"/>
    </row>
    <row r="44" spans="2:7" x14ac:dyDescent="0.25">
      <c r="B44" s="10" t="str">
        <f>B36</f>
        <v>Innsparing årsverk</v>
      </c>
      <c r="C44" s="51"/>
      <c r="D44" s="43">
        <f>$C$36</f>
        <v>280000</v>
      </c>
      <c r="E44" s="43">
        <f t="shared" ref="E44:G44" si="0">$C$36</f>
        <v>280000</v>
      </c>
      <c r="F44" s="43">
        <f t="shared" si="0"/>
        <v>280000</v>
      </c>
      <c r="G44" s="43">
        <f t="shared" si="0"/>
        <v>280000</v>
      </c>
    </row>
    <row r="45" spans="2:7" x14ac:dyDescent="0.25">
      <c r="B45" s="10" t="str">
        <f>B37</f>
        <v>Spart miljøavgift</v>
      </c>
      <c r="C45" s="51"/>
      <c r="D45" s="44">
        <f>$C$9</f>
        <v>95000</v>
      </c>
      <c r="E45" s="41">
        <f>$C$9</f>
        <v>95000</v>
      </c>
      <c r="F45" s="44">
        <f>$C$9</f>
        <v>95000</v>
      </c>
      <c r="G45" s="44">
        <f>$C$9</f>
        <v>95000</v>
      </c>
    </row>
    <row r="46" spans="2:7" x14ac:dyDescent="0.25">
      <c r="B46" s="12" t="s">
        <v>27</v>
      </c>
      <c r="C46" s="45">
        <f>SUM(C43:C45)</f>
        <v>-750000</v>
      </c>
      <c r="D46" s="45">
        <f>SUM(D43:D45)</f>
        <v>375000</v>
      </c>
      <c r="E46" s="45">
        <f>SUM(E43:E45)</f>
        <v>375000</v>
      </c>
      <c r="F46" s="45">
        <f>SUM(F43:F45)</f>
        <v>375000</v>
      </c>
      <c r="G46" s="45">
        <f>SUM(G43:G45)</f>
        <v>375000</v>
      </c>
    </row>
    <row r="48" spans="2:7" x14ac:dyDescent="0.25">
      <c r="B48" t="s">
        <v>30</v>
      </c>
    </row>
    <row r="50" spans="1:3" x14ac:dyDescent="0.25">
      <c r="B50" t="s">
        <v>32</v>
      </c>
      <c r="C50" s="25">
        <f>C46</f>
        <v>-750000</v>
      </c>
    </row>
    <row r="51" spans="1:3" x14ac:dyDescent="0.25">
      <c r="B51" t="s">
        <v>33</v>
      </c>
      <c r="C51" s="2">
        <f>NPV(C38,D46:G46)</f>
        <v>1139006.0049849018</v>
      </c>
    </row>
    <row r="52" spans="1:3" ht="15.75" thickBot="1" x14ac:dyDescent="0.3">
      <c r="B52" s="26" t="s">
        <v>34</v>
      </c>
      <c r="C52" s="34">
        <f>C50+C51</f>
        <v>389006.00498490175</v>
      </c>
    </row>
    <row r="53" spans="1:3" ht="15.75" thickTop="1" x14ac:dyDescent="0.25"/>
    <row r="54" spans="1:3" x14ac:dyDescent="0.25">
      <c r="B54" t="s">
        <v>54</v>
      </c>
      <c r="C54" s="18">
        <f>IRR(C46:G46)</f>
        <v>0.34903445656115628</v>
      </c>
    </row>
    <row r="56" spans="1:3" x14ac:dyDescent="0.25">
      <c r="B56" t="s">
        <v>78</v>
      </c>
    </row>
    <row r="59" spans="1:3" x14ac:dyDescent="0.25">
      <c r="A59" s="28" t="s">
        <v>81</v>
      </c>
    </row>
    <row r="60" spans="1:3" x14ac:dyDescent="0.25">
      <c r="B60" t="s">
        <v>82</v>
      </c>
    </row>
    <row r="61" spans="1:3" x14ac:dyDescent="0.25">
      <c r="B61" t="s">
        <v>84</v>
      </c>
    </row>
    <row r="62" spans="1:3" x14ac:dyDescent="0.25">
      <c r="B62" t="s">
        <v>83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FFA32-2D12-4748-8A3E-5FEF60D138E3}">
  <dimension ref="A1:H45"/>
  <sheetViews>
    <sheetView zoomScale="140" zoomScaleNormal="140" workbookViewId="0">
      <selection activeCell="A2" sqref="A2:XFD3"/>
    </sheetView>
  </sheetViews>
  <sheetFormatPr baseColWidth="10" defaultRowHeight="15" x14ac:dyDescent="0.25"/>
  <cols>
    <col min="1" max="1" width="3" customWidth="1"/>
    <col min="2" max="2" width="21.85546875" customWidth="1"/>
    <col min="3" max="3" width="12.7109375" bestFit="1" customWidth="1"/>
    <col min="4" max="7" width="11.28515625" bestFit="1" customWidth="1"/>
  </cols>
  <sheetData>
    <row r="1" spans="1:8" x14ac:dyDescent="0.25">
      <c r="A1" s="28" t="s">
        <v>37</v>
      </c>
    </row>
    <row r="3" spans="1:8" x14ac:dyDescent="0.25">
      <c r="B3" s="28" t="s">
        <v>42</v>
      </c>
    </row>
    <row r="4" spans="1:8" x14ac:dyDescent="0.25">
      <c r="B4" t="s">
        <v>24</v>
      </c>
      <c r="C4" s="39">
        <v>440000</v>
      </c>
    </row>
    <row r="5" spans="1:8" x14ac:dyDescent="0.25">
      <c r="B5" t="s">
        <v>85</v>
      </c>
      <c r="C5" s="39">
        <v>55</v>
      </c>
    </row>
    <row r="6" spans="1:8" x14ac:dyDescent="0.25">
      <c r="B6" t="s">
        <v>86</v>
      </c>
      <c r="C6" s="39">
        <v>35</v>
      </c>
    </row>
    <row r="7" spans="1:8" x14ac:dyDescent="0.25">
      <c r="B7" t="s">
        <v>87</v>
      </c>
      <c r="C7" s="39">
        <v>8800</v>
      </c>
    </row>
    <row r="8" spans="1:8" x14ac:dyDescent="0.25">
      <c r="B8" t="s">
        <v>88</v>
      </c>
      <c r="C8" s="39">
        <v>60000</v>
      </c>
    </row>
    <row r="9" spans="1:8" x14ac:dyDescent="0.25">
      <c r="B9" t="s">
        <v>49</v>
      </c>
      <c r="C9" s="18">
        <v>0.2</v>
      </c>
    </row>
    <row r="11" spans="1:8" x14ac:dyDescent="0.25">
      <c r="B11" s="28" t="s">
        <v>53</v>
      </c>
    </row>
    <row r="13" spans="1:8" x14ac:dyDescent="0.25">
      <c r="B13" s="12" t="s">
        <v>23</v>
      </c>
      <c r="C13" s="13">
        <v>0</v>
      </c>
      <c r="D13" s="14">
        <v>1</v>
      </c>
      <c r="E13" s="13">
        <v>2</v>
      </c>
      <c r="F13" s="15">
        <v>3</v>
      </c>
      <c r="G13" s="13">
        <v>4</v>
      </c>
      <c r="H13" s="13">
        <v>5</v>
      </c>
    </row>
    <row r="14" spans="1:8" x14ac:dyDescent="0.25">
      <c r="B14" s="10" t="s">
        <v>24</v>
      </c>
      <c r="C14" s="55">
        <f>-C4</f>
        <v>-440000</v>
      </c>
      <c r="D14" s="40"/>
      <c r="E14" s="56"/>
      <c r="F14" s="40"/>
      <c r="G14" s="40"/>
      <c r="H14" s="40"/>
    </row>
    <row r="15" spans="1:8" x14ac:dyDescent="0.25">
      <c r="B15" s="10" t="s">
        <v>89</v>
      </c>
      <c r="C15" s="51"/>
      <c r="D15" s="43">
        <f>$C$5*$C$7</f>
        <v>484000</v>
      </c>
      <c r="E15" s="43">
        <f t="shared" ref="E15:H15" si="0">$C$5*$C$7</f>
        <v>484000</v>
      </c>
      <c r="F15" s="43">
        <f t="shared" si="0"/>
        <v>484000</v>
      </c>
      <c r="G15" s="43">
        <f t="shared" si="0"/>
        <v>484000</v>
      </c>
      <c r="H15" s="43">
        <f t="shared" si="0"/>
        <v>484000</v>
      </c>
    </row>
    <row r="16" spans="1:8" x14ac:dyDescent="0.25">
      <c r="B16" s="10" t="s">
        <v>90</v>
      </c>
      <c r="C16" s="51"/>
      <c r="D16" s="43">
        <f>-$C$6*$C$7</f>
        <v>-308000</v>
      </c>
      <c r="E16" s="43">
        <f t="shared" ref="E16:H16" si="1">-$C$6*$C$7</f>
        <v>-308000</v>
      </c>
      <c r="F16" s="43">
        <f t="shared" si="1"/>
        <v>-308000</v>
      </c>
      <c r="G16" s="43">
        <f t="shared" si="1"/>
        <v>-308000</v>
      </c>
      <c r="H16" s="43">
        <f t="shared" si="1"/>
        <v>-308000</v>
      </c>
    </row>
    <row r="17" spans="1:8" x14ac:dyDescent="0.25">
      <c r="B17" s="10" t="s">
        <v>88</v>
      </c>
      <c r="C17" s="51">
        <f>-C8</f>
        <v>-60000</v>
      </c>
      <c r="D17" s="43"/>
      <c r="E17" s="41"/>
      <c r="F17" s="43"/>
      <c r="G17" s="43"/>
      <c r="H17" s="43"/>
    </row>
    <row r="18" spans="1:8" x14ac:dyDescent="0.25">
      <c r="B18" s="12" t="s">
        <v>27</v>
      </c>
      <c r="C18" s="45">
        <f t="shared" ref="C18:H18" si="2">SUM(C14:C17)</f>
        <v>-500000</v>
      </c>
      <c r="D18" s="45">
        <f t="shared" si="2"/>
        <v>176000</v>
      </c>
      <c r="E18" s="45">
        <f t="shared" si="2"/>
        <v>176000</v>
      </c>
      <c r="F18" s="45">
        <f t="shared" si="2"/>
        <v>176000</v>
      </c>
      <c r="G18" s="45">
        <f t="shared" si="2"/>
        <v>176000</v>
      </c>
      <c r="H18" s="45">
        <f t="shared" si="2"/>
        <v>176000</v>
      </c>
    </row>
    <row r="20" spans="1:8" x14ac:dyDescent="0.25">
      <c r="A20" t="s">
        <v>9</v>
      </c>
      <c r="B20" t="s">
        <v>30</v>
      </c>
    </row>
    <row r="22" spans="1:8" x14ac:dyDescent="0.25">
      <c r="B22" t="s">
        <v>32</v>
      </c>
      <c r="C22" s="25">
        <f>C18</f>
        <v>-500000</v>
      </c>
    </row>
    <row r="23" spans="1:8" x14ac:dyDescent="0.25">
      <c r="B23" t="s">
        <v>33</v>
      </c>
      <c r="C23" s="2">
        <f>NPV(C9,D18:H18)</f>
        <v>526347.73662551446</v>
      </c>
    </row>
    <row r="24" spans="1:8" ht="15.75" thickBot="1" x14ac:dyDescent="0.3">
      <c r="B24" s="26" t="s">
        <v>34</v>
      </c>
      <c r="C24" s="34">
        <f>C22+C23</f>
        <v>26347.736625514459</v>
      </c>
    </row>
    <row r="25" spans="1:8" ht="15.75" thickTop="1" x14ac:dyDescent="0.25"/>
    <row r="26" spans="1:8" x14ac:dyDescent="0.25">
      <c r="B26" t="s">
        <v>54</v>
      </c>
      <c r="C26" s="50">
        <f>IRR(C18:H18)</f>
        <v>0.22373649508294147</v>
      </c>
    </row>
    <row r="28" spans="1:8" x14ac:dyDescent="0.25">
      <c r="B28" t="s">
        <v>78</v>
      </c>
    </row>
    <row r="31" spans="1:8" x14ac:dyDescent="0.25">
      <c r="A31" s="54" t="s">
        <v>91</v>
      </c>
    </row>
    <row r="33" spans="2:6" x14ac:dyDescent="0.25">
      <c r="B33" t="s">
        <v>92</v>
      </c>
    </row>
    <row r="34" spans="2:6" x14ac:dyDescent="0.25">
      <c r="B34" t="s">
        <v>93</v>
      </c>
    </row>
    <row r="36" spans="2:6" x14ac:dyDescent="0.25">
      <c r="B36" s="12" t="s">
        <v>94</v>
      </c>
      <c r="C36" s="12" t="s">
        <v>95</v>
      </c>
      <c r="D36" s="12" t="s">
        <v>96</v>
      </c>
      <c r="E36" s="16" t="s">
        <v>97</v>
      </c>
      <c r="F36" s="12" t="s">
        <v>98</v>
      </c>
    </row>
    <row r="37" spans="2:6" x14ac:dyDescent="0.25">
      <c r="B37" s="16" t="str">
        <f t="shared" ref="B37:C39" si="3">B5</f>
        <v>Pris per enhet</v>
      </c>
      <c r="C37" s="58">
        <f t="shared" si="3"/>
        <v>55</v>
      </c>
      <c r="D37" s="62">
        <v>54</v>
      </c>
      <c r="E37" s="58">
        <f>D37-C37</f>
        <v>-1</v>
      </c>
      <c r="F37" s="65">
        <f>E37/C37</f>
        <v>-1.8181818181818181E-2</v>
      </c>
    </row>
    <row r="38" spans="2:6" x14ac:dyDescent="0.25">
      <c r="B38" s="57" t="str">
        <f t="shared" si="3"/>
        <v>Variablekostnader per enh</v>
      </c>
      <c r="C38" s="59">
        <f t="shared" si="3"/>
        <v>35</v>
      </c>
      <c r="D38" s="63">
        <v>36</v>
      </c>
      <c r="E38" s="59">
        <f t="shared" ref="E38:E41" si="4">D38-C38</f>
        <v>1</v>
      </c>
      <c r="F38" s="66">
        <f t="shared" ref="F38:F41" si="5">E38/C38</f>
        <v>2.8571428571428571E-2</v>
      </c>
    </row>
    <row r="39" spans="2:6" x14ac:dyDescent="0.25">
      <c r="B39" s="57" t="str">
        <f t="shared" si="3"/>
        <v>Mengde</v>
      </c>
      <c r="C39" s="59">
        <f t="shared" si="3"/>
        <v>8800</v>
      </c>
      <c r="D39" s="63">
        <v>8359</v>
      </c>
      <c r="E39" s="59">
        <f t="shared" si="4"/>
        <v>-441</v>
      </c>
      <c r="F39" s="66">
        <f t="shared" si="5"/>
        <v>-5.011363636363636E-2</v>
      </c>
    </row>
    <row r="40" spans="2:6" x14ac:dyDescent="0.25">
      <c r="B40" s="57" t="str">
        <f>B4</f>
        <v>Investering</v>
      </c>
      <c r="C40" s="59">
        <f>-C18</f>
        <v>500000</v>
      </c>
      <c r="D40" s="63">
        <v>526348</v>
      </c>
      <c r="E40" s="59">
        <f t="shared" si="4"/>
        <v>26348</v>
      </c>
      <c r="F40" s="66">
        <f t="shared" si="5"/>
        <v>5.2696E-2</v>
      </c>
    </row>
    <row r="41" spans="2:6" x14ac:dyDescent="0.25">
      <c r="B41" s="17" t="s">
        <v>99</v>
      </c>
      <c r="C41" s="60">
        <f>C9</f>
        <v>0.2</v>
      </c>
      <c r="D41" s="64">
        <f>C26</f>
        <v>0.22373649508294147</v>
      </c>
      <c r="E41" s="61">
        <f t="shared" si="4"/>
        <v>2.3736495082941456E-2</v>
      </c>
      <c r="F41" s="67">
        <f t="shared" si="5"/>
        <v>0.11868247541470728</v>
      </c>
    </row>
    <row r="42" spans="2:6" x14ac:dyDescent="0.25">
      <c r="C42" s="39"/>
      <c r="D42" s="39"/>
      <c r="E42" s="39"/>
    </row>
    <row r="43" spans="2:6" x14ac:dyDescent="0.25">
      <c r="B43" t="s">
        <v>100</v>
      </c>
    </row>
    <row r="44" spans="2:6" x14ac:dyDescent="0.25">
      <c r="B44" t="s">
        <v>101</v>
      </c>
    </row>
    <row r="45" spans="2:6" x14ac:dyDescent="0.25">
      <c r="B45" t="s">
        <v>102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3257-C72B-4FD2-9F71-762A259D73E6}">
  <dimension ref="A1:G57"/>
  <sheetViews>
    <sheetView zoomScale="140" zoomScaleNormal="140" workbookViewId="0">
      <selection activeCell="B58" sqref="B58"/>
    </sheetView>
  </sheetViews>
  <sheetFormatPr baseColWidth="10" defaultRowHeight="15" x14ac:dyDescent="0.25"/>
  <cols>
    <col min="1" max="1" width="3" customWidth="1"/>
    <col min="2" max="2" width="25.85546875" customWidth="1"/>
    <col min="3" max="3" width="12.7109375" bestFit="1" customWidth="1"/>
    <col min="4" max="7" width="11.28515625" bestFit="1" customWidth="1"/>
  </cols>
  <sheetData>
    <row r="1" spans="1:7" x14ac:dyDescent="0.25">
      <c r="A1" s="28" t="s">
        <v>37</v>
      </c>
    </row>
    <row r="3" spans="1:7" x14ac:dyDescent="0.25">
      <c r="B3" s="28" t="s">
        <v>42</v>
      </c>
    </row>
    <row r="4" spans="1:7" x14ac:dyDescent="0.25">
      <c r="B4" t="s">
        <v>24</v>
      </c>
      <c r="C4" s="39">
        <v>1250000</v>
      </c>
    </row>
    <row r="5" spans="1:7" x14ac:dyDescent="0.25">
      <c r="B5" t="s">
        <v>85</v>
      </c>
      <c r="C5" s="39">
        <v>135</v>
      </c>
    </row>
    <row r="6" spans="1:7" x14ac:dyDescent="0.25">
      <c r="B6" t="s">
        <v>86</v>
      </c>
      <c r="C6" s="39">
        <v>93</v>
      </c>
    </row>
    <row r="7" spans="1:7" x14ac:dyDescent="0.25">
      <c r="B7" t="s">
        <v>87</v>
      </c>
      <c r="C7" s="39">
        <v>12000</v>
      </c>
    </row>
    <row r="8" spans="1:7" x14ac:dyDescent="0.25">
      <c r="B8" t="s">
        <v>103</v>
      </c>
      <c r="C8" s="39">
        <v>100000</v>
      </c>
    </row>
    <row r="9" spans="1:7" x14ac:dyDescent="0.25">
      <c r="B9" t="s">
        <v>104</v>
      </c>
      <c r="C9" s="39">
        <v>0</v>
      </c>
    </row>
    <row r="10" spans="1:7" x14ac:dyDescent="0.25">
      <c r="B10" t="s">
        <v>105</v>
      </c>
      <c r="C10" s="39">
        <v>0</v>
      </c>
    </row>
    <row r="11" spans="1:7" x14ac:dyDescent="0.25">
      <c r="B11" t="s">
        <v>49</v>
      </c>
      <c r="C11" s="18">
        <v>0.15</v>
      </c>
    </row>
    <row r="13" spans="1:7" x14ac:dyDescent="0.25">
      <c r="B13" s="28" t="s">
        <v>53</v>
      </c>
    </row>
    <row r="15" spans="1:7" x14ac:dyDescent="0.25">
      <c r="B15" s="12" t="s">
        <v>23</v>
      </c>
      <c r="C15" s="13">
        <v>0</v>
      </c>
      <c r="D15" s="14">
        <v>1</v>
      </c>
      <c r="E15" s="13">
        <v>2</v>
      </c>
      <c r="F15" s="15">
        <v>3</v>
      </c>
      <c r="G15" s="13">
        <v>4</v>
      </c>
    </row>
    <row r="16" spans="1:7" x14ac:dyDescent="0.25">
      <c r="B16" s="10" t="s">
        <v>24</v>
      </c>
      <c r="C16" s="55">
        <f>-C4</f>
        <v>-1250000</v>
      </c>
      <c r="D16" s="40"/>
      <c r="E16" s="56"/>
      <c r="F16" s="40"/>
      <c r="G16" s="40"/>
    </row>
    <row r="17" spans="1:7" x14ac:dyDescent="0.25">
      <c r="B17" s="10" t="s">
        <v>89</v>
      </c>
      <c r="C17" s="51"/>
      <c r="D17" s="43">
        <f>$C$5*$C$7</f>
        <v>1620000</v>
      </c>
      <c r="E17" s="43">
        <f t="shared" ref="E17:G17" si="0">$C$5*$C$7</f>
        <v>1620000</v>
      </c>
      <c r="F17" s="43">
        <f t="shared" si="0"/>
        <v>1620000</v>
      </c>
      <c r="G17" s="43">
        <f t="shared" si="0"/>
        <v>1620000</v>
      </c>
    </row>
    <row r="18" spans="1:7" x14ac:dyDescent="0.25">
      <c r="B18" s="10" t="s">
        <v>90</v>
      </c>
      <c r="C18" s="51"/>
      <c r="D18" s="43">
        <f>-$C$6*$C$7</f>
        <v>-1116000</v>
      </c>
      <c r="E18" s="43">
        <f t="shared" ref="E18:G18" si="1">-$C$6*$C$7</f>
        <v>-1116000</v>
      </c>
      <c r="F18" s="43">
        <f t="shared" si="1"/>
        <v>-1116000</v>
      </c>
      <c r="G18" s="43">
        <f t="shared" si="1"/>
        <v>-1116000</v>
      </c>
    </row>
    <row r="19" spans="1:7" x14ac:dyDescent="0.25">
      <c r="B19" s="10" t="str">
        <f>B8</f>
        <v>Utviklingskost v/start</v>
      </c>
      <c r="C19" s="51">
        <f>-C8</f>
        <v>-100000</v>
      </c>
      <c r="D19" s="43"/>
      <c r="E19" s="41"/>
      <c r="F19" s="43"/>
      <c r="G19" s="43"/>
    </row>
    <row r="20" spans="1:7" x14ac:dyDescent="0.25">
      <c r="B20" s="10" t="str">
        <f>B9</f>
        <v>Økte betalbare faste kostnader</v>
      </c>
      <c r="C20" s="51"/>
      <c r="D20" s="43">
        <f>-$C$9</f>
        <v>0</v>
      </c>
      <c r="E20" s="43">
        <f t="shared" ref="E20:G20" si="2">-$C$9</f>
        <v>0</v>
      </c>
      <c r="F20" s="43">
        <f t="shared" si="2"/>
        <v>0</v>
      </c>
      <c r="G20" s="43">
        <f t="shared" si="2"/>
        <v>0</v>
      </c>
    </row>
    <row r="21" spans="1:7" x14ac:dyDescent="0.25">
      <c r="B21" s="10" t="str">
        <f>B10</f>
        <v>Økte omløpsmidler</v>
      </c>
      <c r="C21" s="51">
        <f>-C10</f>
        <v>0</v>
      </c>
      <c r="D21" s="43"/>
      <c r="E21" s="41"/>
      <c r="F21" s="43"/>
      <c r="G21" s="43">
        <f>C10</f>
        <v>0</v>
      </c>
    </row>
    <row r="22" spans="1:7" x14ac:dyDescent="0.25">
      <c r="B22" s="12" t="s">
        <v>27</v>
      </c>
      <c r="C22" s="45">
        <f>SUM(C16:C21)</f>
        <v>-1350000</v>
      </c>
      <c r="D22" s="45">
        <f>SUM(D16:D21)</f>
        <v>504000</v>
      </c>
      <c r="E22" s="45">
        <f t="shared" ref="E22:G22" si="3">SUM(E16:E21)</f>
        <v>504000</v>
      </c>
      <c r="F22" s="45">
        <f t="shared" si="3"/>
        <v>504000</v>
      </c>
      <c r="G22" s="45">
        <f t="shared" si="3"/>
        <v>504000</v>
      </c>
    </row>
    <row r="24" spans="1:7" x14ac:dyDescent="0.25">
      <c r="A24" t="s">
        <v>9</v>
      </c>
      <c r="B24" t="s">
        <v>106</v>
      </c>
      <c r="C24" s="69">
        <f>-C22/D22</f>
        <v>2.6785714285714284</v>
      </c>
      <c r="D24" t="s">
        <v>107</v>
      </c>
    </row>
    <row r="26" spans="1:7" x14ac:dyDescent="0.25">
      <c r="B26" t="s">
        <v>30</v>
      </c>
    </row>
    <row r="28" spans="1:7" x14ac:dyDescent="0.25">
      <c r="B28" t="s">
        <v>32</v>
      </c>
      <c r="C28" s="25">
        <f>C22</f>
        <v>-1350000</v>
      </c>
    </row>
    <row r="29" spans="1:7" x14ac:dyDescent="0.25">
      <c r="B29" t="s">
        <v>33</v>
      </c>
      <c r="C29" s="2">
        <f>NPV(C11,D22:G22)</f>
        <v>1438909.094807409</v>
      </c>
    </row>
    <row r="30" spans="1:7" ht="15.75" thickBot="1" x14ac:dyDescent="0.3">
      <c r="B30" s="26" t="s">
        <v>34</v>
      </c>
      <c r="C30" s="34">
        <f>C28+C29</f>
        <v>88909.094807408983</v>
      </c>
    </row>
    <row r="31" spans="1:7" ht="15.75" thickTop="1" x14ac:dyDescent="0.25"/>
    <row r="32" spans="1:7" x14ac:dyDescent="0.25">
      <c r="B32" t="s">
        <v>54</v>
      </c>
      <c r="C32" s="50">
        <f>IRR(C22:G22)</f>
        <v>0.18220434234368343</v>
      </c>
    </row>
    <row r="34" spans="1:6" x14ac:dyDescent="0.25">
      <c r="B34" t="s">
        <v>78</v>
      </c>
    </row>
    <row r="37" spans="1:6" x14ac:dyDescent="0.25">
      <c r="A37" s="54" t="s">
        <v>91</v>
      </c>
    </row>
    <row r="39" spans="1:6" x14ac:dyDescent="0.25">
      <c r="A39" t="s">
        <v>10</v>
      </c>
      <c r="B39" t="s">
        <v>108</v>
      </c>
    </row>
    <row r="41" spans="1:6" x14ac:dyDescent="0.25">
      <c r="B41" t="s">
        <v>92</v>
      </c>
    </row>
    <row r="42" spans="1:6" x14ac:dyDescent="0.25">
      <c r="B42" t="s">
        <v>93</v>
      </c>
    </row>
    <row r="44" spans="1:6" x14ac:dyDescent="0.25">
      <c r="B44" s="12" t="s">
        <v>94</v>
      </c>
      <c r="C44" s="12" t="s">
        <v>95</v>
      </c>
      <c r="D44" s="12" t="s">
        <v>96</v>
      </c>
      <c r="E44" s="16" t="s">
        <v>97</v>
      </c>
      <c r="F44" s="12" t="s">
        <v>98</v>
      </c>
    </row>
    <row r="45" spans="1:6" x14ac:dyDescent="0.25">
      <c r="B45" s="16" t="str">
        <f t="shared" ref="B45:C47" si="4">B5</f>
        <v>Pris per enhet</v>
      </c>
      <c r="C45" s="58">
        <f t="shared" si="4"/>
        <v>135</v>
      </c>
      <c r="D45" s="70">
        <v>132.4</v>
      </c>
      <c r="E45" s="72">
        <f>D45-C45</f>
        <v>-2.5999999999999943</v>
      </c>
      <c r="F45" s="65">
        <f>E45/C45</f>
        <v>-1.9259259259259216E-2</v>
      </c>
    </row>
    <row r="46" spans="1:6" x14ac:dyDescent="0.25">
      <c r="B46" s="57" t="str">
        <f t="shared" si="4"/>
        <v>Variablekostnader per enh</v>
      </c>
      <c r="C46" s="59">
        <f t="shared" si="4"/>
        <v>93</v>
      </c>
      <c r="D46" s="71">
        <v>95.6</v>
      </c>
      <c r="E46" s="73">
        <f t="shared" ref="E46:E48" si="5">D46-C46</f>
        <v>2.5999999999999943</v>
      </c>
      <c r="F46" s="66">
        <f t="shared" ref="F46:F47" si="6">E46/C46</f>
        <v>2.7956989247311766E-2</v>
      </c>
    </row>
    <row r="47" spans="1:6" x14ac:dyDescent="0.25">
      <c r="B47" s="57" t="str">
        <f t="shared" si="4"/>
        <v>Mengde</v>
      </c>
      <c r="C47" s="59">
        <f t="shared" si="4"/>
        <v>12000</v>
      </c>
      <c r="D47" s="71">
        <v>11259</v>
      </c>
      <c r="E47" s="73">
        <f t="shared" si="5"/>
        <v>-741</v>
      </c>
      <c r="F47" s="66">
        <f t="shared" si="6"/>
        <v>-6.1749999999999999E-2</v>
      </c>
    </row>
    <row r="48" spans="1:6" x14ac:dyDescent="0.25">
      <c r="B48" s="17" t="s">
        <v>99</v>
      </c>
      <c r="C48" s="60">
        <f>C11</f>
        <v>0.15</v>
      </c>
      <c r="D48" s="64">
        <f>C32</f>
        <v>0.18220434234368343</v>
      </c>
      <c r="E48" s="61">
        <f t="shared" si="5"/>
        <v>3.220434234368344E-2</v>
      </c>
      <c r="F48" s="67">
        <f>E48/C48</f>
        <v>0.21469561562455627</v>
      </c>
    </row>
    <row r="49" spans="1:6" x14ac:dyDescent="0.25">
      <c r="C49" s="39"/>
      <c r="D49" s="39"/>
      <c r="E49" s="39"/>
    </row>
    <row r="50" spans="1:6" x14ac:dyDescent="0.25">
      <c r="A50" t="s">
        <v>21</v>
      </c>
      <c r="B50" s="12" t="s">
        <v>94</v>
      </c>
      <c r="C50" s="12" t="s">
        <v>95</v>
      </c>
      <c r="D50" s="12" t="s">
        <v>96</v>
      </c>
      <c r="E50" s="11"/>
      <c r="F50" s="11"/>
    </row>
    <row r="51" spans="1:6" x14ac:dyDescent="0.25">
      <c r="B51" s="16" t="str">
        <f>B9</f>
        <v>Økte betalbare faste kostnader</v>
      </c>
      <c r="C51" s="58">
        <f>C11</f>
        <v>0.15</v>
      </c>
      <c r="D51" s="72">
        <v>31142</v>
      </c>
      <c r="E51" s="76"/>
      <c r="F51" s="68"/>
    </row>
    <row r="52" spans="1:6" x14ac:dyDescent="0.25">
      <c r="B52" s="17" t="str">
        <f>B10</f>
        <v>Økte omløpsmidler</v>
      </c>
      <c r="C52" s="74">
        <f>C12</f>
        <v>0</v>
      </c>
      <c r="D52" s="75">
        <v>207612</v>
      </c>
      <c r="E52" s="76"/>
      <c r="F52" s="68"/>
    </row>
    <row r="54" spans="1:6" x14ac:dyDescent="0.25">
      <c r="B54" t="s">
        <v>109</v>
      </c>
    </row>
    <row r="56" spans="1:6" x14ac:dyDescent="0.25">
      <c r="B56" t="s">
        <v>110</v>
      </c>
    </row>
    <row r="57" spans="1:6" x14ac:dyDescent="0.25">
      <c r="B57" t="s">
        <v>111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F54DB-780A-403B-AAF5-A1594042E9FC}">
  <dimension ref="A1:K34"/>
  <sheetViews>
    <sheetView zoomScale="120" zoomScaleNormal="120" workbookViewId="0">
      <selection activeCell="C22" sqref="C22"/>
    </sheetView>
  </sheetViews>
  <sheetFormatPr baseColWidth="10" defaultRowHeight="15" x14ac:dyDescent="0.25"/>
  <cols>
    <col min="1" max="1" width="3" customWidth="1"/>
    <col min="2" max="2" width="25.85546875" customWidth="1"/>
    <col min="3" max="3" width="12.7109375" bestFit="1" customWidth="1"/>
    <col min="4" max="7" width="11.28515625" bestFit="1" customWidth="1"/>
  </cols>
  <sheetData>
    <row r="1" spans="1:4" x14ac:dyDescent="0.25">
      <c r="A1" s="28" t="s">
        <v>37</v>
      </c>
    </row>
    <row r="3" spans="1:4" x14ac:dyDescent="0.25">
      <c r="A3" t="s">
        <v>9</v>
      </c>
      <c r="B3" t="s">
        <v>115</v>
      </c>
    </row>
    <row r="4" spans="1:4" x14ac:dyDescent="0.25">
      <c r="B4" t="s">
        <v>116</v>
      </c>
    </row>
    <row r="5" spans="1:4" x14ac:dyDescent="0.25">
      <c r="B5" t="s">
        <v>117</v>
      </c>
    </row>
    <row r="6" spans="1:4" x14ac:dyDescent="0.25">
      <c r="B6" t="s">
        <v>118</v>
      </c>
    </row>
    <row r="8" spans="1:4" x14ac:dyDescent="0.25">
      <c r="B8" t="s">
        <v>119</v>
      </c>
    </row>
    <row r="10" spans="1:4" x14ac:dyDescent="0.25">
      <c r="A10" t="s">
        <v>10</v>
      </c>
      <c r="B10" s="28" t="s">
        <v>42</v>
      </c>
    </row>
    <row r="11" spans="1:4" x14ac:dyDescent="0.25">
      <c r="B11" t="s">
        <v>24</v>
      </c>
      <c r="C11" s="39">
        <v>2480000</v>
      </c>
    </row>
    <row r="12" spans="1:4" x14ac:dyDescent="0.25">
      <c r="B12" t="s">
        <v>112</v>
      </c>
      <c r="C12" s="39">
        <v>490000</v>
      </c>
    </row>
    <row r="13" spans="1:4" x14ac:dyDescent="0.25">
      <c r="B13" t="s">
        <v>113</v>
      </c>
      <c r="C13" s="39">
        <v>275000</v>
      </c>
      <c r="D13" t="s">
        <v>114</v>
      </c>
    </row>
    <row r="14" spans="1:4" x14ac:dyDescent="0.25">
      <c r="B14" t="s">
        <v>46</v>
      </c>
      <c r="C14" s="39">
        <v>3000000</v>
      </c>
    </row>
    <row r="15" spans="1:4" x14ac:dyDescent="0.25">
      <c r="B15" t="s">
        <v>49</v>
      </c>
      <c r="C15" s="18">
        <v>0.1</v>
      </c>
    </row>
    <row r="17" spans="2:11" x14ac:dyDescent="0.25">
      <c r="B17" s="28" t="s">
        <v>53</v>
      </c>
    </row>
    <row r="19" spans="2:11" x14ac:dyDescent="0.25">
      <c r="B19" s="12" t="s">
        <v>23</v>
      </c>
      <c r="C19" s="13">
        <v>0</v>
      </c>
      <c r="D19" s="14">
        <v>1</v>
      </c>
      <c r="E19" s="13">
        <v>2</v>
      </c>
      <c r="F19" s="15">
        <v>3</v>
      </c>
      <c r="G19" s="13">
        <v>4</v>
      </c>
      <c r="H19" s="13">
        <v>5</v>
      </c>
      <c r="I19" s="15">
        <v>6</v>
      </c>
      <c r="J19" s="15">
        <v>7</v>
      </c>
      <c r="K19" s="13">
        <v>8</v>
      </c>
    </row>
    <row r="20" spans="2:11" x14ac:dyDescent="0.25">
      <c r="B20" s="10" t="s">
        <v>24</v>
      </c>
      <c r="C20" s="55">
        <f>-C11</f>
        <v>-2480000</v>
      </c>
      <c r="D20" s="40"/>
      <c r="E20" s="56"/>
      <c r="F20" s="40"/>
      <c r="G20" s="40"/>
      <c r="H20" s="56"/>
      <c r="I20" s="40"/>
      <c r="J20" s="40"/>
      <c r="K20" s="40"/>
    </row>
    <row r="21" spans="2:11" x14ac:dyDescent="0.25">
      <c r="B21" s="10" t="str">
        <f>B12</f>
        <v>Leieinntekter</v>
      </c>
      <c r="C21" s="51"/>
      <c r="D21" s="43">
        <f>$C$12</f>
        <v>490000</v>
      </c>
      <c r="E21" s="43">
        <f t="shared" ref="E21:K21" si="0">$C$12</f>
        <v>490000</v>
      </c>
      <c r="F21" s="43">
        <f t="shared" si="0"/>
        <v>490000</v>
      </c>
      <c r="G21" s="43">
        <f t="shared" si="0"/>
        <v>490000</v>
      </c>
      <c r="H21" s="43">
        <f t="shared" si="0"/>
        <v>490000</v>
      </c>
      <c r="I21" s="43">
        <f t="shared" si="0"/>
        <v>490000</v>
      </c>
      <c r="J21" s="43">
        <f t="shared" si="0"/>
        <v>490000</v>
      </c>
      <c r="K21" s="43">
        <f t="shared" si="0"/>
        <v>490000</v>
      </c>
    </row>
    <row r="22" spans="2:11" x14ac:dyDescent="0.25">
      <c r="B22" s="10" t="s">
        <v>90</v>
      </c>
      <c r="C22" s="51"/>
      <c r="D22" s="43">
        <f>-$C$13</f>
        <v>-275000</v>
      </c>
      <c r="E22" s="43">
        <f t="shared" ref="E22:K22" si="1">-$C$13</f>
        <v>-275000</v>
      </c>
      <c r="F22" s="43">
        <f t="shared" si="1"/>
        <v>-275000</v>
      </c>
      <c r="G22" s="43">
        <f t="shared" si="1"/>
        <v>-275000</v>
      </c>
      <c r="H22" s="43">
        <f t="shared" si="1"/>
        <v>-275000</v>
      </c>
      <c r="I22" s="43">
        <f t="shared" si="1"/>
        <v>-275000</v>
      </c>
      <c r="J22" s="43">
        <f t="shared" si="1"/>
        <v>-275000</v>
      </c>
      <c r="K22" s="43">
        <f t="shared" si="1"/>
        <v>-275000</v>
      </c>
    </row>
    <row r="23" spans="2:11" x14ac:dyDescent="0.25">
      <c r="B23" s="10" t="str">
        <f>B14</f>
        <v>Utrangeringsverdi</v>
      </c>
      <c r="C23" s="51"/>
      <c r="D23" s="43"/>
      <c r="E23" s="43"/>
      <c r="F23" s="43"/>
      <c r="G23" s="43"/>
      <c r="H23" s="43"/>
      <c r="I23" s="43"/>
      <c r="J23" s="43"/>
      <c r="K23" s="43">
        <f>C14</f>
        <v>3000000</v>
      </c>
    </row>
    <row r="24" spans="2:11" x14ac:dyDescent="0.25">
      <c r="B24" s="12" t="s">
        <v>27</v>
      </c>
      <c r="C24" s="45">
        <f>SUM(C20:C23)</f>
        <v>-2480000</v>
      </c>
      <c r="D24" s="45">
        <f t="shared" ref="D24:K24" si="2">SUM(D20:D23)</f>
        <v>215000</v>
      </c>
      <c r="E24" s="45">
        <f t="shared" si="2"/>
        <v>215000</v>
      </c>
      <c r="F24" s="45">
        <f t="shared" si="2"/>
        <v>215000</v>
      </c>
      <c r="G24" s="45">
        <f t="shared" si="2"/>
        <v>215000</v>
      </c>
      <c r="H24" s="45">
        <f t="shared" si="2"/>
        <v>215000</v>
      </c>
      <c r="I24" s="45">
        <f t="shared" si="2"/>
        <v>215000</v>
      </c>
      <c r="J24" s="45">
        <f t="shared" si="2"/>
        <v>215000</v>
      </c>
      <c r="K24" s="45">
        <f t="shared" si="2"/>
        <v>3215000</v>
      </c>
    </row>
    <row r="26" spans="2:11" x14ac:dyDescent="0.25">
      <c r="B26" t="s">
        <v>30</v>
      </c>
    </row>
    <row r="28" spans="2:11" x14ac:dyDescent="0.25">
      <c r="B28" t="s">
        <v>32</v>
      </c>
      <c r="C28" s="25">
        <f>C24</f>
        <v>-2480000</v>
      </c>
    </row>
    <row r="29" spans="2:11" x14ac:dyDescent="0.25">
      <c r="B29" t="s">
        <v>33</v>
      </c>
      <c r="C29" s="2">
        <f>NPV(C15,D24:K24)</f>
        <v>2546531.2731782719</v>
      </c>
    </row>
    <row r="30" spans="2:11" ht="15.75" thickBot="1" x14ac:dyDescent="0.3">
      <c r="B30" s="26" t="s">
        <v>34</v>
      </c>
      <c r="C30" s="34">
        <f>C28+C29</f>
        <v>66531.273178271949</v>
      </c>
    </row>
    <row r="31" spans="2:11" ht="15.75" thickTop="1" x14ac:dyDescent="0.25"/>
    <row r="32" spans="2:11" x14ac:dyDescent="0.25">
      <c r="B32" t="s">
        <v>54</v>
      </c>
      <c r="C32" s="50">
        <f>IRR(C24:K24)</f>
        <v>0.10471694008320886</v>
      </c>
    </row>
    <row r="34" spans="2:2" x14ac:dyDescent="0.25">
      <c r="B34" t="s">
        <v>78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15616-1129-4623-82F5-F254C544D2E0}">
  <dimension ref="A1:G45"/>
  <sheetViews>
    <sheetView zoomScale="120" zoomScaleNormal="120" workbookViewId="0">
      <selection activeCell="B47" sqref="B47"/>
    </sheetView>
  </sheetViews>
  <sheetFormatPr baseColWidth="10" defaultRowHeight="15" x14ac:dyDescent="0.25"/>
  <cols>
    <col min="1" max="1" width="3" customWidth="1"/>
    <col min="2" max="2" width="25.85546875" customWidth="1"/>
    <col min="3" max="3" width="12.7109375" bestFit="1" customWidth="1"/>
    <col min="4" max="7" width="11.28515625" bestFit="1" customWidth="1"/>
  </cols>
  <sheetData>
    <row r="1" spans="1:3" x14ac:dyDescent="0.25">
      <c r="A1" s="28" t="s">
        <v>37</v>
      </c>
    </row>
    <row r="3" spans="1:3" x14ac:dyDescent="0.25">
      <c r="A3" t="s">
        <v>9</v>
      </c>
      <c r="B3" t="s">
        <v>115</v>
      </c>
    </row>
    <row r="4" spans="1:3" x14ac:dyDescent="0.25">
      <c r="B4" t="s">
        <v>116</v>
      </c>
    </row>
    <row r="5" spans="1:3" x14ac:dyDescent="0.25">
      <c r="B5" t="s">
        <v>117</v>
      </c>
    </row>
    <row r="6" spans="1:3" x14ac:dyDescent="0.25">
      <c r="B6" t="s">
        <v>118</v>
      </c>
    </row>
    <row r="8" spans="1:3" x14ac:dyDescent="0.25">
      <c r="B8" t="s">
        <v>119</v>
      </c>
    </row>
    <row r="10" spans="1:3" x14ac:dyDescent="0.25">
      <c r="A10" t="s">
        <v>10</v>
      </c>
      <c r="B10" s="28" t="s">
        <v>42</v>
      </c>
    </row>
    <row r="11" spans="1:3" x14ac:dyDescent="0.25">
      <c r="B11" t="s">
        <v>24</v>
      </c>
      <c r="C11" s="39">
        <v>4000000</v>
      </c>
    </row>
    <row r="12" spans="1:3" x14ac:dyDescent="0.25">
      <c r="B12" t="s">
        <v>120</v>
      </c>
      <c r="C12" s="39">
        <v>1170000</v>
      </c>
    </row>
    <row r="13" spans="1:3" x14ac:dyDescent="0.25">
      <c r="B13" t="s">
        <v>121</v>
      </c>
      <c r="C13" s="39">
        <v>20000</v>
      </c>
    </row>
    <row r="14" spans="1:3" x14ac:dyDescent="0.25">
      <c r="B14" t="s">
        <v>122</v>
      </c>
      <c r="C14" s="39">
        <v>120000</v>
      </c>
    </row>
    <row r="15" spans="1:3" x14ac:dyDescent="0.25">
      <c r="B15" t="s">
        <v>49</v>
      </c>
      <c r="C15" s="18">
        <v>0.12</v>
      </c>
    </row>
    <row r="17" spans="2:7" x14ac:dyDescent="0.25">
      <c r="B17" s="28" t="s">
        <v>53</v>
      </c>
    </row>
    <row r="19" spans="2:7" x14ac:dyDescent="0.25">
      <c r="B19" s="12" t="s">
        <v>23</v>
      </c>
      <c r="C19" s="13">
        <v>0</v>
      </c>
      <c r="D19" s="14">
        <v>1</v>
      </c>
      <c r="E19" s="13">
        <v>2</v>
      </c>
      <c r="F19" s="15">
        <v>3</v>
      </c>
      <c r="G19" s="13">
        <v>4</v>
      </c>
    </row>
    <row r="20" spans="2:7" x14ac:dyDescent="0.25">
      <c r="B20" s="10" t="str">
        <f>B11</f>
        <v>Investering</v>
      </c>
      <c r="C20" s="55">
        <f>-C11</f>
        <v>-4000000</v>
      </c>
      <c r="D20" s="40"/>
      <c r="E20" s="56"/>
      <c r="F20" s="40"/>
      <c r="G20" s="40"/>
    </row>
    <row r="21" spans="2:7" x14ac:dyDescent="0.25">
      <c r="B21" s="10" t="str">
        <f t="shared" ref="B21:B23" si="0">B12</f>
        <v>Sparte årsverk</v>
      </c>
      <c r="C21" s="51"/>
      <c r="D21" s="43">
        <f>$C$12</f>
        <v>1170000</v>
      </c>
      <c r="E21" s="43">
        <f t="shared" ref="E21:G21" si="1">$C$12</f>
        <v>1170000</v>
      </c>
      <c r="F21" s="43">
        <f t="shared" si="1"/>
        <v>1170000</v>
      </c>
      <c r="G21" s="43">
        <f t="shared" si="1"/>
        <v>1170000</v>
      </c>
    </row>
    <row r="22" spans="2:7" x14ac:dyDescent="0.25">
      <c r="B22" s="10" t="str">
        <f t="shared" si="0"/>
        <v>Resusert vann / utslipp</v>
      </c>
      <c r="C22" s="51"/>
      <c r="D22" s="43">
        <f>$C$13</f>
        <v>20000</v>
      </c>
      <c r="E22" s="43">
        <f t="shared" ref="E22:G22" si="2">$C$13</f>
        <v>20000</v>
      </c>
      <c r="F22" s="43">
        <f t="shared" si="2"/>
        <v>20000</v>
      </c>
      <c r="G22" s="43">
        <f t="shared" si="2"/>
        <v>20000</v>
      </c>
    </row>
    <row r="23" spans="2:7" x14ac:dyDescent="0.25">
      <c r="B23" s="10" t="str">
        <f t="shared" si="0"/>
        <v>Bedre utnyttelse råstoff</v>
      </c>
      <c r="C23" s="51"/>
      <c r="D23" s="43">
        <f>$C$14</f>
        <v>120000</v>
      </c>
      <c r="E23" s="43">
        <f t="shared" ref="E23:G23" si="3">$C$14</f>
        <v>120000</v>
      </c>
      <c r="F23" s="43">
        <f t="shared" si="3"/>
        <v>120000</v>
      </c>
      <c r="G23" s="43">
        <f t="shared" si="3"/>
        <v>120000</v>
      </c>
    </row>
    <row r="24" spans="2:7" x14ac:dyDescent="0.25">
      <c r="B24" s="12" t="s">
        <v>27</v>
      </c>
      <c r="C24" s="45">
        <f>SUM(C20:C23)</f>
        <v>-4000000</v>
      </c>
      <c r="D24" s="45">
        <f t="shared" ref="D24:G24" si="4">SUM(D20:D23)</f>
        <v>1310000</v>
      </c>
      <c r="E24" s="45">
        <f t="shared" si="4"/>
        <v>1310000</v>
      </c>
      <c r="F24" s="45">
        <f t="shared" si="4"/>
        <v>1310000</v>
      </c>
      <c r="G24" s="45">
        <f t="shared" si="4"/>
        <v>1310000</v>
      </c>
    </row>
    <row r="26" spans="2:7" x14ac:dyDescent="0.25">
      <c r="B26" t="s">
        <v>30</v>
      </c>
    </row>
    <row r="28" spans="2:7" x14ac:dyDescent="0.25">
      <c r="B28" t="s">
        <v>32</v>
      </c>
      <c r="C28" s="25">
        <f>C24</f>
        <v>-4000000</v>
      </c>
    </row>
    <row r="29" spans="2:7" x14ac:dyDescent="0.25">
      <c r="B29" t="s">
        <v>33</v>
      </c>
      <c r="C29" s="2">
        <f>NPV(C15,D24:G24)</f>
        <v>3978927.6440805909</v>
      </c>
    </row>
    <row r="30" spans="2:7" ht="15.75" thickBot="1" x14ac:dyDescent="0.3">
      <c r="B30" s="26" t="s">
        <v>34</v>
      </c>
      <c r="C30" s="34">
        <f>C28+C29</f>
        <v>-21072.355919409078</v>
      </c>
    </row>
    <row r="31" spans="2:7" ht="15.75" thickTop="1" x14ac:dyDescent="0.25"/>
    <row r="32" spans="2:7" x14ac:dyDescent="0.25">
      <c r="B32" t="s">
        <v>54</v>
      </c>
      <c r="C32" s="50">
        <f>IRR(C24:G24)</f>
        <v>0.11749633441087304</v>
      </c>
    </row>
    <row r="34" spans="2:2" x14ac:dyDescent="0.25">
      <c r="B34" t="s">
        <v>60</v>
      </c>
    </row>
    <row r="35" spans="2:2" x14ac:dyDescent="0.25">
      <c r="B35" t="s">
        <v>123</v>
      </c>
    </row>
    <row r="36" spans="2:2" x14ac:dyDescent="0.25">
      <c r="B36" t="s">
        <v>124</v>
      </c>
    </row>
    <row r="37" spans="2:2" x14ac:dyDescent="0.25">
      <c r="B37" s="4" t="s">
        <v>125</v>
      </c>
    </row>
    <row r="39" spans="2:2" x14ac:dyDescent="0.25">
      <c r="B39" t="s">
        <v>126</v>
      </c>
    </row>
    <row r="40" spans="2:2" x14ac:dyDescent="0.25">
      <c r="B40" t="s">
        <v>127</v>
      </c>
    </row>
    <row r="41" spans="2:2" x14ac:dyDescent="0.25">
      <c r="B41" t="s">
        <v>128</v>
      </c>
    </row>
    <row r="42" spans="2:2" x14ac:dyDescent="0.25">
      <c r="B42" t="s">
        <v>129</v>
      </c>
    </row>
    <row r="44" spans="2:2" x14ac:dyDescent="0.25">
      <c r="B44" t="s">
        <v>130</v>
      </c>
    </row>
    <row r="45" spans="2:2" x14ac:dyDescent="0.25">
      <c r="B45" t="s">
        <v>131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F2566-15EF-4248-9A44-31955CEE59B9}">
  <dimension ref="A2:A3"/>
  <sheetViews>
    <sheetView zoomScale="150" zoomScaleNormal="150" workbookViewId="0">
      <selection activeCell="A4" sqref="A4"/>
    </sheetView>
  </sheetViews>
  <sheetFormatPr baseColWidth="10" defaultRowHeight="15" x14ac:dyDescent="0.25"/>
  <sheetData>
    <row r="2" spans="1:1" x14ac:dyDescent="0.25">
      <c r="A2" t="s">
        <v>133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61AB1-109A-4786-B52E-50E1EA41A17A}">
  <dimension ref="A2:A4"/>
  <sheetViews>
    <sheetView zoomScale="150" zoomScaleNormal="150" workbookViewId="0">
      <selection activeCell="A5" sqref="A5"/>
    </sheetView>
  </sheetViews>
  <sheetFormatPr baseColWidth="10" defaultRowHeight="15" x14ac:dyDescent="0.25"/>
  <sheetData>
    <row r="2" spans="1:1" x14ac:dyDescent="0.25">
      <c r="A2" t="s">
        <v>134</v>
      </c>
    </row>
    <row r="4" spans="1:1" x14ac:dyDescent="0.25">
      <c r="A4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4D44A-B7A0-44EA-87DD-9AA9C2C83779}">
  <dimension ref="A2:C6"/>
  <sheetViews>
    <sheetView zoomScale="229" workbookViewId="0">
      <selection activeCell="B18" sqref="B18"/>
    </sheetView>
  </sheetViews>
  <sheetFormatPr baseColWidth="10" defaultRowHeight="15" x14ac:dyDescent="0.25"/>
  <cols>
    <col min="1" max="1" width="2.5703125" customWidth="1"/>
    <col min="2" max="2" width="35.140625" bestFit="1" customWidth="1"/>
  </cols>
  <sheetData>
    <row r="2" spans="1:3" x14ac:dyDescent="0.25">
      <c r="B2" t="s">
        <v>4</v>
      </c>
      <c r="C2" s="2">
        <f>9.5*5000</f>
        <v>47500</v>
      </c>
    </row>
    <row r="3" spans="1:3" x14ac:dyDescent="0.25">
      <c r="B3" s="5" t="s">
        <v>5</v>
      </c>
      <c r="C3" s="8">
        <f>5*5000</f>
        <v>25000</v>
      </c>
    </row>
    <row r="4" spans="1:3" x14ac:dyDescent="0.25">
      <c r="A4" t="s">
        <v>9</v>
      </c>
      <c r="B4" s="4" t="s">
        <v>7</v>
      </c>
      <c r="C4" s="2">
        <f>C2-C3</f>
        <v>22500</v>
      </c>
    </row>
    <row r="5" spans="1:3" x14ac:dyDescent="0.25">
      <c r="B5" t="s">
        <v>6</v>
      </c>
      <c r="C5" s="2">
        <v>5000</v>
      </c>
    </row>
    <row r="6" spans="1:3" x14ac:dyDescent="0.25">
      <c r="A6" t="s">
        <v>10</v>
      </c>
      <c r="B6" s="6" t="s">
        <v>8</v>
      </c>
      <c r="C6" s="3">
        <f>C4-C5</f>
        <v>17500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71464-03EC-41CD-B290-554EC9AF41F7}">
  <dimension ref="A2:C8"/>
  <sheetViews>
    <sheetView zoomScale="210" zoomScaleNormal="210" workbookViewId="0">
      <selection activeCell="B21" sqref="B21"/>
    </sheetView>
  </sheetViews>
  <sheetFormatPr baseColWidth="10" defaultRowHeight="15" x14ac:dyDescent="0.25"/>
  <cols>
    <col min="1" max="1" width="3" customWidth="1"/>
    <col min="2" max="2" width="43.5703125" bestFit="1" customWidth="1"/>
    <col min="3" max="3" width="10.85546875" bestFit="1" customWidth="1"/>
  </cols>
  <sheetData>
    <row r="2" spans="1:3" x14ac:dyDescent="0.25">
      <c r="B2" t="s">
        <v>15</v>
      </c>
      <c r="C2" s="2">
        <f>10.5*10000</f>
        <v>105000</v>
      </c>
    </row>
    <row r="3" spans="1:3" x14ac:dyDescent="0.25">
      <c r="B3" s="7" t="s">
        <v>16</v>
      </c>
      <c r="C3" s="8">
        <f>6*10000</f>
        <v>60000</v>
      </c>
    </row>
    <row r="4" spans="1:3" x14ac:dyDescent="0.25">
      <c r="B4" t="s">
        <v>11</v>
      </c>
      <c r="C4" s="2">
        <f>C2-C3</f>
        <v>45000</v>
      </c>
    </row>
    <row r="5" spans="1:3" x14ac:dyDescent="0.25">
      <c r="B5" s="5" t="s">
        <v>6</v>
      </c>
      <c r="C5" s="8">
        <v>10000</v>
      </c>
    </row>
    <row r="6" spans="1:3" x14ac:dyDescent="0.25">
      <c r="A6" t="s">
        <v>9</v>
      </c>
      <c r="B6" t="s">
        <v>12</v>
      </c>
      <c r="C6" s="2">
        <f>C4-C5</f>
        <v>35000</v>
      </c>
    </row>
    <row r="7" spans="1:3" x14ac:dyDescent="0.25">
      <c r="B7" t="s">
        <v>13</v>
      </c>
      <c r="C7" s="2">
        <f>25000*0.4</f>
        <v>10000</v>
      </c>
    </row>
    <row r="8" spans="1:3" x14ac:dyDescent="0.25">
      <c r="A8" t="s">
        <v>10</v>
      </c>
      <c r="B8" s="1" t="s">
        <v>14</v>
      </c>
      <c r="C8" s="3">
        <f>C6-C7</f>
        <v>25000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D3990-2CF5-4418-A933-F7A93390BFF9}">
  <dimension ref="A2:C5"/>
  <sheetViews>
    <sheetView topLeftCell="A13" zoomScale="210" zoomScaleNormal="210" workbookViewId="0">
      <selection activeCell="B10" sqref="B10"/>
    </sheetView>
  </sheetViews>
  <sheetFormatPr baseColWidth="10" defaultRowHeight="15" x14ac:dyDescent="0.25"/>
  <cols>
    <col min="1" max="1" width="2.28515625" bestFit="1" customWidth="1"/>
    <col min="2" max="2" width="14.42578125" bestFit="1" customWidth="1"/>
  </cols>
  <sheetData>
    <row r="2" spans="1:3" x14ac:dyDescent="0.25">
      <c r="A2" t="s">
        <v>9</v>
      </c>
      <c r="B2" t="s">
        <v>20</v>
      </c>
      <c r="C2" s="9">
        <f>100000/1.1^3</f>
        <v>75131.480090157755</v>
      </c>
    </row>
    <row r="3" spans="1:3" x14ac:dyDescent="0.25">
      <c r="A3" t="s">
        <v>10</v>
      </c>
      <c r="B3" t="s">
        <v>17</v>
      </c>
      <c r="C3" s="9">
        <f>85000/1.12^2</f>
        <v>67761.479591836731</v>
      </c>
    </row>
    <row r="4" spans="1:3" x14ac:dyDescent="0.25">
      <c r="A4" t="s">
        <v>21</v>
      </c>
      <c r="B4" t="s">
        <v>18</v>
      </c>
      <c r="C4" s="9">
        <f>15000/1.15</f>
        <v>13043.478260869566</v>
      </c>
    </row>
    <row r="5" spans="1:3" x14ac:dyDescent="0.25">
      <c r="A5" t="s">
        <v>22</v>
      </c>
      <c r="B5" t="s">
        <v>19</v>
      </c>
      <c r="C5" s="9">
        <f>27000/1.17^2</f>
        <v>19723.865877712036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47BA8-ED2C-4918-8CAE-470C88022FEA}">
  <dimension ref="A1:G22"/>
  <sheetViews>
    <sheetView zoomScale="140" zoomScaleNormal="140" workbookViewId="0">
      <selection activeCell="C9" sqref="C9"/>
    </sheetView>
  </sheetViews>
  <sheetFormatPr baseColWidth="10" defaultRowHeight="15" x14ac:dyDescent="0.25"/>
  <cols>
    <col min="1" max="1" width="3" customWidth="1"/>
    <col min="2" max="2" width="20.5703125" customWidth="1"/>
    <col min="3" max="3" width="12.7109375" bestFit="1" customWidth="1"/>
    <col min="4" max="7" width="11.28515625" bestFit="1" customWidth="1"/>
  </cols>
  <sheetData>
    <row r="1" spans="1:7" x14ac:dyDescent="0.25">
      <c r="A1" s="28" t="s">
        <v>37</v>
      </c>
    </row>
    <row r="4" spans="1:7" x14ac:dyDescent="0.25">
      <c r="B4" s="12" t="s">
        <v>23</v>
      </c>
      <c r="C4" s="13">
        <v>0</v>
      </c>
      <c r="D4" s="14">
        <v>1</v>
      </c>
      <c r="E4" s="13">
        <v>2</v>
      </c>
      <c r="F4" s="15">
        <v>3</v>
      </c>
      <c r="G4" s="13">
        <v>4</v>
      </c>
    </row>
    <row r="5" spans="1:7" x14ac:dyDescent="0.25">
      <c r="B5" s="10" t="s">
        <v>24</v>
      </c>
      <c r="C5" s="23">
        <v>-500000</v>
      </c>
      <c r="D5" s="20"/>
      <c r="E5" s="21"/>
      <c r="F5" s="20"/>
      <c r="G5" s="21"/>
    </row>
    <row r="6" spans="1:7" x14ac:dyDescent="0.25">
      <c r="B6" s="10" t="s">
        <v>25</v>
      </c>
      <c r="C6" s="21"/>
      <c r="D6" s="20">
        <v>160000</v>
      </c>
      <c r="E6" s="21">
        <v>160000</v>
      </c>
      <c r="F6" s="20">
        <v>160000</v>
      </c>
      <c r="G6" s="21">
        <v>160000</v>
      </c>
    </row>
    <row r="7" spans="1:7" x14ac:dyDescent="0.25">
      <c r="B7" s="10" t="s">
        <v>26</v>
      </c>
      <c r="C7" s="21"/>
      <c r="D7" s="20"/>
      <c r="E7" s="21"/>
      <c r="F7" s="20"/>
      <c r="G7" s="21">
        <v>50000</v>
      </c>
    </row>
    <row r="8" spans="1:7" x14ac:dyDescent="0.25">
      <c r="B8" s="12" t="s">
        <v>27</v>
      </c>
      <c r="C8" s="24">
        <f>SUM(C5:C7)</f>
        <v>-500000</v>
      </c>
      <c r="D8" s="22">
        <f t="shared" ref="D8:G8" si="0">SUM(D5:D7)</f>
        <v>160000</v>
      </c>
      <c r="E8" s="22">
        <f t="shared" si="0"/>
        <v>160000</v>
      </c>
      <c r="F8" s="22">
        <f t="shared" si="0"/>
        <v>160000</v>
      </c>
      <c r="G8" s="22">
        <f t="shared" si="0"/>
        <v>210000</v>
      </c>
    </row>
    <row r="10" spans="1:7" x14ac:dyDescent="0.25">
      <c r="A10" t="s">
        <v>9</v>
      </c>
      <c r="B10" t="s">
        <v>28</v>
      </c>
      <c r="C10">
        <f>-C8/D8</f>
        <v>3.125</v>
      </c>
      <c r="D10" t="s">
        <v>29</v>
      </c>
    </row>
    <row r="12" spans="1:7" x14ac:dyDescent="0.25">
      <c r="A12" t="s">
        <v>10</v>
      </c>
      <c r="B12" t="s">
        <v>30</v>
      </c>
    </row>
    <row r="14" spans="1:7" x14ac:dyDescent="0.25">
      <c r="B14" t="s">
        <v>31</v>
      </c>
      <c r="C14" s="18">
        <v>0.11</v>
      </c>
    </row>
    <row r="16" spans="1:7" x14ac:dyDescent="0.25">
      <c r="B16" t="s">
        <v>32</v>
      </c>
      <c r="C16" s="25">
        <f>C5</f>
        <v>-500000</v>
      </c>
    </row>
    <row r="17" spans="2:3" x14ac:dyDescent="0.25">
      <c r="B17" t="s">
        <v>33</v>
      </c>
      <c r="C17" s="2">
        <f>NPV(C14,D8:G8)</f>
        <v>529327.8590417949</v>
      </c>
    </row>
    <row r="18" spans="2:3" ht="15.75" thickBot="1" x14ac:dyDescent="0.3">
      <c r="B18" s="26" t="s">
        <v>34</v>
      </c>
      <c r="C18" s="27">
        <f>C16+C17</f>
        <v>29327.859041794902</v>
      </c>
    </row>
    <row r="19" spans="2:3" ht="15.75" thickTop="1" x14ac:dyDescent="0.25"/>
    <row r="20" spans="2:3" x14ac:dyDescent="0.25">
      <c r="B20" t="s">
        <v>35</v>
      </c>
    </row>
    <row r="22" spans="2:3" ht="18" x14ac:dyDescent="0.35">
      <c r="B22" t="s">
        <v>36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BED59-8C1F-4300-9737-6E4ED0A75E1A}">
  <dimension ref="A1:H21"/>
  <sheetViews>
    <sheetView zoomScale="140" zoomScaleNormal="140" workbookViewId="0">
      <selection activeCell="C16" sqref="C16"/>
    </sheetView>
  </sheetViews>
  <sheetFormatPr baseColWidth="10" defaultRowHeight="15" x14ac:dyDescent="0.25"/>
  <cols>
    <col min="1" max="1" width="3" customWidth="1"/>
    <col min="2" max="2" width="21.85546875" customWidth="1"/>
    <col min="3" max="3" width="12.7109375" bestFit="1" customWidth="1"/>
    <col min="4" max="7" width="11.28515625" bestFit="1" customWidth="1"/>
  </cols>
  <sheetData>
    <row r="1" spans="1:8" x14ac:dyDescent="0.25">
      <c r="A1" s="28" t="s">
        <v>37</v>
      </c>
    </row>
    <row r="3" spans="1:8" x14ac:dyDescent="0.25">
      <c r="B3" s="12" t="s">
        <v>23</v>
      </c>
      <c r="C3" s="13">
        <v>0</v>
      </c>
      <c r="D3" s="14">
        <v>1</v>
      </c>
      <c r="E3" s="13">
        <v>2</v>
      </c>
      <c r="F3" s="15">
        <v>3</v>
      </c>
      <c r="G3" s="13">
        <v>4</v>
      </c>
      <c r="H3" s="13">
        <v>5</v>
      </c>
    </row>
    <row r="4" spans="1:8" x14ac:dyDescent="0.25">
      <c r="B4" s="10" t="s">
        <v>24</v>
      </c>
      <c r="C4" s="23">
        <v>-1400000</v>
      </c>
      <c r="D4" s="20"/>
      <c r="E4" s="35"/>
      <c r="F4" s="19"/>
      <c r="G4" s="37"/>
      <c r="H4" s="16"/>
    </row>
    <row r="5" spans="1:8" x14ac:dyDescent="0.25">
      <c r="B5" s="10" t="s">
        <v>38</v>
      </c>
      <c r="C5" s="21"/>
      <c r="D5" s="20">
        <v>480000</v>
      </c>
      <c r="E5" s="36">
        <v>480000</v>
      </c>
      <c r="F5" s="21">
        <v>480000</v>
      </c>
      <c r="G5" s="20">
        <v>480000</v>
      </c>
      <c r="H5" s="21">
        <v>480000</v>
      </c>
    </row>
    <row r="6" spans="1:8" x14ac:dyDescent="0.25">
      <c r="B6" s="10" t="s">
        <v>39</v>
      </c>
      <c r="C6" s="29"/>
      <c r="D6" s="30">
        <v>-40000</v>
      </c>
      <c r="E6" s="32">
        <v>-40000</v>
      </c>
      <c r="F6" s="31">
        <v>-40000</v>
      </c>
      <c r="G6" s="33">
        <v>-40000</v>
      </c>
      <c r="H6" s="31">
        <v>-40000</v>
      </c>
    </row>
    <row r="7" spans="1:8" x14ac:dyDescent="0.25">
      <c r="B7" s="12" t="s">
        <v>27</v>
      </c>
      <c r="C7" s="24">
        <f>SUM(C4:C6)</f>
        <v>-1400000</v>
      </c>
      <c r="D7" s="22">
        <f t="shared" ref="D7:H7" si="0">SUM(D4:D6)</f>
        <v>440000</v>
      </c>
      <c r="E7" s="22">
        <f t="shared" si="0"/>
        <v>440000</v>
      </c>
      <c r="F7" s="22">
        <f t="shared" si="0"/>
        <v>440000</v>
      </c>
      <c r="G7" s="22">
        <f t="shared" si="0"/>
        <v>440000</v>
      </c>
      <c r="H7" s="22">
        <f t="shared" si="0"/>
        <v>440000</v>
      </c>
    </row>
    <row r="9" spans="1:8" x14ac:dyDescent="0.25">
      <c r="A9" t="s">
        <v>9</v>
      </c>
      <c r="B9" t="s">
        <v>28</v>
      </c>
      <c r="C9" s="38">
        <f>-C7/D7</f>
        <v>3.1818181818181817</v>
      </c>
      <c r="D9" t="s">
        <v>40</v>
      </c>
    </row>
    <row r="11" spans="1:8" x14ac:dyDescent="0.25">
      <c r="A11" t="s">
        <v>10</v>
      </c>
      <c r="B11" t="s">
        <v>30</v>
      </c>
    </row>
    <row r="13" spans="1:8" x14ac:dyDescent="0.25">
      <c r="B13" t="s">
        <v>31</v>
      </c>
      <c r="C13" s="18">
        <v>0.15</v>
      </c>
    </row>
    <row r="15" spans="1:8" x14ac:dyDescent="0.25">
      <c r="B15" t="s">
        <v>32</v>
      </c>
      <c r="C15" s="25">
        <f>C7</f>
        <v>-1400000</v>
      </c>
    </row>
    <row r="16" spans="1:8" x14ac:dyDescent="0.25">
      <c r="B16" t="s">
        <v>33</v>
      </c>
      <c r="C16" s="2">
        <f>NPV(C13,D7:H7)</f>
        <v>1474948.2431250173</v>
      </c>
    </row>
    <row r="17" spans="2:3" ht="15.75" thickBot="1" x14ac:dyDescent="0.3">
      <c r="B17" s="26" t="s">
        <v>34</v>
      </c>
      <c r="C17" s="34">
        <f>C15+C16</f>
        <v>74948.243125017267</v>
      </c>
    </row>
    <row r="18" spans="2:3" ht="15.75" thickTop="1" x14ac:dyDescent="0.25"/>
    <row r="19" spans="2:3" x14ac:dyDescent="0.25">
      <c r="B19" t="s">
        <v>35</v>
      </c>
    </row>
    <row r="21" spans="2:3" ht="18" x14ac:dyDescent="0.35">
      <c r="B21" t="s">
        <v>41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D207D-4D94-41BB-AF18-35B8AEE883B7}">
  <dimension ref="A1:G44"/>
  <sheetViews>
    <sheetView zoomScale="140" zoomScaleNormal="140" workbookViewId="0">
      <selection activeCell="E12" sqref="E12"/>
    </sheetView>
  </sheetViews>
  <sheetFormatPr baseColWidth="10" defaultRowHeight="15" x14ac:dyDescent="0.25"/>
  <cols>
    <col min="1" max="1" width="3" customWidth="1"/>
    <col min="2" max="2" width="21.85546875" customWidth="1"/>
    <col min="3" max="3" width="12.7109375" bestFit="1" customWidth="1"/>
    <col min="4" max="7" width="11.28515625" bestFit="1" customWidth="1"/>
  </cols>
  <sheetData>
    <row r="1" spans="1:7" x14ac:dyDescent="0.25">
      <c r="A1" s="28" t="s">
        <v>37</v>
      </c>
    </row>
    <row r="3" spans="1:7" x14ac:dyDescent="0.25">
      <c r="B3" s="28" t="s">
        <v>42</v>
      </c>
    </row>
    <row r="4" spans="1:7" x14ac:dyDescent="0.25">
      <c r="B4" t="s">
        <v>24</v>
      </c>
      <c r="C4" s="39">
        <v>940000</v>
      </c>
    </row>
    <row r="5" spans="1:7" x14ac:dyDescent="0.25">
      <c r="B5" t="s">
        <v>43</v>
      </c>
      <c r="C5" s="39">
        <v>520</v>
      </c>
    </row>
    <row r="6" spans="1:7" x14ac:dyDescent="0.25">
      <c r="B6" t="s">
        <v>44</v>
      </c>
      <c r="C6" s="39">
        <v>330</v>
      </c>
    </row>
    <row r="7" spans="1:7" x14ac:dyDescent="0.25">
      <c r="B7" t="s">
        <v>45</v>
      </c>
      <c r="C7" s="39">
        <v>2400</v>
      </c>
    </row>
    <row r="8" spans="1:7" x14ac:dyDescent="0.25">
      <c r="B8" t="s">
        <v>46</v>
      </c>
      <c r="C8" s="39">
        <v>80000</v>
      </c>
    </row>
    <row r="9" spans="1:7" x14ac:dyDescent="0.25">
      <c r="B9" t="s">
        <v>47</v>
      </c>
      <c r="C9" s="39">
        <v>220000</v>
      </c>
    </row>
    <row r="10" spans="1:7" x14ac:dyDescent="0.25">
      <c r="B10" t="s">
        <v>48</v>
      </c>
      <c r="C10" s="39">
        <v>76000</v>
      </c>
    </row>
    <row r="11" spans="1:7" x14ac:dyDescent="0.25">
      <c r="B11" t="s">
        <v>49</v>
      </c>
      <c r="C11" s="18">
        <v>0.14000000000000001</v>
      </c>
    </row>
    <row r="13" spans="1:7" x14ac:dyDescent="0.25">
      <c r="B13" s="28" t="s">
        <v>53</v>
      </c>
    </row>
    <row r="15" spans="1:7" x14ac:dyDescent="0.25">
      <c r="B15" s="12" t="s">
        <v>23</v>
      </c>
      <c r="C15" s="13">
        <v>0</v>
      </c>
      <c r="D15" s="14">
        <v>1</v>
      </c>
      <c r="E15" s="13">
        <v>2</v>
      </c>
      <c r="F15" s="15">
        <v>3</v>
      </c>
      <c r="G15" s="13">
        <v>4</v>
      </c>
    </row>
    <row r="16" spans="1:7" x14ac:dyDescent="0.25">
      <c r="B16" s="10" t="s">
        <v>24</v>
      </c>
      <c r="C16" s="40">
        <f>-C4</f>
        <v>-940000</v>
      </c>
      <c r="D16" s="41"/>
      <c r="E16" s="40"/>
      <c r="F16" s="42"/>
      <c r="G16" s="40"/>
    </row>
    <row r="17" spans="1:7" x14ac:dyDescent="0.25">
      <c r="B17" s="10" t="s">
        <v>38</v>
      </c>
      <c r="C17" s="43"/>
      <c r="D17" s="41">
        <f>($C$5-$C$6)*$C$7</f>
        <v>456000</v>
      </c>
      <c r="E17" s="43">
        <f t="shared" ref="E17:G17" si="0">($C$5-$C$6)*$C$7</f>
        <v>456000</v>
      </c>
      <c r="F17" s="41">
        <f t="shared" si="0"/>
        <v>456000</v>
      </c>
      <c r="G17" s="43">
        <f t="shared" si="0"/>
        <v>456000</v>
      </c>
    </row>
    <row r="18" spans="1:7" x14ac:dyDescent="0.25">
      <c r="B18" s="10" t="s">
        <v>46</v>
      </c>
      <c r="C18" s="43"/>
      <c r="D18" s="41"/>
      <c r="E18" s="43"/>
      <c r="F18" s="41"/>
      <c r="G18" s="43">
        <f>C8</f>
        <v>80000</v>
      </c>
    </row>
    <row r="19" spans="1:7" x14ac:dyDescent="0.25">
      <c r="B19" s="10" t="str">
        <f>B9</f>
        <v>Økning omløpsmidler</v>
      </c>
      <c r="C19" s="43">
        <f>-C9</f>
        <v>-220000</v>
      </c>
      <c r="D19" s="41"/>
      <c r="E19" s="43"/>
      <c r="F19" s="41"/>
      <c r="G19" s="43">
        <f>C9</f>
        <v>220000</v>
      </c>
    </row>
    <row r="20" spans="1:7" x14ac:dyDescent="0.25">
      <c r="B20" s="10" t="s">
        <v>39</v>
      </c>
      <c r="C20" s="44"/>
      <c r="D20" s="41">
        <f>-$C$10</f>
        <v>-76000</v>
      </c>
      <c r="E20" s="44">
        <f t="shared" ref="E20:G20" si="1">-$C$10</f>
        <v>-76000</v>
      </c>
      <c r="F20" s="41">
        <f t="shared" si="1"/>
        <v>-76000</v>
      </c>
      <c r="G20" s="44">
        <f t="shared" si="1"/>
        <v>-76000</v>
      </c>
    </row>
    <row r="21" spans="1:7" x14ac:dyDescent="0.25">
      <c r="B21" s="12" t="s">
        <v>27</v>
      </c>
      <c r="C21" s="45">
        <f>SUM(C16:C20)</f>
        <v>-1160000</v>
      </c>
      <c r="D21" s="45">
        <f>SUM(D16:D20)</f>
        <v>380000</v>
      </c>
      <c r="E21" s="45">
        <f>SUM(E16:E20)</f>
        <v>380000</v>
      </c>
      <c r="F21" s="45">
        <f>SUM(F16:F20)</f>
        <v>380000</v>
      </c>
      <c r="G21" s="45">
        <f>SUM(G16:G20)</f>
        <v>680000</v>
      </c>
    </row>
    <row r="23" spans="1:7" x14ac:dyDescent="0.25">
      <c r="A23" t="s">
        <v>9</v>
      </c>
      <c r="B23" t="s">
        <v>30</v>
      </c>
    </row>
    <row r="25" spans="1:7" x14ac:dyDescent="0.25">
      <c r="B25" t="s">
        <v>31</v>
      </c>
      <c r="C25" s="18">
        <f>C11</f>
        <v>0.14000000000000001</v>
      </c>
    </row>
    <row r="27" spans="1:7" x14ac:dyDescent="0.25">
      <c r="B27" t="s">
        <v>32</v>
      </c>
      <c r="C27" s="25">
        <f>C21</f>
        <v>-1160000</v>
      </c>
    </row>
    <row r="28" spans="1:7" x14ac:dyDescent="0.25">
      <c r="B28" t="s">
        <v>33</v>
      </c>
      <c r="C28" s="2">
        <f>NPV(C25,D21:G21)</f>
        <v>1284834.7589205415</v>
      </c>
    </row>
    <row r="29" spans="1:7" ht="15.75" thickBot="1" x14ac:dyDescent="0.3">
      <c r="B29" s="26" t="s">
        <v>34</v>
      </c>
      <c r="C29" s="34">
        <f>C27+C28</f>
        <v>124834.7589205415</v>
      </c>
    </row>
    <row r="30" spans="1:7" ht="15.75" thickTop="1" x14ac:dyDescent="0.25"/>
    <row r="31" spans="1:7" x14ac:dyDescent="0.25">
      <c r="B31" t="s">
        <v>35</v>
      </c>
    </row>
    <row r="33" spans="1:7" x14ac:dyDescent="0.25">
      <c r="A33" t="s">
        <v>10</v>
      </c>
      <c r="B33" t="str">
        <f>B37</f>
        <v>Miljøavgift</v>
      </c>
      <c r="C33" s="25">
        <f>20*C7</f>
        <v>48000</v>
      </c>
    </row>
    <row r="34" spans="1:7" x14ac:dyDescent="0.25">
      <c r="C34" s="25"/>
    </row>
    <row r="35" spans="1:7" x14ac:dyDescent="0.25">
      <c r="B35" s="12" t="str">
        <f>B15</f>
        <v>År</v>
      </c>
      <c r="C35" s="13">
        <f t="shared" ref="C35:G35" si="2">C15</f>
        <v>0</v>
      </c>
      <c r="D35" s="13">
        <f t="shared" si="2"/>
        <v>1</v>
      </c>
      <c r="E35" s="13">
        <f t="shared" si="2"/>
        <v>2</v>
      </c>
      <c r="F35" s="13">
        <f t="shared" si="2"/>
        <v>3</v>
      </c>
      <c r="G35" s="13">
        <f t="shared" si="2"/>
        <v>4</v>
      </c>
    </row>
    <row r="36" spans="1:7" x14ac:dyDescent="0.25">
      <c r="B36" s="16" t="str">
        <f t="shared" ref="B36:G36" si="3">B21</f>
        <v>Kontantstrøm</v>
      </c>
      <c r="C36" s="48">
        <f t="shared" si="3"/>
        <v>-1160000</v>
      </c>
      <c r="D36" s="46">
        <f t="shared" si="3"/>
        <v>380000</v>
      </c>
      <c r="E36" s="48">
        <f t="shared" si="3"/>
        <v>380000</v>
      </c>
      <c r="F36" s="46">
        <f t="shared" si="3"/>
        <v>380000</v>
      </c>
      <c r="G36" s="48">
        <f t="shared" si="3"/>
        <v>680000</v>
      </c>
    </row>
    <row r="37" spans="1:7" x14ac:dyDescent="0.25">
      <c r="B37" s="17" t="s">
        <v>50</v>
      </c>
      <c r="C37" s="17"/>
      <c r="D37" s="46">
        <f>-$C$33</f>
        <v>-48000</v>
      </c>
      <c r="E37" s="49">
        <f t="shared" ref="E37:G37" si="4">-$C$33</f>
        <v>-48000</v>
      </c>
      <c r="F37" s="46">
        <f t="shared" si="4"/>
        <v>-48000</v>
      </c>
      <c r="G37" s="49">
        <f t="shared" si="4"/>
        <v>-48000</v>
      </c>
    </row>
    <row r="38" spans="1:7" x14ac:dyDescent="0.25">
      <c r="B38" s="12" t="s">
        <v>51</v>
      </c>
      <c r="C38" s="47">
        <f>SUM(C36:C37)</f>
        <v>-1160000</v>
      </c>
      <c r="D38" s="47">
        <f t="shared" ref="D38:G38" si="5">SUM(D36:D37)</f>
        <v>332000</v>
      </c>
      <c r="E38" s="47">
        <f t="shared" si="5"/>
        <v>332000</v>
      </c>
      <c r="F38" s="47">
        <f t="shared" si="5"/>
        <v>332000</v>
      </c>
      <c r="G38" s="47">
        <f t="shared" si="5"/>
        <v>632000</v>
      </c>
    </row>
    <row r="39" spans="1:7" x14ac:dyDescent="0.25">
      <c r="C39" s="46"/>
      <c r="D39" s="46"/>
      <c r="E39" s="46"/>
      <c r="F39" s="46"/>
      <c r="G39" s="46"/>
    </row>
    <row r="40" spans="1:7" x14ac:dyDescent="0.25">
      <c r="B40" t="str">
        <f>B27</f>
        <v>Investering år 0</v>
      </c>
      <c r="C40" s="46">
        <f>C38</f>
        <v>-1160000</v>
      </c>
      <c r="D40" s="46"/>
      <c r="E40" s="46"/>
      <c r="F40" s="46"/>
      <c r="G40" s="46"/>
    </row>
    <row r="41" spans="1:7" x14ac:dyDescent="0.25">
      <c r="B41" t="str">
        <f t="shared" ref="B41:B42" si="6">B28</f>
        <v>Nåverdi av kontantstrøm</v>
      </c>
      <c r="C41" s="46">
        <f>NPV(C11,D38:G38)</f>
        <v>1144976.5683046067</v>
      </c>
      <c r="D41" s="46"/>
      <c r="E41" s="46"/>
      <c r="F41" s="46"/>
      <c r="G41" s="46"/>
    </row>
    <row r="42" spans="1:7" ht="15.75" thickBot="1" x14ac:dyDescent="0.3">
      <c r="B42" s="26" t="str">
        <f t="shared" si="6"/>
        <v>Prosjektets nåverdi</v>
      </c>
      <c r="C42" s="34">
        <f>SUM(C40:C41)</f>
        <v>-15023.431695393287</v>
      </c>
    </row>
    <row r="43" spans="1:7" ht="15.75" thickTop="1" x14ac:dyDescent="0.25"/>
    <row r="44" spans="1:7" x14ac:dyDescent="0.25">
      <c r="B44" t="s">
        <v>52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C02F9-35F0-4AEE-8F45-45923C6765E1}">
  <dimension ref="A1:F45"/>
  <sheetViews>
    <sheetView zoomScale="140" zoomScaleNormal="140" workbookViewId="0">
      <selection activeCell="B7" sqref="B7"/>
    </sheetView>
  </sheetViews>
  <sheetFormatPr baseColWidth="10" defaultRowHeight="15" x14ac:dyDescent="0.25"/>
  <cols>
    <col min="1" max="1" width="3" customWidth="1"/>
    <col min="2" max="2" width="20.5703125" customWidth="1"/>
    <col min="3" max="3" width="12.7109375" bestFit="1" customWidth="1"/>
    <col min="4" max="6" width="11.28515625" bestFit="1" customWidth="1"/>
  </cols>
  <sheetData>
    <row r="1" spans="1:6" x14ac:dyDescent="0.25">
      <c r="A1" s="28" t="s">
        <v>37</v>
      </c>
    </row>
    <row r="4" spans="1:6" x14ac:dyDescent="0.25">
      <c r="B4" s="12" t="s">
        <v>23</v>
      </c>
      <c r="C4" s="13">
        <v>0</v>
      </c>
      <c r="D4" s="14">
        <v>1</v>
      </c>
      <c r="E4" s="13">
        <v>2</v>
      </c>
      <c r="F4" s="13">
        <v>3</v>
      </c>
    </row>
    <row r="5" spans="1:6" x14ac:dyDescent="0.25">
      <c r="B5" s="10" t="s">
        <v>24</v>
      </c>
      <c r="C5" s="23">
        <v>-850000</v>
      </c>
      <c r="D5" s="20"/>
      <c r="E5" s="21"/>
      <c r="F5" s="21"/>
    </row>
    <row r="6" spans="1:6" x14ac:dyDescent="0.25">
      <c r="B6" s="10" t="s">
        <v>25</v>
      </c>
      <c r="C6" s="21"/>
      <c r="D6" s="20">
        <v>250000</v>
      </c>
      <c r="E6" s="21">
        <v>450000</v>
      </c>
      <c r="F6" s="21">
        <v>350000</v>
      </c>
    </row>
    <row r="7" spans="1:6" x14ac:dyDescent="0.25">
      <c r="B7" s="10" t="s">
        <v>26</v>
      </c>
      <c r="C7" s="21"/>
      <c r="D7" s="20"/>
      <c r="E7" s="21"/>
      <c r="F7" s="21">
        <v>70000</v>
      </c>
    </row>
    <row r="8" spans="1:6" x14ac:dyDescent="0.25">
      <c r="B8" s="12" t="s">
        <v>27</v>
      </c>
      <c r="C8" s="24">
        <f>SUM(C5:C7)</f>
        <v>-850000</v>
      </c>
      <c r="D8" s="22">
        <f t="shared" ref="D8:F8" si="0">SUM(D5:D7)</f>
        <v>250000</v>
      </c>
      <c r="E8" s="22">
        <f t="shared" si="0"/>
        <v>450000</v>
      </c>
      <c r="F8" s="22">
        <f t="shared" si="0"/>
        <v>420000</v>
      </c>
    </row>
    <row r="11" spans="1:6" x14ac:dyDescent="0.25">
      <c r="A11" t="s">
        <v>9</v>
      </c>
      <c r="B11" t="s">
        <v>30</v>
      </c>
    </row>
    <row r="13" spans="1:6" x14ac:dyDescent="0.25">
      <c r="B13" t="s">
        <v>31</v>
      </c>
      <c r="C13" s="18">
        <v>0.16</v>
      </c>
    </row>
    <row r="15" spans="1:6" x14ac:dyDescent="0.25">
      <c r="B15" t="s">
        <v>32</v>
      </c>
      <c r="C15" s="25">
        <f>C5</f>
        <v>-850000</v>
      </c>
    </row>
    <row r="16" spans="1:6" x14ac:dyDescent="0.25">
      <c r="B16" t="s">
        <v>33</v>
      </c>
      <c r="C16" s="2">
        <f>NPV(C13,D8:F8)</f>
        <v>819016.76985526283</v>
      </c>
    </row>
    <row r="17" spans="1:6" ht="15.75" thickBot="1" x14ac:dyDescent="0.3">
      <c r="B17" s="26" t="s">
        <v>34</v>
      </c>
      <c r="C17" s="34">
        <f>C15+C16</f>
        <v>-30983.230144737172</v>
      </c>
    </row>
    <row r="18" spans="1:6" ht="15.75" thickTop="1" x14ac:dyDescent="0.25"/>
    <row r="19" spans="1:6" x14ac:dyDescent="0.25">
      <c r="B19" t="s">
        <v>54</v>
      </c>
      <c r="C19" s="50">
        <f>IRR(C8:F8)</f>
        <v>0.1393838619046941</v>
      </c>
    </row>
    <row r="21" spans="1:6" x14ac:dyDescent="0.25">
      <c r="B21" t="s">
        <v>55</v>
      </c>
    </row>
    <row r="24" spans="1:6" x14ac:dyDescent="0.25">
      <c r="A24" t="s">
        <v>10</v>
      </c>
      <c r="B24" s="12" t="s">
        <v>23</v>
      </c>
      <c r="C24" s="13">
        <v>0</v>
      </c>
      <c r="D24" s="14">
        <v>1</v>
      </c>
      <c r="E24" s="13">
        <v>2</v>
      </c>
      <c r="F24" s="13">
        <v>3</v>
      </c>
    </row>
    <row r="25" spans="1:6" x14ac:dyDescent="0.25">
      <c r="B25" s="10" t="s">
        <v>24</v>
      </c>
      <c r="C25" s="23">
        <v>-850000</v>
      </c>
      <c r="D25" s="20"/>
      <c r="E25" s="21"/>
      <c r="F25" s="21"/>
    </row>
    <row r="26" spans="1:6" x14ac:dyDescent="0.25">
      <c r="B26" s="10" t="s">
        <v>25</v>
      </c>
      <c r="C26" s="21"/>
      <c r="D26" s="20">
        <v>375000</v>
      </c>
      <c r="E26" s="21">
        <v>425000</v>
      </c>
      <c r="F26" s="21">
        <v>250000</v>
      </c>
    </row>
    <row r="27" spans="1:6" x14ac:dyDescent="0.25">
      <c r="B27" s="10" t="s">
        <v>26</v>
      </c>
      <c r="C27" s="21"/>
      <c r="D27" s="20"/>
      <c r="E27" s="21"/>
      <c r="F27" s="21">
        <v>70000</v>
      </c>
    </row>
    <row r="28" spans="1:6" x14ac:dyDescent="0.25">
      <c r="B28" s="12" t="s">
        <v>27</v>
      </c>
      <c r="C28" s="24">
        <f>SUM(C25:C27)</f>
        <v>-850000</v>
      </c>
      <c r="D28" s="22">
        <f t="shared" ref="D28" si="1">SUM(D25:D27)</f>
        <v>375000</v>
      </c>
      <c r="E28" s="22">
        <f t="shared" ref="E28" si="2">SUM(E25:E27)</f>
        <v>425000</v>
      </c>
      <c r="F28" s="22">
        <f t="shared" ref="F28" si="3">SUM(F25:F27)</f>
        <v>320000</v>
      </c>
    </row>
    <row r="31" spans="1:6" x14ac:dyDescent="0.25">
      <c r="B31" t="s">
        <v>30</v>
      </c>
    </row>
    <row r="33" spans="1:3" x14ac:dyDescent="0.25">
      <c r="B33" t="s">
        <v>31</v>
      </c>
      <c r="C33" s="18">
        <v>0.16</v>
      </c>
    </row>
    <row r="35" spans="1:3" x14ac:dyDescent="0.25">
      <c r="B35" t="s">
        <v>32</v>
      </c>
      <c r="C35" s="25">
        <f>C25</f>
        <v>-850000</v>
      </c>
    </row>
    <row r="36" spans="1:3" x14ac:dyDescent="0.25">
      <c r="B36" t="s">
        <v>33</v>
      </c>
      <c r="C36" s="2">
        <f>NPV(C33,D28:F28)</f>
        <v>844130.55065808375</v>
      </c>
    </row>
    <row r="37" spans="1:3" ht="15.75" thickBot="1" x14ac:dyDescent="0.3">
      <c r="B37" s="26" t="s">
        <v>34</v>
      </c>
      <c r="C37" s="34">
        <f>C35+C36</f>
        <v>-5869.4493419162463</v>
      </c>
    </row>
    <row r="38" spans="1:3" ht="15.75" thickTop="1" x14ac:dyDescent="0.25"/>
    <row r="39" spans="1:3" x14ac:dyDescent="0.25">
      <c r="B39" t="s">
        <v>54</v>
      </c>
      <c r="C39" s="50">
        <f>IRR(C28:F28)</f>
        <v>0.15568898431762968</v>
      </c>
    </row>
    <row r="41" spans="1:3" x14ac:dyDescent="0.25">
      <c r="B41" t="s">
        <v>56</v>
      </c>
    </row>
    <row r="44" spans="1:3" x14ac:dyDescent="0.25">
      <c r="A44" t="s">
        <v>21</v>
      </c>
      <c r="B44" t="s">
        <v>57</v>
      </c>
    </row>
    <row r="45" spans="1:3" x14ac:dyDescent="0.25">
      <c r="B45" t="s">
        <v>58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E83F2-99E4-43E7-9A91-AC8880DA4933}">
  <dimension ref="A1:I50"/>
  <sheetViews>
    <sheetView zoomScale="140" zoomScaleNormal="140" workbookViewId="0">
      <selection activeCell="B52" sqref="B52"/>
    </sheetView>
  </sheetViews>
  <sheetFormatPr baseColWidth="10" defaultRowHeight="15" x14ac:dyDescent="0.25"/>
  <cols>
    <col min="1" max="1" width="3" customWidth="1"/>
    <col min="2" max="2" width="21.85546875" customWidth="1"/>
    <col min="3" max="3" width="12.7109375" bestFit="1" customWidth="1"/>
    <col min="4" max="7" width="11.28515625" bestFit="1" customWidth="1"/>
  </cols>
  <sheetData>
    <row r="1" spans="1:8" x14ac:dyDescent="0.25">
      <c r="A1" s="28" t="s">
        <v>37</v>
      </c>
    </row>
    <row r="3" spans="1:8" x14ac:dyDescent="0.25">
      <c r="B3" s="28" t="s">
        <v>42</v>
      </c>
    </row>
    <row r="4" spans="1:8" x14ac:dyDescent="0.25">
      <c r="B4" t="s">
        <v>24</v>
      </c>
      <c r="C4" s="39">
        <v>2000000</v>
      </c>
    </row>
    <row r="5" spans="1:8" x14ac:dyDescent="0.25">
      <c r="B5" t="s">
        <v>59</v>
      </c>
      <c r="C5" s="39">
        <v>500000</v>
      </c>
    </row>
    <row r="6" spans="1:8" x14ac:dyDescent="0.25">
      <c r="B6" t="s">
        <v>46</v>
      </c>
      <c r="C6" s="39">
        <v>200000</v>
      </c>
    </row>
    <row r="7" spans="1:8" x14ac:dyDescent="0.25">
      <c r="B7" t="s">
        <v>48</v>
      </c>
      <c r="C7" s="39">
        <v>80000</v>
      </c>
    </row>
    <row r="8" spans="1:8" x14ac:dyDescent="0.25">
      <c r="B8" t="s">
        <v>49</v>
      </c>
      <c r="C8" s="18">
        <v>0.11</v>
      </c>
    </row>
    <row r="10" spans="1:8" x14ac:dyDescent="0.25">
      <c r="B10" s="28" t="s">
        <v>53</v>
      </c>
    </row>
    <row r="12" spans="1:8" x14ac:dyDescent="0.25">
      <c r="B12" s="12" t="s">
        <v>23</v>
      </c>
      <c r="C12" s="13">
        <v>0</v>
      </c>
      <c r="D12" s="14">
        <v>1</v>
      </c>
      <c r="E12" s="13">
        <v>2</v>
      </c>
      <c r="F12" s="15">
        <v>3</v>
      </c>
      <c r="G12" s="13">
        <v>4</v>
      </c>
      <c r="H12" s="13">
        <v>5</v>
      </c>
    </row>
    <row r="13" spans="1:8" x14ac:dyDescent="0.25">
      <c r="B13" s="10" t="s">
        <v>24</v>
      </c>
      <c r="C13" s="40">
        <f>-C4</f>
        <v>-2000000</v>
      </c>
      <c r="D13" s="41"/>
      <c r="E13" s="40"/>
      <c r="F13" s="42"/>
      <c r="G13" s="40"/>
      <c r="H13" s="40"/>
    </row>
    <row r="14" spans="1:8" x14ac:dyDescent="0.25">
      <c r="B14" s="10" t="s">
        <v>38</v>
      </c>
      <c r="C14" s="43"/>
      <c r="D14" s="41">
        <f>($C$5)</f>
        <v>500000</v>
      </c>
      <c r="E14" s="51">
        <f t="shared" ref="E14:H14" si="0">($C$5)</f>
        <v>500000</v>
      </c>
      <c r="F14" s="51">
        <f t="shared" si="0"/>
        <v>500000</v>
      </c>
      <c r="G14" s="43">
        <f t="shared" si="0"/>
        <v>500000</v>
      </c>
      <c r="H14" s="43">
        <f t="shared" si="0"/>
        <v>500000</v>
      </c>
    </row>
    <row r="15" spans="1:8" x14ac:dyDescent="0.25">
      <c r="B15" s="10" t="s">
        <v>46</v>
      </c>
      <c r="C15" s="43"/>
      <c r="D15" s="41"/>
      <c r="E15" s="43"/>
      <c r="F15" s="41"/>
      <c r="G15" s="43"/>
      <c r="H15" s="43">
        <f>C6</f>
        <v>200000</v>
      </c>
    </row>
    <row r="16" spans="1:8" x14ac:dyDescent="0.25">
      <c r="B16" s="10" t="s">
        <v>39</v>
      </c>
      <c r="C16" s="44"/>
      <c r="D16" s="41">
        <f>-$C$7</f>
        <v>-80000</v>
      </c>
      <c r="E16" s="44">
        <f t="shared" ref="E16:H16" si="1">-$C$7</f>
        <v>-80000</v>
      </c>
      <c r="F16" s="41">
        <f t="shared" si="1"/>
        <v>-80000</v>
      </c>
      <c r="G16" s="44">
        <f t="shared" si="1"/>
        <v>-80000</v>
      </c>
      <c r="H16" s="44">
        <f t="shared" si="1"/>
        <v>-80000</v>
      </c>
    </row>
    <row r="17" spans="1:8" x14ac:dyDescent="0.25">
      <c r="B17" s="12" t="s">
        <v>27</v>
      </c>
      <c r="C17" s="45">
        <f t="shared" ref="C17:H17" si="2">SUM(C13:C16)</f>
        <v>-2000000</v>
      </c>
      <c r="D17" s="45">
        <f t="shared" si="2"/>
        <v>420000</v>
      </c>
      <c r="E17" s="45">
        <f t="shared" si="2"/>
        <v>420000</v>
      </c>
      <c r="F17" s="45">
        <f t="shared" si="2"/>
        <v>420000</v>
      </c>
      <c r="G17" s="45">
        <f t="shared" si="2"/>
        <v>420000</v>
      </c>
      <c r="H17" s="45">
        <f t="shared" si="2"/>
        <v>620000</v>
      </c>
    </row>
    <row r="19" spans="1:8" x14ac:dyDescent="0.25">
      <c r="A19" t="s">
        <v>9</v>
      </c>
      <c r="B19" t="s">
        <v>30</v>
      </c>
    </row>
    <row r="21" spans="1:8" x14ac:dyDescent="0.25">
      <c r="B21" t="s">
        <v>31</v>
      </c>
      <c r="C21" s="18">
        <f>C8</f>
        <v>0.11</v>
      </c>
    </row>
    <row r="23" spans="1:8" x14ac:dyDescent="0.25">
      <c r="B23" t="s">
        <v>32</v>
      </c>
      <c r="C23" s="25">
        <f>C17</f>
        <v>-2000000</v>
      </c>
    </row>
    <row r="24" spans="1:8" x14ac:dyDescent="0.25">
      <c r="B24" t="s">
        <v>33</v>
      </c>
      <c r="C24" s="2">
        <f>NPV(C21,D17:H17)</f>
        <v>1670967.0130244868</v>
      </c>
    </row>
    <row r="25" spans="1:8" ht="15.75" thickBot="1" x14ac:dyDescent="0.3">
      <c r="B25" s="26" t="s">
        <v>34</v>
      </c>
      <c r="C25" s="34">
        <f>C23+C24</f>
        <v>-329032.98697551317</v>
      </c>
    </row>
    <row r="26" spans="1:8" ht="15.75" thickTop="1" x14ac:dyDescent="0.25"/>
    <row r="27" spans="1:8" x14ac:dyDescent="0.25">
      <c r="B27" t="s">
        <v>54</v>
      </c>
      <c r="C27" s="18">
        <f>IRR(C17:H17)</f>
        <v>4.5725980190778559E-2</v>
      </c>
    </row>
    <row r="29" spans="1:8" x14ac:dyDescent="0.25">
      <c r="B29" t="s">
        <v>60</v>
      </c>
    </row>
    <row r="31" spans="1:8" x14ac:dyDescent="0.25">
      <c r="A31" t="s">
        <v>10</v>
      </c>
      <c r="B31" t="str">
        <f>B35</f>
        <v>Miljøgevinst</v>
      </c>
      <c r="C31" s="25">
        <v>75000</v>
      </c>
    </row>
    <row r="32" spans="1:8" x14ac:dyDescent="0.25">
      <c r="C32" s="25"/>
    </row>
    <row r="33" spans="1:9" x14ac:dyDescent="0.25">
      <c r="B33" s="12" t="str">
        <f t="shared" ref="B33:H33" si="3">B12</f>
        <v>År</v>
      </c>
      <c r="C33" s="13">
        <f t="shared" si="3"/>
        <v>0</v>
      </c>
      <c r="D33" s="13">
        <f t="shared" si="3"/>
        <v>1</v>
      </c>
      <c r="E33" s="13">
        <f t="shared" si="3"/>
        <v>2</v>
      </c>
      <c r="F33" s="13">
        <f t="shared" si="3"/>
        <v>3</v>
      </c>
      <c r="G33" s="13">
        <f t="shared" si="3"/>
        <v>4</v>
      </c>
      <c r="H33" s="13">
        <f t="shared" si="3"/>
        <v>5</v>
      </c>
    </row>
    <row r="34" spans="1:9" x14ac:dyDescent="0.25">
      <c r="B34" s="16" t="str">
        <f t="shared" ref="B34:H34" si="4">B17</f>
        <v>Kontantstrøm</v>
      </c>
      <c r="C34" s="48">
        <f t="shared" si="4"/>
        <v>-2000000</v>
      </c>
      <c r="D34" s="46">
        <f t="shared" si="4"/>
        <v>420000</v>
      </c>
      <c r="E34" s="48">
        <f t="shared" si="4"/>
        <v>420000</v>
      </c>
      <c r="F34" s="46">
        <f t="shared" si="4"/>
        <v>420000</v>
      </c>
      <c r="G34" s="48">
        <f t="shared" si="4"/>
        <v>420000</v>
      </c>
      <c r="H34" s="48">
        <f t="shared" si="4"/>
        <v>620000</v>
      </c>
    </row>
    <row r="35" spans="1:9" x14ac:dyDescent="0.25">
      <c r="B35" s="17" t="s">
        <v>61</v>
      </c>
      <c r="C35" s="17"/>
      <c r="D35" s="52">
        <f>$C$31</f>
        <v>75000</v>
      </c>
      <c r="E35" s="49">
        <f t="shared" ref="E35:H35" si="5">$C$31</f>
        <v>75000</v>
      </c>
      <c r="F35" s="53">
        <f t="shared" si="5"/>
        <v>75000</v>
      </c>
      <c r="G35" s="49">
        <f t="shared" si="5"/>
        <v>75000</v>
      </c>
      <c r="H35" s="49">
        <f t="shared" si="5"/>
        <v>75000</v>
      </c>
      <c r="I35" s="11"/>
    </row>
    <row r="36" spans="1:9" x14ac:dyDescent="0.25">
      <c r="B36" s="12" t="s">
        <v>51</v>
      </c>
      <c r="C36" s="47">
        <f>SUM(C34:C35)</f>
        <v>-2000000</v>
      </c>
      <c r="D36" s="47">
        <f t="shared" ref="D36:H36" si="6">SUM(D34:D35)</f>
        <v>495000</v>
      </c>
      <c r="E36" s="47">
        <f t="shared" si="6"/>
        <v>495000</v>
      </c>
      <c r="F36" s="47">
        <f t="shared" si="6"/>
        <v>495000</v>
      </c>
      <c r="G36" s="47">
        <f t="shared" si="6"/>
        <v>495000</v>
      </c>
      <c r="H36" s="47">
        <f t="shared" si="6"/>
        <v>695000</v>
      </c>
    </row>
    <row r="37" spans="1:9" x14ac:dyDescent="0.25">
      <c r="C37" s="46"/>
      <c r="D37" s="46"/>
      <c r="E37" s="46"/>
      <c r="F37" s="46"/>
      <c r="G37" s="46"/>
    </row>
    <row r="38" spans="1:9" x14ac:dyDescent="0.25">
      <c r="B38" t="str">
        <f>B23</f>
        <v>Investering år 0</v>
      </c>
      <c r="C38" s="46">
        <f>C36</f>
        <v>-2000000</v>
      </c>
      <c r="D38" s="46"/>
      <c r="E38" s="46"/>
      <c r="F38" s="46"/>
      <c r="G38" s="46"/>
    </row>
    <row r="39" spans="1:9" x14ac:dyDescent="0.25">
      <c r="B39" t="str">
        <f t="shared" ref="B39:B40" si="7">B24</f>
        <v>Nåverdi av kontantstrøm</v>
      </c>
      <c r="C39" s="46">
        <f>NPV(C8,D36:H36)</f>
        <v>1948159.2893481967</v>
      </c>
      <c r="D39" s="46"/>
      <c r="E39" s="46"/>
      <c r="F39" s="46"/>
      <c r="G39" s="46"/>
    </row>
    <row r="40" spans="1:9" ht="15.75" thickBot="1" x14ac:dyDescent="0.3">
      <c r="B40" s="26" t="str">
        <f t="shared" si="7"/>
        <v>Prosjektets nåverdi</v>
      </c>
      <c r="C40" s="34">
        <f>SUM(C38:C39)</f>
        <v>-51840.710651803296</v>
      </c>
    </row>
    <row r="41" spans="1:9" ht="15.75" thickTop="1" x14ac:dyDescent="0.25"/>
    <row r="42" spans="1:9" x14ac:dyDescent="0.25">
      <c r="B42" t="s">
        <v>54</v>
      </c>
      <c r="C42" s="18">
        <f>IRR(C36:H36)</f>
        <v>0.10011643402166337</v>
      </c>
    </row>
    <row r="44" spans="1:9" x14ac:dyDescent="0.25">
      <c r="B44" t="str">
        <f>B29</f>
        <v>Ikke lønnsom siden nåverdien er mindre enn kr 0 (NV&lt;0) og internrenten &lt; rentekravet.</v>
      </c>
    </row>
    <row r="46" spans="1:9" x14ac:dyDescent="0.25">
      <c r="A46" t="s">
        <v>21</v>
      </c>
      <c r="B46" t="s">
        <v>62</v>
      </c>
    </row>
    <row r="47" spans="1:9" x14ac:dyDescent="0.25">
      <c r="B47" t="s">
        <v>63</v>
      </c>
    </row>
    <row r="48" spans="1:9" x14ac:dyDescent="0.25">
      <c r="B48" t="s">
        <v>64</v>
      </c>
    </row>
    <row r="50" spans="2:2" x14ac:dyDescent="0.25">
      <c r="B50" t="s">
        <v>65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15.1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</dc:creator>
  <cp:lastModifiedBy>Susann Hansen</cp:lastModifiedBy>
  <dcterms:created xsi:type="dcterms:W3CDTF">2015-06-05T18:19:34Z</dcterms:created>
  <dcterms:modified xsi:type="dcterms:W3CDTF">2021-04-13T06:56:11Z</dcterms:modified>
</cp:coreProperties>
</file>