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Løsninger\"/>
    </mc:Choice>
  </mc:AlternateContent>
  <bookViews>
    <workbookView xWindow="480" yWindow="330" windowWidth="8940" windowHeight="4305" tabRatio="877" activeTab="3"/>
  </bookViews>
  <sheets>
    <sheet name="Oppgave 13.9" sheetId="4" r:id="rId1"/>
    <sheet name="Oppgave 13.10" sheetId="5" r:id="rId2"/>
    <sheet name="Oppgave 13.11" sheetId="6" r:id="rId3"/>
    <sheet name="Oppgave 13.12 og 13.13" sheetId="17" r:id="rId4"/>
    <sheet name="Oppgave 13.14 og 13.15" sheetId="7" r:id="rId5"/>
    <sheet name="Oppgave 13.16" sheetId="8" r:id="rId6"/>
    <sheet name="Oppgave 13.17" sheetId="9" r:id="rId7"/>
  </sheets>
  <calcPr calcId="152511"/>
</workbook>
</file>

<file path=xl/calcChain.xml><?xml version="1.0" encoding="utf-8"?>
<calcChain xmlns="http://schemas.openxmlformats.org/spreadsheetml/2006/main">
  <c r="E13" i="9" l="1"/>
  <c r="E34" i="9"/>
  <c r="E10" i="9" s="1"/>
  <c r="G10" i="9" s="1"/>
  <c r="D13" i="9"/>
  <c r="D9" i="9"/>
  <c r="G9" i="9" s="1"/>
  <c r="D12" i="9"/>
  <c r="F12" i="9" s="1"/>
  <c r="D8" i="9"/>
  <c r="G8" i="9" s="1"/>
  <c r="D7" i="9"/>
  <c r="G7" i="9" s="1"/>
  <c r="D17" i="8"/>
  <c r="D21" i="8"/>
  <c r="D18" i="8"/>
  <c r="F10" i="8"/>
  <c r="F9" i="8"/>
  <c r="G8" i="8"/>
  <c r="G7" i="8"/>
  <c r="G6" i="8"/>
  <c r="F13" i="9" l="1"/>
  <c r="D16" i="9"/>
  <c r="E6" i="7" l="1"/>
  <c r="F5" i="7"/>
  <c r="D7" i="6" l="1"/>
  <c r="D6" i="6"/>
  <c r="D6" i="5"/>
  <c r="D11" i="5" s="1"/>
  <c r="F10" i="4"/>
  <c r="F11" i="4"/>
  <c r="G8" i="4"/>
  <c r="E10" i="5" l="1"/>
  <c r="E29" i="9" l="1"/>
  <c r="E25" i="9"/>
  <c r="E24" i="9"/>
  <c r="E26" i="9" s="1"/>
  <c r="E21" i="9"/>
  <c r="D5" i="9" l="1"/>
  <c r="D14" i="9"/>
  <c r="F14" i="9" s="1"/>
  <c r="D6" i="9"/>
  <c r="D15" i="9"/>
  <c r="F15" i="9" s="1"/>
  <c r="E30" i="9"/>
  <c r="E16" i="9"/>
  <c r="F16" i="9" s="1"/>
  <c r="E6" i="9"/>
  <c r="E17" i="9" s="1"/>
  <c r="E27" i="17"/>
  <c r="E28" i="17" s="1"/>
  <c r="D27" i="17"/>
  <c r="D28" i="17" s="1"/>
  <c r="D7" i="17"/>
  <c r="E21" i="6"/>
  <c r="F16" i="6"/>
  <c r="F15" i="6"/>
  <c r="F14" i="6"/>
  <c r="E22" i="6" s="1"/>
  <c r="G6" i="9" l="1"/>
  <c r="G5" i="9"/>
  <c r="D17" i="9"/>
  <c r="E23" i="6"/>
  <c r="C26" i="6" s="1"/>
  <c r="C27" i="6" s="1"/>
  <c r="E7" i="6"/>
  <c r="F7" i="6" s="1"/>
  <c r="E5" i="6"/>
  <c r="F17" i="6"/>
  <c r="F25" i="5"/>
  <c r="E23" i="5"/>
  <c r="D20" i="5" s="1"/>
  <c r="D19" i="5"/>
  <c r="F26" i="5" s="1"/>
  <c r="D18" i="5"/>
  <c r="D13" i="5"/>
  <c r="C19" i="4"/>
  <c r="D5" i="6" l="1"/>
  <c r="G5" i="6" s="1"/>
  <c r="D8" i="6"/>
  <c r="F8" i="6" s="1"/>
  <c r="D10" i="5"/>
  <c r="F10" i="5" s="1"/>
  <c r="D7" i="5"/>
  <c r="G7" i="5" s="1"/>
  <c r="F27" i="5"/>
  <c r="D21" i="5"/>
  <c r="D5" i="5" l="1"/>
  <c r="D9" i="5"/>
  <c r="F9" i="5" s="1"/>
  <c r="C30" i="5"/>
  <c r="C31" i="5" s="1"/>
  <c r="E11" i="5"/>
  <c r="F11" i="5" s="1"/>
  <c r="E5" i="5"/>
  <c r="G5" i="5" l="1"/>
</calcChain>
</file>

<file path=xl/sharedStrings.xml><?xml version="1.0" encoding="utf-8"?>
<sst xmlns="http://schemas.openxmlformats.org/spreadsheetml/2006/main" count="219" uniqueCount="150">
  <si>
    <t>Posteringer</t>
  </si>
  <si>
    <t>Resultat</t>
  </si>
  <si>
    <t>Balanse</t>
  </si>
  <si>
    <t>Nr.</t>
  </si>
  <si>
    <t>Konto</t>
  </si>
  <si>
    <t>b)</t>
  </si>
  <si>
    <t>Avskrivninger</t>
  </si>
  <si>
    <t>Inventar</t>
  </si>
  <si>
    <t>Salg av inventar</t>
  </si>
  <si>
    <t>Avskrivning inventar</t>
  </si>
  <si>
    <t>Gevinst ved salg inventar</t>
  </si>
  <si>
    <t>Biler</t>
  </si>
  <si>
    <t>Salg av bil</t>
  </si>
  <si>
    <t>Avskrivning biler</t>
  </si>
  <si>
    <t>Tap ved salg av bil</t>
  </si>
  <si>
    <t>Maskiner</t>
  </si>
  <si>
    <t>Salg av maskin</t>
  </si>
  <si>
    <t>Gevinst ved salg av maskin</t>
  </si>
  <si>
    <t>a)</t>
  </si>
  <si>
    <t>Varebeholdning</t>
  </si>
  <si>
    <t>Varekjøp</t>
  </si>
  <si>
    <t>Råvarer</t>
  </si>
  <si>
    <t>Varer i arbeid</t>
  </si>
  <si>
    <t>Ferdige varer</t>
  </si>
  <si>
    <t>Kjøp av råvarer</t>
  </si>
  <si>
    <t>Beholdningsendr.via og fv</t>
  </si>
  <si>
    <t>Råvarebeholdning</t>
  </si>
  <si>
    <t>Beholdning varer i arbeid</t>
  </si>
  <si>
    <t>Beholdning ferdige varer</t>
  </si>
  <si>
    <t>Beh.endring via og fv</t>
  </si>
  <si>
    <t>Avskrivning bygninger</t>
  </si>
  <si>
    <t>Avskrivning maskiner</t>
  </si>
  <si>
    <t>Råvarekostnad</t>
  </si>
  <si>
    <t>Bygning</t>
  </si>
  <si>
    <t>Gevinst ved salg av bil</t>
  </si>
  <si>
    <t>Varer</t>
  </si>
  <si>
    <t>c)</t>
  </si>
  <si>
    <t>Frakt</t>
  </si>
  <si>
    <t>–</t>
  </si>
  <si>
    <t>=</t>
  </si>
  <si>
    <t>Resultatregnskap for 20x1:</t>
  </si>
  <si>
    <t>Ref. til rskl.</t>
  </si>
  <si>
    <t>Balanse per 31.12.20x1:</t>
  </si>
  <si>
    <t>Løsning oppgave 13.9</t>
  </si>
  <si>
    <t>Regnskapsmessig verdi solgt inventar: 30 000 – 10 000 = 20 000</t>
  </si>
  <si>
    <t>verdien for det solgte inventaret. Dette gir en gevinst på kr 20 000.</t>
  </si>
  <si>
    <r>
      <t xml:space="preserve">På konto </t>
    </r>
    <r>
      <rPr>
        <i/>
        <sz val="12"/>
        <rFont val="Times New Roman"/>
        <family val="1"/>
      </rPr>
      <t xml:space="preserve">3800 Gevinst ved salg av inventar </t>
    </r>
    <r>
      <rPr>
        <sz val="12"/>
        <rFont val="Times New Roman"/>
        <family val="1"/>
      </rPr>
      <t>stilles salgssummen opp mot den regnskapsmessige</t>
    </r>
  </si>
  <si>
    <t>Salgssum</t>
  </si>
  <si>
    <t>Regnskapsmessig verdi</t>
  </si>
  <si>
    <t>Gevinst</t>
  </si>
  <si>
    <t>Løsning oppgave 13.10</t>
  </si>
  <si>
    <r>
      <t xml:space="preserve">Avskrivning inventar: 70 000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</si>
  <si>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Anskaffelsekost ny bil: 810 000 – 450 000 = 360 000</t>
  </si>
  <si>
    <t>Avskrivning biler:</t>
  </si>
  <si>
    <r>
      <t xml:space="preserve">Ny bil: 360 000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 xml:space="preserve">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4/12 =</t>
    </r>
  </si>
  <si>
    <r>
      <t xml:space="preserve">Solgt bil: 288 000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8/12 =</t>
    </r>
  </si>
  <si>
    <t>Sum avskrivning biler 20x1</t>
  </si>
  <si>
    <t>Anskaffelseskost øvrige biler: 916 000 – 288 000 =</t>
  </si>
  <si>
    <r>
      <t xml:space="preserve">Øvrige biler: 628 000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</si>
  <si>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Salgssum bil</t>
  </si>
  <si>
    <t>Regnskapsmessig verdi solgt bil 1.1.: 288 000 – 184 000 =</t>
  </si>
  <si>
    <t>Avskrivning i 20x1</t>
  </si>
  <si>
    <t>Regnskapsmessig (bokført) verdi på salgstidspunktet</t>
  </si>
  <si>
    <t>Tap ved salg</t>
  </si>
  <si>
    <t>Løsning oppgave 13.11</t>
  </si>
  <si>
    <t>Årets avskrivninger:</t>
  </si>
  <si>
    <t>+</t>
  </si>
  <si>
    <t>Sum avskrivning i år</t>
  </si>
  <si>
    <r>
      <t xml:space="preserve">90 000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3/12 =</t>
    </r>
  </si>
  <si>
    <r>
      <t xml:space="preserve">160 000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9/12 =</t>
    </r>
  </si>
  <si>
    <t>Solgt maskin</t>
  </si>
  <si>
    <t>Ny maskin</t>
  </si>
  <si>
    <t>Øvrige maskiner</t>
  </si>
  <si>
    <t>Tap ved salg av maskin</t>
  </si>
  <si>
    <t>Beregning av gevinst eller tap ved salg av maskin:</t>
  </si>
  <si>
    <t>Regnskapsmessig verdi per 1.1.: 90 000 – 72 000 =</t>
  </si>
  <si>
    <t>Avskrivning i år</t>
  </si>
  <si>
    <t xml:space="preserve">Regnskapsmessig (bokført) verdi på salgstidspunkt </t>
  </si>
  <si>
    <t>Løsning oppgave 13.12</t>
  </si>
  <si>
    <t>Fakturaen fra leverandøren vil se slik ut:</t>
  </si>
  <si>
    <t>25 % merverdiavgift</t>
  </si>
  <si>
    <t>Fakturasum</t>
  </si>
  <si>
    <t>Frakt ekskl. mva.: 750 : 1,25 = 600</t>
  </si>
  <si>
    <t>Slike kostnader inngår ikke i anskaffelseskost.</t>
  </si>
  <si>
    <t>Anskaffelseskost for varepartiet: kr (16 000 + 600) = kr 16 600</t>
  </si>
  <si>
    <t>30.11.</t>
  </si>
  <si>
    <t>Diesel</t>
  </si>
  <si>
    <t>Forventet salgsverdi</t>
  </si>
  <si>
    <t>Salgskostnader</t>
  </si>
  <si>
    <t>Virkelig verdi</t>
  </si>
  <si>
    <t>1.1.</t>
  </si>
  <si>
    <t>31.12.</t>
  </si>
  <si>
    <t>Varelager 1.1.</t>
  </si>
  <si>
    <t>Varelager 31.12.</t>
  </si>
  <si>
    <t>Løsning oppgave 13.13</t>
  </si>
  <si>
    <t>Ifølge regnskapsloven § 5-2 skal beholdningen vurderes etter laveste verdis prinsipp, dvs. til kr 100 000.</t>
  </si>
  <si>
    <r>
      <t xml:space="preserve">Netto fremtidig salgsverdi blir kr (110 000 – 110 000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0,12) =  kr 96 800</t>
    </r>
  </si>
  <si>
    <t>Løsning oppgave 13.14</t>
  </si>
  <si>
    <t>Løsning oppgave 13.15</t>
  </si>
  <si>
    <t>Variabel tilvirkningskost omfatter bare de variable tilvirkningskostnadene.</t>
  </si>
  <si>
    <t>Full tilvirkningskost omfatter både faste og variable tilvirkningskostnader.</t>
  </si>
  <si>
    <t>Materialer</t>
  </si>
  <si>
    <t>(laveste av inntakskost og virkelig verdi)</t>
  </si>
  <si>
    <t>Ferdigvarer</t>
  </si>
  <si>
    <t>(laveste av variabel tilvirkningskost og virkelig verdi)</t>
  </si>
  <si>
    <t>I så fall vil verdsettingen blir slik:</t>
  </si>
  <si>
    <t>Små foretak etter regnskapsloven § 1-6 har anledning til å vurdere egentilvirkede varer til full tilvirkningskost, jf. rskl. § 5-3 andre ledd.</t>
  </si>
  <si>
    <t>(laveste av full tilvirkningskost og virkelig verdi)</t>
  </si>
  <si>
    <t>Løsning oppgave 13.16</t>
  </si>
  <si>
    <t>Beholdningsøkning varer i arbeid</t>
  </si>
  <si>
    <t>og ferdige varer (inntekt)</t>
  </si>
  <si>
    <t>§ 6-1 nr. 3</t>
  </si>
  <si>
    <t>§ 6-1 nr. 5</t>
  </si>
  <si>
    <t>Varebeholdninger</t>
  </si>
  <si>
    <t>*) Oppstillingsplanen for balansen krever ikke spesifikasjon av varebeholdningene.</t>
  </si>
  <si>
    <t>§ 6-2 BI *</t>
  </si>
  <si>
    <t>via = varer i arbeid</t>
  </si>
  <si>
    <t>fv = ferdige varer</t>
  </si>
  <si>
    <t>Beregninger</t>
  </si>
  <si>
    <r>
      <t xml:space="preserve">Avskrivning bygning: kr 7 500 000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0,04 = </t>
    </r>
  </si>
  <si>
    <r>
      <t xml:space="preserve">Solgt maskin: kr 600 000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6/12 =</t>
    </r>
  </si>
  <si>
    <r>
      <t xml:space="preserve">Øvrige maskiner: kr (3 000 000 – 600 000)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</si>
  <si>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Årets avskrivning maskiner</t>
  </si>
  <si>
    <t>Løsning oppgave 13.17</t>
  </si>
  <si>
    <t>Avskrivning maskiner:</t>
  </si>
  <si>
    <t>Salgsum maskin</t>
  </si>
  <si>
    <t>Tap ved salg maskin</t>
  </si>
  <si>
    <t>Tap ved salg av inventar</t>
  </si>
  <si>
    <t>Saldobalansen på konto 1200: IB + anskaffelse i år = 300 000 + 160 000 = 460 000</t>
  </si>
  <si>
    <r>
      <t xml:space="preserve">(650 000 – 90 000)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>0,20 =</t>
    </r>
  </si>
  <si>
    <t>Drivstoff på egne biler er indirekte driftskostnader og vil bli bokført som bilkostnader.</t>
  </si>
  <si>
    <t>Varekostnaden blir kr 880 000</t>
  </si>
  <si>
    <t>Regnskapsm. verdi: 600 000 – 400 000 – 60 000 =</t>
  </si>
  <si>
    <t>Saldo-</t>
  </si>
  <si>
    <t>balanse</t>
  </si>
  <si>
    <t>Bank-</t>
  </si>
  <si>
    <t>innskudd</t>
  </si>
  <si>
    <t>gjeld</t>
  </si>
  <si>
    <t>Leverandør-</t>
  </si>
  <si>
    <t>Inngående</t>
  </si>
  <si>
    <t>mva.</t>
  </si>
  <si>
    <t>Bil-</t>
  </si>
  <si>
    <t>kostnader</t>
  </si>
  <si>
    <r>
      <t xml:space="preserve">Vi legger merke til at vi tar utgangspunkt i den </t>
    </r>
    <r>
      <rPr>
        <i/>
        <sz val="12"/>
        <rFont val="Times New Roman"/>
        <family val="1"/>
      </rPr>
      <t>fremtidige</t>
    </r>
    <r>
      <rPr>
        <sz val="12"/>
        <rFont val="Times New Roman"/>
        <family val="1"/>
      </rPr>
      <t>salgsverdien.</t>
    </r>
  </si>
  <si>
    <t>Varelager per 1.1.: kr 95 000 og per 31.12.: kr 110 000 (laveste verdis prinsipp – se regnskapsloven § 5-2)</t>
  </si>
  <si>
    <t>Virkelig verdi er laveste enn anskaffelseskost. Dermed skal beholdning</t>
  </si>
  <si>
    <t>vurderes til kr 225 000 (netto salgsverdi).</t>
  </si>
  <si>
    <t>Beholdningøkning råvarer: 900 000 – 600 000 =</t>
  </si>
  <si>
    <t>Beholdningsøkning varer i arbeid: 500 000 – 300 000 =</t>
  </si>
  <si>
    <t>Beholdningsnedgang ferdigvarer: 1 000 000 – 950 000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</si>
</sst>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kr&quot;\ * #,##0_-;\-&quot;kr&quot;\ * #,##0_-;_-&quot;kr&quot;\ * &quot;-&quot;_-;_-@_-"/>
  </numFmts>
  <fonts count="8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10" xfId="1" applyFont="1" applyBorder="1" applyAlignment="1" applyProtection="1"/>
    <xf numFmtId="0" fontId="1" fillId="0" borderId="6" xfId="1" applyFont="1" applyBorder="1"/>
    <xf numFmtId="0" fontId="1" fillId="0" borderId="7" xfId="1" applyFont="1" applyBorder="1"/>
    <xf numFmtId="1" fontId="1" fillId="0" borderId="14" xfId="1" applyNumberFormat="1" applyFont="1" applyBorder="1" applyAlignment="1" applyProtection="1">
      <alignment horizontal="center"/>
    </xf>
    <xf numFmtId="3" fontId="1" fillId="0" borderId="15" xfId="1" applyNumberFormat="1" applyFont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Border="1" applyProtection="1"/>
    <xf numFmtId="3" fontId="1" fillId="0" borderId="4" xfId="1" applyNumberFormat="1" applyFont="1" applyBorder="1" applyProtection="1"/>
    <xf numFmtId="3" fontId="1" fillId="0" borderId="16" xfId="1" applyNumberFormat="1" applyFont="1" applyBorder="1" applyProtection="1"/>
    <xf numFmtId="3" fontId="1" fillId="0" borderId="17" xfId="1" applyNumberFormat="1" applyFont="1" applyBorder="1" applyProtection="1"/>
    <xf numFmtId="1" fontId="1" fillId="0" borderId="7" xfId="1" applyNumberFormat="1" applyFont="1" applyBorder="1" applyAlignment="1" applyProtection="1">
      <alignment horizontal="center"/>
    </xf>
    <xf numFmtId="3" fontId="1" fillId="0" borderId="19" xfId="1" applyNumberFormat="1" applyFont="1" applyBorder="1" applyAlignment="1" applyProtection="1">
      <alignment horizontal="left"/>
    </xf>
    <xf numFmtId="3" fontId="1" fillId="0" borderId="6" xfId="1" applyNumberFormat="1" applyFont="1" applyBorder="1" applyProtection="1"/>
    <xf numFmtId="0" fontId="3" fillId="0" borderId="0" xfId="1" applyFont="1"/>
    <xf numFmtId="3" fontId="1" fillId="0" borderId="11" xfId="1" applyNumberFormat="1" applyFont="1" applyBorder="1" applyProtection="1"/>
    <xf numFmtId="3" fontId="1" fillId="0" borderId="5" xfId="1" applyNumberFormat="1" applyFont="1" applyBorder="1" applyProtection="1"/>
    <xf numFmtId="1" fontId="1" fillId="0" borderId="17" xfId="1" applyNumberFormat="1" applyFont="1" applyBorder="1" applyAlignment="1" applyProtection="1">
      <alignment horizontal="center"/>
    </xf>
    <xf numFmtId="0" fontId="1" fillId="0" borderId="18" xfId="1" applyFont="1" applyBorder="1" applyAlignment="1" applyProtection="1">
      <alignment horizontal="left"/>
    </xf>
    <xf numFmtId="3" fontId="1" fillId="0" borderId="21" xfId="1" applyNumberFormat="1" applyFont="1" applyBorder="1" applyProtection="1"/>
    <xf numFmtId="1" fontId="1" fillId="0" borderId="19" xfId="1" applyNumberFormat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left"/>
    </xf>
    <xf numFmtId="3" fontId="1" fillId="0" borderId="22" xfId="1" applyNumberFormat="1" applyFont="1" applyBorder="1" applyProtection="1"/>
    <xf numFmtId="0" fontId="2" fillId="0" borderId="0" xfId="1"/>
    <xf numFmtId="0" fontId="2" fillId="0" borderId="6" xfId="1" applyBorder="1"/>
    <xf numFmtId="0" fontId="2" fillId="0" borderId="7" xfId="1" applyBorder="1"/>
    <xf numFmtId="3" fontId="1" fillId="0" borderId="17" xfId="1" applyNumberFormat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3" fontId="1" fillId="0" borderId="23" xfId="1" applyNumberFormat="1" applyFont="1" applyBorder="1" applyProtection="1"/>
    <xf numFmtId="0" fontId="1" fillId="0" borderId="10" xfId="1" applyFont="1" applyBorder="1" applyAlignment="1" applyProtection="1">
      <alignment horizontal="center"/>
    </xf>
    <xf numFmtId="0" fontId="1" fillId="0" borderId="8" xfId="1" applyFont="1" applyBorder="1" applyAlignment="1" applyProtection="1">
      <alignment horizontal="left"/>
    </xf>
    <xf numFmtId="1" fontId="1" fillId="0" borderId="24" xfId="1" applyNumberFormat="1" applyFont="1" applyBorder="1" applyAlignment="1" applyProtection="1">
      <alignment horizontal="center"/>
    </xf>
    <xf numFmtId="3" fontId="1" fillId="0" borderId="26" xfId="1" applyNumberFormat="1" applyFont="1" applyBorder="1" applyProtection="1"/>
    <xf numFmtId="0" fontId="1" fillId="0" borderId="19" xfId="1" applyFont="1" applyBorder="1"/>
    <xf numFmtId="0" fontId="4" fillId="0" borderId="0" xfId="1" applyFont="1"/>
    <xf numFmtId="3" fontId="1" fillId="0" borderId="0" xfId="1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17" xfId="0" applyNumberFormat="1" applyFont="1" applyBorder="1"/>
    <xf numFmtId="3" fontId="1" fillId="0" borderId="19" xfId="0" applyNumberFormat="1" applyFont="1" applyBorder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0" fontId="6" fillId="0" borderId="0" xfId="1" applyFont="1"/>
    <xf numFmtId="3" fontId="1" fillId="0" borderId="13" xfId="1" applyNumberFormat="1" applyFont="1" applyBorder="1"/>
    <xf numFmtId="1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0" fontId="7" fillId="0" borderId="0" xfId="1" applyFont="1"/>
    <xf numFmtId="3" fontId="2" fillId="0" borderId="0" xfId="1" applyNumberFormat="1"/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3" fontId="1" fillId="0" borderId="20" xfId="1" applyNumberFormat="1" applyFont="1" applyBorder="1" applyProtection="1"/>
    <xf numFmtId="3" fontId="1" fillId="0" borderId="8" xfId="1" applyNumberFormat="1" applyFont="1" applyBorder="1"/>
    <xf numFmtId="3" fontId="1" fillId="0" borderId="13" xfId="0" applyNumberFormat="1" applyFont="1" applyBorder="1"/>
    <xf numFmtId="1" fontId="1" fillId="0" borderId="9" xfId="0" applyNumberFormat="1" applyFont="1" applyBorder="1"/>
    <xf numFmtId="0" fontId="1" fillId="0" borderId="23" xfId="0" applyFont="1" applyBorder="1"/>
    <xf numFmtId="0" fontId="1" fillId="0" borderId="28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29" xfId="0" applyFont="1" applyBorder="1"/>
    <xf numFmtId="1" fontId="1" fillId="0" borderId="27" xfId="0" applyNumberFormat="1" applyFont="1" applyBorder="1"/>
    <xf numFmtId="3" fontId="1" fillId="0" borderId="7" xfId="0" applyNumberFormat="1" applyFont="1" applyBorder="1"/>
    <xf numFmtId="0" fontId="1" fillId="0" borderId="30" xfId="0" quotePrefix="1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1" xfId="0" applyFont="1" applyBorder="1"/>
    <xf numFmtId="0" fontId="1" fillId="0" borderId="32" xfId="0" applyFont="1" applyBorder="1"/>
    <xf numFmtId="0" fontId="1" fillId="0" borderId="22" xfId="0" applyFont="1" applyBorder="1"/>
    <xf numFmtId="0" fontId="1" fillId="0" borderId="33" xfId="0" applyFont="1" applyBorder="1"/>
    <xf numFmtId="0" fontId="1" fillId="0" borderId="1" xfId="0" applyFont="1" applyBorder="1"/>
    <xf numFmtId="0" fontId="1" fillId="0" borderId="13" xfId="0" applyFont="1" applyBorder="1"/>
    <xf numFmtId="3" fontId="1" fillId="0" borderId="12" xfId="0" quotePrefix="1" applyNumberFormat="1" applyFont="1" applyBorder="1" applyAlignment="1">
      <alignment horizontal="center"/>
    </xf>
    <xf numFmtId="3" fontId="1" fillId="0" borderId="12" xfId="0" applyNumberFormat="1" applyFont="1" applyBorder="1"/>
    <xf numFmtId="3" fontId="1" fillId="0" borderId="2" xfId="0" quotePrefix="1" applyNumberFormat="1" applyFont="1" applyBorder="1" applyAlignment="1">
      <alignment horizontal="center"/>
    </xf>
    <xf numFmtId="3" fontId="1" fillId="0" borderId="2" xfId="0" applyNumberFormat="1" applyFont="1" applyBorder="1"/>
    <xf numFmtId="0" fontId="1" fillId="0" borderId="11" xfId="0" applyFont="1" applyBorder="1"/>
    <xf numFmtId="0" fontId="1" fillId="0" borderId="20" xfId="0" applyFont="1" applyBorder="1"/>
    <xf numFmtId="3" fontId="1" fillId="0" borderId="33" xfId="0" applyNumberFormat="1" applyFont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3" fontId="1" fillId="0" borderId="0" xfId="0" applyNumberFormat="1" applyFont="1" applyBorder="1"/>
    <xf numFmtId="3" fontId="1" fillId="0" borderId="0" xfId="1" applyNumberFormat="1" applyFont="1" applyAlignment="1">
      <alignment horizontal="left" indent="1"/>
    </xf>
    <xf numFmtId="1" fontId="1" fillId="0" borderId="0" xfId="1" applyNumberFormat="1" applyFont="1" applyBorder="1" applyAlignment="1" applyProtection="1">
      <alignment horizontal="left"/>
    </xf>
    <xf numFmtId="0" fontId="1" fillId="0" borderId="25" xfId="1" applyFont="1" applyBorder="1" applyAlignment="1" applyProtection="1">
      <alignment horizontal="left"/>
    </xf>
    <xf numFmtId="3" fontId="4" fillId="0" borderId="0" xfId="1" applyNumberFormat="1" applyFont="1"/>
    <xf numFmtId="0" fontId="1" fillId="0" borderId="6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3" fontId="1" fillId="0" borderId="15" xfId="1" applyNumberFormat="1" applyFont="1" applyFill="1" applyBorder="1" applyProtection="1"/>
    <xf numFmtId="3" fontId="1" fillId="0" borderId="10" xfId="1" applyNumberFormat="1" applyFont="1" applyFill="1" applyBorder="1" applyProtection="1"/>
    <xf numFmtId="3" fontId="1" fillId="0" borderId="3" xfId="1" applyNumberFormat="1" applyFont="1" applyFill="1" applyBorder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8" xfId="1" applyNumberFormat="1" applyFont="1" applyFill="1" applyBorder="1" applyProtection="1"/>
    <xf numFmtId="3" fontId="1" fillId="0" borderId="17" xfId="1" applyNumberFormat="1" applyFont="1" applyFill="1" applyBorder="1" applyProtection="1"/>
    <xf numFmtId="3" fontId="1" fillId="0" borderId="7" xfId="1" applyNumberFormat="1" applyFont="1" applyFill="1" applyBorder="1" applyProtection="1">
      <protection locked="0"/>
    </xf>
    <xf numFmtId="3" fontId="1" fillId="0" borderId="19" xfId="1" applyNumberFormat="1" applyFont="1" applyFill="1" applyBorder="1" applyProtection="1">
      <protection locked="0"/>
    </xf>
    <xf numFmtId="3" fontId="1" fillId="0" borderId="20" xfId="1" applyNumberFormat="1" applyFont="1" applyFill="1" applyBorder="1" applyProtection="1"/>
    <xf numFmtId="3" fontId="1" fillId="0" borderId="19" xfId="1" applyNumberFormat="1" applyFont="1" applyFill="1" applyBorder="1" applyProtection="1"/>
    <xf numFmtId="0" fontId="1" fillId="0" borderId="29" xfId="1" applyFont="1" applyFill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center"/>
    </xf>
    <xf numFmtId="1" fontId="1" fillId="0" borderId="5" xfId="1" applyNumberFormat="1" applyFont="1" applyBorder="1" applyAlignment="1" applyProtection="1">
      <alignment horizontal="center"/>
    </xf>
    <xf numFmtId="3" fontId="1" fillId="0" borderId="5" xfId="1" applyNumberFormat="1" applyFont="1" applyFill="1" applyBorder="1" applyProtection="1">
      <protection locked="0"/>
    </xf>
    <xf numFmtId="0" fontId="1" fillId="0" borderId="9" xfId="1" applyFont="1" applyBorder="1" applyAlignment="1" applyProtection="1">
      <alignment horizontal="center"/>
    </xf>
    <xf numFmtId="0" fontId="1" fillId="0" borderId="27" xfId="1" applyFont="1" applyBorder="1" applyAlignment="1" applyProtection="1">
      <alignment horizontal="center"/>
    </xf>
    <xf numFmtId="3" fontId="1" fillId="3" borderId="5" xfId="1" applyNumberFormat="1" applyFont="1" applyFill="1" applyBorder="1" applyProtection="1">
      <protection locked="0"/>
    </xf>
    <xf numFmtId="3" fontId="1" fillId="0" borderId="11" xfId="1" applyNumberFormat="1" applyFont="1" applyFill="1" applyBorder="1" applyProtection="1"/>
    <xf numFmtId="3" fontId="1" fillId="0" borderId="5" xfId="1" applyNumberFormat="1" applyFont="1" applyFill="1" applyBorder="1" applyProtection="1"/>
    <xf numFmtId="3" fontId="1" fillId="0" borderId="4" xfId="1" applyNumberFormat="1" applyFont="1" applyFill="1" applyBorder="1" applyProtection="1"/>
    <xf numFmtId="3" fontId="1" fillId="0" borderId="3" xfId="1" applyNumberFormat="1" applyFont="1" applyFill="1" applyBorder="1" applyProtection="1"/>
    <xf numFmtId="3" fontId="1" fillId="0" borderId="24" xfId="1" applyNumberFormat="1" applyFont="1" applyFill="1" applyBorder="1" applyProtection="1"/>
    <xf numFmtId="3" fontId="1" fillId="0" borderId="24" xfId="1" applyNumberFormat="1" applyFont="1" applyFill="1" applyBorder="1" applyProtection="1">
      <protection locked="0"/>
    </xf>
    <xf numFmtId="3" fontId="1" fillId="0" borderId="25" xfId="1" applyNumberFormat="1" applyFont="1" applyFill="1" applyBorder="1" applyProtection="1"/>
    <xf numFmtId="3" fontId="1" fillId="0" borderId="14" xfId="1" applyNumberFormat="1" applyFont="1" applyFill="1" applyBorder="1" applyProtection="1"/>
    <xf numFmtId="3" fontId="1" fillId="0" borderId="6" xfId="1" applyNumberFormat="1" applyFont="1" applyFill="1" applyBorder="1" applyAlignment="1" applyProtection="1">
      <alignment horizontal="center" vertical="center"/>
    </xf>
    <xf numFmtId="3" fontId="1" fillId="0" borderId="7" xfId="1" applyNumberFormat="1" applyFont="1" applyFill="1" applyBorder="1" applyAlignment="1" applyProtection="1">
      <alignment horizontal="center" vertical="center"/>
    </xf>
    <xf numFmtId="3" fontId="1" fillId="0" borderId="29" xfId="1" applyNumberFormat="1" applyFont="1" applyFill="1" applyBorder="1" applyAlignment="1" applyProtection="1">
      <alignment horizontal="center" vertical="center"/>
    </xf>
    <xf numFmtId="3" fontId="1" fillId="0" borderId="27" xfId="1" applyNumberFormat="1" applyFont="1" applyBorder="1" applyAlignment="1" applyProtection="1">
      <alignment horizontal="center"/>
    </xf>
    <xf numFmtId="3" fontId="1" fillId="0" borderId="27" xfId="1" applyNumberFormat="1" applyFont="1" applyBorder="1" applyAlignment="1" applyProtection="1">
      <alignment horizontal="center"/>
    </xf>
    <xf numFmtId="3" fontId="1" fillId="0" borderId="10" xfId="1" applyNumberFormat="1" applyFont="1" applyBorder="1" applyAlignment="1" applyProtection="1">
      <alignment horizontal="center"/>
    </xf>
    <xf numFmtId="3" fontId="1" fillId="3" borderId="13" xfId="1" applyNumberFormat="1" applyFont="1" applyFill="1" applyBorder="1"/>
    <xf numFmtId="3" fontId="1" fillId="3" borderId="14" xfId="1" applyNumberFormat="1" applyFont="1" applyFill="1" applyBorder="1" applyProtection="1"/>
    <xf numFmtId="3" fontId="1" fillId="2" borderId="13" xfId="1" applyNumberFormat="1" applyFont="1" applyFill="1" applyBorder="1"/>
    <xf numFmtId="3" fontId="1" fillId="2" borderId="10" xfId="1" applyNumberFormat="1" applyFont="1" applyFill="1" applyBorder="1" applyProtection="1">
      <protection locked="0"/>
    </xf>
    <xf numFmtId="3" fontId="1" fillId="2" borderId="17" xfId="1" applyNumberFormat="1" applyFont="1" applyFill="1" applyBorder="1" applyProtection="1">
      <protection locked="0"/>
    </xf>
    <xf numFmtId="3" fontId="1" fillId="0" borderId="5" xfId="0" applyNumberFormat="1" applyFont="1" applyFill="1" applyBorder="1"/>
    <xf numFmtId="3" fontId="1" fillId="0" borderId="17" xfId="0" applyNumberFormat="1" applyFont="1" applyFill="1" applyBorder="1"/>
    <xf numFmtId="3" fontId="1" fillId="0" borderId="19" xfId="0" applyNumberFormat="1" applyFont="1" applyFill="1" applyBorder="1"/>
    <xf numFmtId="3" fontId="1" fillId="0" borderId="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7" xfId="1" applyNumberFormat="1" applyFont="1" applyFill="1" applyBorder="1" applyProtection="1"/>
    <xf numFmtId="3" fontId="1" fillId="0" borderId="8" xfId="1" applyNumberFormat="1" applyFont="1" applyFill="1" applyBorder="1" applyProtection="1"/>
    <xf numFmtId="3" fontId="1" fillId="0" borderId="2" xfId="1" applyNumberFormat="1" applyFont="1" applyBorder="1"/>
    <xf numFmtId="3" fontId="1" fillId="3" borderId="17" xfId="1" applyNumberFormat="1" applyFont="1" applyFill="1" applyBorder="1" applyProtection="1">
      <protection locked="0"/>
    </xf>
    <xf numFmtId="3" fontId="1" fillId="3" borderId="7" xfId="1" applyNumberFormat="1" applyFont="1" applyFill="1" applyBorder="1" applyProtection="1">
      <protection locked="0"/>
    </xf>
    <xf numFmtId="0" fontId="1" fillId="0" borderId="9" xfId="1" applyFont="1" applyBorder="1" applyAlignment="1" applyProtection="1">
      <alignment horizontal="center"/>
    </xf>
    <xf numFmtId="0" fontId="1" fillId="0" borderId="27" xfId="1" applyFont="1" applyBorder="1" applyAlignment="1" applyProtection="1">
      <alignment horizontal="center"/>
    </xf>
    <xf numFmtId="3" fontId="1" fillId="0" borderId="9" xfId="1" applyNumberFormat="1" applyFont="1" applyBorder="1" applyAlignment="1" applyProtection="1">
      <alignment horizontal="center"/>
    </xf>
    <xf numFmtId="3" fontId="1" fillId="0" borderId="27" xfId="1" applyNumberFormat="1" applyFont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showZeros="0" workbookViewId="0">
      <selection activeCell="M19" sqref="M19"/>
    </sheetView>
  </sheetViews>
  <sheetFormatPr baseColWidth="10" defaultRowHeight="15.75" x14ac:dyDescent="0.25"/>
  <cols>
    <col min="1" max="1" width="6.5703125" style="2" bestFit="1" customWidth="1"/>
    <col min="2" max="2" width="22.5703125" style="2" bestFit="1" customWidth="1"/>
    <col min="3" max="10" width="9.7109375" style="2" customWidth="1"/>
    <col min="11" max="16384" width="11.42578125" style="2"/>
  </cols>
  <sheetData>
    <row r="1" spans="1:7" x14ac:dyDescent="0.25">
      <c r="A1" s="16" t="s">
        <v>43</v>
      </c>
    </row>
    <row r="3" spans="1:7" x14ac:dyDescent="0.25">
      <c r="A3" s="2" t="s">
        <v>18</v>
      </c>
      <c r="B3" s="2" t="s">
        <v>44</v>
      </c>
    </row>
    <row r="5" spans="1:7" x14ac:dyDescent="0.25">
      <c r="A5" s="2" t="s">
        <v>5</v>
      </c>
    </row>
    <row r="6" spans="1:7" x14ac:dyDescent="0.25">
      <c r="A6" s="107" t="s">
        <v>3</v>
      </c>
      <c r="B6" s="3" t="s">
        <v>4</v>
      </c>
      <c r="C6" s="106" t="s">
        <v>133</v>
      </c>
      <c r="D6" s="143" t="s">
        <v>0</v>
      </c>
      <c r="E6" s="144"/>
      <c r="F6" s="31" t="s">
        <v>1</v>
      </c>
      <c r="G6" s="31" t="s">
        <v>2</v>
      </c>
    </row>
    <row r="7" spans="1:7" x14ac:dyDescent="0.25">
      <c r="A7" s="4"/>
      <c r="B7" s="5"/>
      <c r="C7" s="93" t="s">
        <v>134</v>
      </c>
      <c r="D7" s="93"/>
      <c r="E7" s="105"/>
      <c r="F7" s="93"/>
      <c r="G7" s="94"/>
    </row>
    <row r="8" spans="1:7" x14ac:dyDescent="0.25">
      <c r="A8" s="108">
        <v>1250</v>
      </c>
      <c r="B8" s="18" t="s">
        <v>7</v>
      </c>
      <c r="C8" s="17">
        <v>400000</v>
      </c>
      <c r="D8" s="109">
        <v>-20000</v>
      </c>
      <c r="E8" s="109">
        <v>-50000</v>
      </c>
      <c r="F8" s="113"/>
      <c r="G8" s="114">
        <f>SUM(C8:F8)</f>
        <v>330000</v>
      </c>
    </row>
    <row r="9" spans="1:7" x14ac:dyDescent="0.25">
      <c r="A9" s="8">
        <v>1259</v>
      </c>
      <c r="B9" s="11" t="s">
        <v>8</v>
      </c>
      <c r="C9" s="9">
        <v>-40000</v>
      </c>
      <c r="D9" s="97"/>
      <c r="E9" s="97">
        <v>40000</v>
      </c>
      <c r="F9" s="115"/>
      <c r="G9" s="116"/>
    </row>
    <row r="10" spans="1:7" x14ac:dyDescent="0.25">
      <c r="A10" s="19">
        <v>3800</v>
      </c>
      <c r="B10" s="20" t="s">
        <v>10</v>
      </c>
      <c r="C10" s="21"/>
      <c r="D10" s="100">
        <v>20000</v>
      </c>
      <c r="E10" s="98">
        <v>-40000</v>
      </c>
      <c r="F10" s="99">
        <f>SUM(D10:E10)</f>
        <v>-20000</v>
      </c>
      <c r="G10" s="100"/>
    </row>
    <row r="11" spans="1:7" x14ac:dyDescent="0.25">
      <c r="A11" s="33">
        <v>6010</v>
      </c>
      <c r="B11" s="91" t="s">
        <v>9</v>
      </c>
      <c r="C11" s="34"/>
      <c r="D11" s="117"/>
      <c r="E11" s="118">
        <v>50000</v>
      </c>
      <c r="F11" s="119">
        <f>SUM(E11)</f>
        <v>50000</v>
      </c>
      <c r="G11" s="117"/>
    </row>
    <row r="12" spans="1:7" x14ac:dyDescent="0.25">
      <c r="A12" s="22">
        <v>7800</v>
      </c>
      <c r="B12" s="23" t="s">
        <v>127</v>
      </c>
      <c r="C12" s="24"/>
      <c r="D12" s="104"/>
      <c r="E12" s="102"/>
      <c r="F12" s="103"/>
      <c r="G12" s="104"/>
    </row>
    <row r="14" spans="1:7" x14ac:dyDescent="0.25">
      <c r="B14" s="2" t="s">
        <v>46</v>
      </c>
    </row>
    <row r="15" spans="1:7" x14ac:dyDescent="0.25">
      <c r="B15" s="2" t="s">
        <v>45</v>
      </c>
    </row>
    <row r="17" spans="1:13" x14ac:dyDescent="0.25">
      <c r="B17" s="2" t="s">
        <v>47</v>
      </c>
      <c r="C17" s="37">
        <v>40000</v>
      </c>
    </row>
    <row r="18" spans="1:13" x14ac:dyDescent="0.25">
      <c r="B18" s="2" t="s">
        <v>48</v>
      </c>
      <c r="C18" s="37">
        <v>20000</v>
      </c>
    </row>
    <row r="19" spans="1:13" s="36" customFormat="1" ht="20.25" x14ac:dyDescent="0.3">
      <c r="A19" s="2"/>
      <c r="B19" s="2" t="s">
        <v>49</v>
      </c>
      <c r="C19" s="49">
        <f>C17-C18</f>
        <v>20000</v>
      </c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ortState ref="A11:J12">
    <sortCondition ref="A11"/>
  </sortState>
  <mergeCells count="1">
    <mergeCell ref="D6:E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13.9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Zeros="0" workbookViewId="0">
      <selection activeCell="F15" sqref="F15"/>
    </sheetView>
  </sheetViews>
  <sheetFormatPr baseColWidth="10" defaultRowHeight="12.75" x14ac:dyDescent="0.2"/>
  <cols>
    <col min="1" max="1" width="5.5703125" style="25" bestFit="1" customWidth="1"/>
    <col min="2" max="2" width="20.85546875" style="25" bestFit="1" customWidth="1"/>
    <col min="3" max="16384" width="11.42578125" style="25"/>
  </cols>
  <sheetData>
    <row r="1" spans="1:11" s="2" customFormat="1" ht="15.75" x14ac:dyDescent="0.25">
      <c r="A1" s="16" t="s">
        <v>50</v>
      </c>
    </row>
    <row r="2" spans="1:11" s="2" customFormat="1" ht="15.75" x14ac:dyDescent="0.25">
      <c r="A2" s="16"/>
    </row>
    <row r="3" spans="1:11" s="2" customFormat="1" ht="15.75" x14ac:dyDescent="0.25">
      <c r="A3" s="107" t="s">
        <v>3</v>
      </c>
      <c r="B3" s="3" t="s">
        <v>4</v>
      </c>
      <c r="C3" s="106" t="s">
        <v>133</v>
      </c>
      <c r="D3" s="143" t="s">
        <v>0</v>
      </c>
      <c r="E3" s="144"/>
      <c r="F3" s="31" t="s">
        <v>1</v>
      </c>
      <c r="G3" s="31" t="s">
        <v>2</v>
      </c>
    </row>
    <row r="4" spans="1:11" s="2" customFormat="1" ht="15.75" x14ac:dyDescent="0.25">
      <c r="A4" s="26"/>
      <c r="B4" s="27"/>
      <c r="C4" s="93" t="s">
        <v>134</v>
      </c>
      <c r="D4" s="93"/>
      <c r="E4" s="105"/>
      <c r="F4" s="93"/>
      <c r="G4" s="94"/>
    </row>
    <row r="5" spans="1:11" s="2" customFormat="1" ht="15.75" x14ac:dyDescent="0.25">
      <c r="A5" s="108">
        <v>1230</v>
      </c>
      <c r="B5" s="18" t="s">
        <v>11</v>
      </c>
      <c r="C5" s="17">
        <v>810000</v>
      </c>
      <c r="D5" s="109">
        <f>-D21</f>
        <v>-188000</v>
      </c>
      <c r="E5" s="109">
        <f>-F27</f>
        <v>-65600</v>
      </c>
      <c r="F5" s="113"/>
      <c r="G5" s="114">
        <f>SUM(C5:F5)</f>
        <v>556400</v>
      </c>
    </row>
    <row r="6" spans="1:11" s="2" customFormat="1" ht="15.75" x14ac:dyDescent="0.25">
      <c r="A6" s="8">
        <v>1239</v>
      </c>
      <c r="B6" s="11" t="s">
        <v>12</v>
      </c>
      <c r="C6" s="12">
        <v>-60000</v>
      </c>
      <c r="D6" s="97">
        <f>-C6</f>
        <v>60000</v>
      </c>
      <c r="E6" s="97"/>
      <c r="F6" s="115"/>
      <c r="G6" s="116"/>
    </row>
    <row r="7" spans="1:11" s="2" customFormat="1" ht="15.75" x14ac:dyDescent="0.25">
      <c r="A7" s="8">
        <v>1250</v>
      </c>
      <c r="B7" s="11" t="s">
        <v>7</v>
      </c>
      <c r="C7" s="9">
        <v>70000</v>
      </c>
      <c r="D7" s="97">
        <f>-D13</f>
        <v>-14000</v>
      </c>
      <c r="E7" s="98"/>
      <c r="F7" s="99"/>
      <c r="G7" s="100">
        <f>SUM(C7:D7)</f>
        <v>56000</v>
      </c>
    </row>
    <row r="8" spans="1:11" s="2" customFormat="1" ht="15.75" x14ac:dyDescent="0.25">
      <c r="A8" s="8">
        <v>3800</v>
      </c>
      <c r="B8" s="11" t="s">
        <v>34</v>
      </c>
      <c r="C8" s="11"/>
      <c r="D8" s="97"/>
      <c r="E8" s="98"/>
      <c r="F8" s="99"/>
      <c r="G8" s="100"/>
    </row>
    <row r="9" spans="1:11" s="2" customFormat="1" ht="15.75" x14ac:dyDescent="0.25">
      <c r="A9" s="8">
        <v>6010</v>
      </c>
      <c r="B9" s="28" t="s">
        <v>13</v>
      </c>
      <c r="C9" s="11"/>
      <c r="D9" s="97">
        <f>D21</f>
        <v>188000</v>
      </c>
      <c r="E9" s="98"/>
      <c r="F9" s="99">
        <f>SUM(D9:E9)</f>
        <v>188000</v>
      </c>
      <c r="G9" s="100"/>
    </row>
    <row r="10" spans="1:11" s="2" customFormat="1" ht="15.75" x14ac:dyDescent="0.25">
      <c r="A10" s="6">
        <v>6011</v>
      </c>
      <c r="B10" s="29" t="s">
        <v>9</v>
      </c>
      <c r="C10" s="30"/>
      <c r="D10" s="120">
        <f>D13</f>
        <v>14000</v>
      </c>
      <c r="E10" s="118">
        <f>F7</f>
        <v>0</v>
      </c>
      <c r="F10" s="99">
        <f t="shared" ref="F10:F11" si="0">SUM(D10:E10)</f>
        <v>14000</v>
      </c>
      <c r="G10" s="100"/>
    </row>
    <row r="11" spans="1:11" s="2" customFormat="1" ht="15.75" x14ac:dyDescent="0.25">
      <c r="A11" s="22">
        <v>7800</v>
      </c>
      <c r="B11" s="23" t="s">
        <v>14</v>
      </c>
      <c r="C11" s="24"/>
      <c r="D11" s="104">
        <f>-D6</f>
        <v>-60000</v>
      </c>
      <c r="E11" s="102">
        <f>F27</f>
        <v>65600</v>
      </c>
      <c r="F11" s="104">
        <f t="shared" si="0"/>
        <v>5600</v>
      </c>
      <c r="G11" s="104"/>
    </row>
    <row r="12" spans="1:11" s="2" customFormat="1" ht="15.75" x14ac:dyDescent="0.25">
      <c r="C12" s="37"/>
      <c r="D12" s="37"/>
      <c r="E12" s="37"/>
      <c r="F12" s="37"/>
      <c r="G12" s="37"/>
      <c r="H12" s="37"/>
      <c r="I12" s="37"/>
      <c r="J12" s="37"/>
      <c r="K12" s="37"/>
    </row>
    <row r="13" spans="1:11" s="2" customFormat="1" ht="15.75" x14ac:dyDescent="0.25">
      <c r="A13" s="2" t="s">
        <v>51</v>
      </c>
      <c r="C13" s="37"/>
      <c r="D13" s="37">
        <f>70000*0.2</f>
        <v>14000</v>
      </c>
      <c r="E13" s="37"/>
      <c r="F13" s="37"/>
      <c r="G13" s="37"/>
      <c r="H13" s="37"/>
      <c r="I13" s="37"/>
      <c r="J13" s="37"/>
      <c r="K13" s="37"/>
    </row>
    <row r="14" spans="1:11" s="2" customFormat="1" ht="15.75" x14ac:dyDescent="0.25">
      <c r="C14" s="37"/>
      <c r="D14" s="37"/>
      <c r="E14" s="37"/>
      <c r="F14" s="37"/>
      <c r="G14" s="37"/>
      <c r="H14" s="37"/>
      <c r="I14" s="37"/>
      <c r="J14" s="37"/>
      <c r="K14" s="37"/>
    </row>
    <row r="15" spans="1:11" s="2" customFormat="1" ht="15.75" x14ac:dyDescent="0.25">
      <c r="A15" s="2" t="s">
        <v>52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s="2" customFormat="1" ht="15.75" x14ac:dyDescent="0.25">
      <c r="C16" s="37"/>
      <c r="D16" s="37"/>
      <c r="E16" s="37"/>
      <c r="F16" s="37"/>
      <c r="G16" s="37"/>
      <c r="H16" s="37"/>
      <c r="I16" s="37"/>
      <c r="J16" s="37"/>
      <c r="K16" s="37"/>
    </row>
    <row r="17" spans="1:14" s="2" customFormat="1" ht="15.75" x14ac:dyDescent="0.25">
      <c r="A17" s="55" t="s">
        <v>53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4" s="2" customFormat="1" ht="15.75" x14ac:dyDescent="0.25">
      <c r="A18" s="2" t="s">
        <v>54</v>
      </c>
      <c r="C18" s="37"/>
      <c r="D18" s="37">
        <f>360000*0.2*4/12</f>
        <v>24000</v>
      </c>
      <c r="E18" s="37"/>
      <c r="F18" s="37"/>
      <c r="G18" s="37"/>
      <c r="H18" s="37"/>
      <c r="I18" s="37"/>
      <c r="J18" s="37"/>
      <c r="K18" s="37"/>
    </row>
    <row r="19" spans="1:14" s="2" customFormat="1" ht="15.75" x14ac:dyDescent="0.25">
      <c r="A19" s="2" t="s">
        <v>55</v>
      </c>
      <c r="C19" s="37"/>
      <c r="D19" s="37">
        <f>288000*0.2*8/12</f>
        <v>38400</v>
      </c>
      <c r="E19" s="37"/>
      <c r="F19" s="37"/>
      <c r="G19" s="37"/>
      <c r="H19" s="37"/>
      <c r="I19" s="37"/>
      <c r="J19" s="37"/>
      <c r="K19" s="37"/>
    </row>
    <row r="20" spans="1:14" s="2" customFormat="1" ht="15.75" x14ac:dyDescent="0.25">
      <c r="A20" s="2" t="s">
        <v>58</v>
      </c>
      <c r="C20" s="37"/>
      <c r="D20" s="37">
        <f>E23*0.2</f>
        <v>125600</v>
      </c>
      <c r="E20" s="37"/>
      <c r="F20" s="37"/>
      <c r="G20" s="37"/>
      <c r="H20" s="37"/>
      <c r="I20" s="37"/>
      <c r="J20" s="37"/>
      <c r="K20" s="37"/>
    </row>
    <row r="21" spans="1:14" s="36" customFormat="1" ht="20.25" x14ac:dyDescent="0.3">
      <c r="A21" s="2" t="s">
        <v>56</v>
      </c>
      <c r="B21" s="2"/>
      <c r="C21" s="37"/>
      <c r="D21" s="49">
        <f>SUM(D18:D20)</f>
        <v>188000</v>
      </c>
      <c r="E21" s="37"/>
      <c r="F21" s="37"/>
      <c r="G21" s="37"/>
      <c r="H21" s="37"/>
      <c r="I21" s="37"/>
      <c r="J21" s="37"/>
      <c r="K21" s="37"/>
      <c r="L21" s="2"/>
      <c r="M21" s="2"/>
      <c r="N21" s="2"/>
    </row>
    <row r="22" spans="1:14" s="2" customFormat="1" ht="15.75" x14ac:dyDescent="0.25">
      <c r="C22" s="37"/>
      <c r="D22" s="37"/>
      <c r="E22" s="37"/>
      <c r="F22" s="37"/>
      <c r="G22" s="37"/>
      <c r="H22" s="37"/>
      <c r="I22" s="37"/>
      <c r="J22" s="37"/>
      <c r="K22" s="37"/>
    </row>
    <row r="23" spans="1:14" s="2" customFormat="1" ht="15.75" x14ac:dyDescent="0.25">
      <c r="A23" s="2" t="s">
        <v>57</v>
      </c>
      <c r="C23" s="37"/>
      <c r="D23" s="37"/>
      <c r="E23" s="37">
        <f>916000-288000</f>
        <v>628000</v>
      </c>
      <c r="F23" s="37"/>
      <c r="G23" s="37"/>
      <c r="H23" s="37"/>
      <c r="I23" s="37"/>
      <c r="J23" s="37"/>
      <c r="K23" s="37"/>
    </row>
    <row r="24" spans="1:14" s="2" customFormat="1" ht="15.75" x14ac:dyDescent="0.25">
      <c r="C24" s="37"/>
      <c r="D24" s="37"/>
      <c r="E24" s="37"/>
      <c r="F24" s="37"/>
      <c r="G24" s="37"/>
      <c r="H24" s="37"/>
      <c r="I24" s="37"/>
      <c r="J24" s="37"/>
      <c r="K24" s="37"/>
    </row>
    <row r="25" spans="1:14" s="2" customFormat="1" ht="15.75" x14ac:dyDescent="0.25">
      <c r="A25" s="2" t="s">
        <v>60</v>
      </c>
      <c r="C25" s="37"/>
      <c r="D25" s="37"/>
      <c r="E25" s="37"/>
      <c r="F25" s="37">
        <f>288000-184000</f>
        <v>104000</v>
      </c>
      <c r="G25" s="37"/>
      <c r="H25" s="37"/>
      <c r="I25" s="37"/>
      <c r="J25" s="37"/>
      <c r="K25" s="37"/>
    </row>
    <row r="26" spans="1:14" s="2" customFormat="1" ht="15.75" x14ac:dyDescent="0.25">
      <c r="A26" s="2" t="s">
        <v>61</v>
      </c>
      <c r="C26" s="37"/>
      <c r="D26" s="37"/>
      <c r="E26" s="37"/>
      <c r="F26" s="37">
        <f>D19</f>
        <v>38400</v>
      </c>
      <c r="G26" s="37"/>
      <c r="H26" s="37"/>
      <c r="I26" s="37"/>
      <c r="J26" s="37"/>
      <c r="K26" s="37"/>
    </row>
    <row r="27" spans="1:14" s="36" customFormat="1" ht="20.25" x14ac:dyDescent="0.3">
      <c r="A27" s="2" t="s">
        <v>62</v>
      </c>
      <c r="B27" s="2"/>
      <c r="C27" s="37"/>
      <c r="D27" s="37"/>
      <c r="E27" s="37"/>
      <c r="F27" s="49">
        <f>F25-F26</f>
        <v>65600</v>
      </c>
      <c r="G27" s="37"/>
      <c r="H27" s="37"/>
      <c r="I27" s="37"/>
      <c r="J27" s="37"/>
      <c r="K27" s="37"/>
      <c r="L27" s="2"/>
    </row>
    <row r="28" spans="1:14" s="2" customFormat="1" ht="15.75" x14ac:dyDescent="0.25">
      <c r="C28" s="37"/>
      <c r="D28" s="37"/>
      <c r="E28" s="37"/>
      <c r="F28" s="37"/>
      <c r="G28" s="37"/>
      <c r="H28" s="37"/>
      <c r="I28" s="37"/>
      <c r="J28" s="37"/>
      <c r="K28" s="37"/>
    </row>
    <row r="29" spans="1:14" s="2" customFormat="1" ht="15.75" x14ac:dyDescent="0.25">
      <c r="A29" s="2" t="s">
        <v>59</v>
      </c>
      <c r="C29" s="37">
        <v>60000</v>
      </c>
      <c r="D29" s="37"/>
      <c r="E29" s="37"/>
      <c r="F29" s="37"/>
      <c r="G29" s="37"/>
      <c r="H29" s="37"/>
      <c r="I29" s="37"/>
      <c r="J29" s="37"/>
      <c r="K29" s="37"/>
    </row>
    <row r="30" spans="1:14" s="2" customFormat="1" ht="15.75" x14ac:dyDescent="0.25">
      <c r="A30" s="2" t="s">
        <v>48</v>
      </c>
      <c r="C30" s="37">
        <f>F27</f>
        <v>65600</v>
      </c>
      <c r="D30" s="37"/>
      <c r="E30" s="37"/>
      <c r="F30" s="37"/>
      <c r="G30" s="37"/>
      <c r="H30" s="37"/>
      <c r="I30" s="37"/>
      <c r="J30" s="37"/>
      <c r="K30" s="37"/>
    </row>
    <row r="31" spans="1:14" s="36" customFormat="1" ht="20.25" x14ac:dyDescent="0.3">
      <c r="A31" s="2" t="s">
        <v>63</v>
      </c>
      <c r="B31" s="2"/>
      <c r="C31" s="49">
        <f>C30-C29</f>
        <v>5600</v>
      </c>
      <c r="D31" s="37"/>
      <c r="E31" s="37"/>
      <c r="F31" s="37"/>
      <c r="G31" s="37"/>
      <c r="H31" s="37"/>
      <c r="I31" s="37"/>
      <c r="J31" s="37"/>
      <c r="K31" s="37"/>
      <c r="L31" s="2"/>
      <c r="M31" s="2"/>
      <c r="N31" s="2"/>
    </row>
    <row r="32" spans="1:14" s="2" customFormat="1" ht="15.75" x14ac:dyDescent="0.25">
      <c r="C32" s="37"/>
      <c r="D32" s="37"/>
      <c r="E32" s="37"/>
      <c r="F32" s="37"/>
      <c r="G32" s="37"/>
      <c r="H32" s="37"/>
      <c r="I32" s="37"/>
      <c r="J32" s="37"/>
      <c r="K32" s="37"/>
    </row>
    <row r="33" spans="3:11" x14ac:dyDescent="0.2">
      <c r="C33" s="56"/>
      <c r="D33" s="56"/>
      <c r="E33" s="56"/>
      <c r="F33" s="56"/>
      <c r="G33" s="56"/>
      <c r="H33" s="56"/>
      <c r="I33" s="56"/>
      <c r="J33" s="56"/>
      <c r="K33" s="56"/>
    </row>
    <row r="34" spans="3:11" x14ac:dyDescent="0.2">
      <c r="C34" s="56"/>
      <c r="D34" s="56"/>
      <c r="E34" s="56"/>
      <c r="F34" s="56"/>
      <c r="G34" s="56"/>
      <c r="H34" s="56"/>
      <c r="I34" s="56"/>
      <c r="J34" s="56"/>
      <c r="K34" s="56"/>
    </row>
    <row r="35" spans="3:11" x14ac:dyDescent="0.2">
      <c r="C35" s="56"/>
      <c r="D35" s="56"/>
      <c r="E35" s="56"/>
      <c r="F35" s="56"/>
      <c r="G35" s="56"/>
      <c r="H35" s="56"/>
      <c r="I35" s="56"/>
      <c r="J35" s="56"/>
      <c r="K35" s="56"/>
    </row>
    <row r="36" spans="3:11" x14ac:dyDescent="0.2">
      <c r="C36" s="56"/>
      <c r="D36" s="56"/>
      <c r="E36" s="56"/>
      <c r="F36" s="56"/>
      <c r="G36" s="56"/>
      <c r="H36" s="56"/>
      <c r="I36" s="56"/>
      <c r="J36" s="56"/>
      <c r="K36" s="56"/>
    </row>
    <row r="37" spans="3:11" x14ac:dyDescent="0.2">
      <c r="C37" s="56"/>
      <c r="D37" s="56"/>
      <c r="E37" s="56"/>
      <c r="F37" s="56"/>
      <c r="G37" s="56"/>
      <c r="H37" s="56"/>
      <c r="I37" s="56"/>
      <c r="J37" s="56"/>
      <c r="K37" s="56"/>
    </row>
    <row r="38" spans="3:11" x14ac:dyDescent="0.2">
      <c r="C38" s="56"/>
      <c r="D38" s="56"/>
      <c r="E38" s="56"/>
      <c r="F38" s="56"/>
      <c r="G38" s="56"/>
      <c r="H38" s="56"/>
      <c r="I38" s="56"/>
      <c r="J38" s="56"/>
      <c r="K38" s="56"/>
    </row>
    <row r="39" spans="3:11" x14ac:dyDescent="0.2">
      <c r="C39" s="56"/>
      <c r="D39" s="56"/>
      <c r="E39" s="56"/>
      <c r="F39" s="56"/>
      <c r="G39" s="56"/>
      <c r="H39" s="56"/>
      <c r="I39" s="56"/>
      <c r="J39" s="56"/>
      <c r="K39" s="56"/>
    </row>
    <row r="40" spans="3:11" x14ac:dyDescent="0.2">
      <c r="C40" s="56"/>
      <c r="D40" s="56"/>
      <c r="E40" s="56"/>
      <c r="F40" s="56"/>
      <c r="G40" s="56"/>
      <c r="H40" s="56"/>
      <c r="I40" s="56"/>
      <c r="J40" s="56"/>
      <c r="K40" s="56"/>
    </row>
    <row r="41" spans="3:11" x14ac:dyDescent="0.2">
      <c r="C41" s="56"/>
      <c r="D41" s="56"/>
      <c r="E41" s="56"/>
      <c r="F41" s="56"/>
      <c r="G41" s="56"/>
      <c r="H41" s="56"/>
      <c r="I41" s="56"/>
      <c r="J41" s="56"/>
      <c r="K41" s="56"/>
    </row>
    <row r="42" spans="3:11" x14ac:dyDescent="0.2">
      <c r="C42" s="56"/>
      <c r="D42" s="56"/>
      <c r="E42" s="56"/>
      <c r="F42" s="56"/>
      <c r="G42" s="56"/>
      <c r="H42" s="56"/>
      <c r="I42" s="56"/>
      <c r="J42" s="56"/>
      <c r="K42" s="56"/>
    </row>
    <row r="43" spans="3:11" x14ac:dyDescent="0.2">
      <c r="C43" s="56"/>
      <c r="D43" s="56"/>
      <c r="E43" s="56"/>
      <c r="F43" s="56"/>
      <c r="G43" s="56"/>
      <c r="H43" s="56"/>
      <c r="I43" s="56"/>
      <c r="J43" s="56"/>
      <c r="K43" s="56"/>
    </row>
    <row r="44" spans="3:11" x14ac:dyDescent="0.2">
      <c r="C44" s="56"/>
      <c r="D44" s="56"/>
      <c r="E44" s="56"/>
      <c r="F44" s="56"/>
      <c r="G44" s="56"/>
      <c r="H44" s="56"/>
      <c r="I44" s="56"/>
      <c r="J44" s="56"/>
      <c r="K44" s="56"/>
    </row>
    <row r="45" spans="3:11" x14ac:dyDescent="0.2">
      <c r="C45" s="56"/>
      <c r="D45" s="56"/>
      <c r="E45" s="56"/>
      <c r="F45" s="56"/>
      <c r="G45" s="56"/>
      <c r="H45" s="56"/>
      <c r="I45" s="56"/>
      <c r="J45" s="56"/>
      <c r="K45" s="56"/>
    </row>
    <row r="46" spans="3:11" x14ac:dyDescent="0.2">
      <c r="C46" s="56"/>
      <c r="D46" s="56"/>
      <c r="E46" s="56"/>
      <c r="F46" s="56"/>
      <c r="G46" s="56"/>
      <c r="H46" s="56"/>
      <c r="I46" s="56"/>
      <c r="J46" s="56"/>
      <c r="K46" s="56"/>
    </row>
    <row r="47" spans="3:11" x14ac:dyDescent="0.2">
      <c r="C47" s="56"/>
      <c r="D47" s="56"/>
      <c r="E47" s="56"/>
      <c r="F47" s="56"/>
      <c r="G47" s="56"/>
      <c r="H47" s="56"/>
      <c r="I47" s="56"/>
      <c r="J47" s="56"/>
      <c r="K47" s="56"/>
    </row>
    <row r="48" spans="3:11" x14ac:dyDescent="0.2">
      <c r="C48" s="56"/>
      <c r="D48" s="56"/>
      <c r="E48" s="56"/>
      <c r="F48" s="56"/>
      <c r="G48" s="56"/>
      <c r="H48" s="56"/>
      <c r="I48" s="56"/>
      <c r="J48" s="56"/>
      <c r="K48" s="56"/>
    </row>
    <row r="49" spans="3:11" x14ac:dyDescent="0.2">
      <c r="C49" s="56"/>
      <c r="D49" s="56"/>
      <c r="E49" s="56"/>
      <c r="F49" s="56"/>
      <c r="G49" s="56"/>
      <c r="H49" s="56"/>
      <c r="I49" s="56"/>
      <c r="J49" s="56"/>
      <c r="K49" s="56"/>
    </row>
  </sheetData>
  <mergeCells count="1">
    <mergeCell ref="D3:E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13.10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workbookViewId="0">
      <selection activeCell="K13" sqref="K13"/>
    </sheetView>
  </sheetViews>
  <sheetFormatPr baseColWidth="10" defaultRowHeight="15.75" x14ac:dyDescent="0.25"/>
  <cols>
    <col min="1" max="1" width="5.7109375" style="2" bestFit="1" customWidth="1"/>
    <col min="2" max="2" width="24.42578125" style="2" bestFit="1" customWidth="1"/>
    <col min="3" max="10" width="11.42578125" style="37"/>
    <col min="11" max="16384" width="11.42578125" style="2"/>
  </cols>
  <sheetData>
    <row r="1" spans="1:10" x14ac:dyDescent="0.25">
      <c r="A1" s="16" t="s">
        <v>64</v>
      </c>
    </row>
    <row r="2" spans="1:10" x14ac:dyDescent="0.25">
      <c r="A2" s="16"/>
    </row>
    <row r="3" spans="1:10" x14ac:dyDescent="0.25">
      <c r="A3" s="31" t="s">
        <v>3</v>
      </c>
      <c r="B3" s="3" t="s">
        <v>4</v>
      </c>
      <c r="C3" s="124" t="s">
        <v>133</v>
      </c>
      <c r="D3" s="145" t="s">
        <v>0</v>
      </c>
      <c r="E3" s="146"/>
      <c r="F3" s="126" t="s">
        <v>1</v>
      </c>
      <c r="G3" s="126" t="s">
        <v>2</v>
      </c>
      <c r="H3" s="2"/>
      <c r="I3" s="2"/>
      <c r="J3" s="2"/>
    </row>
    <row r="4" spans="1:10" x14ac:dyDescent="0.25">
      <c r="A4" s="5"/>
      <c r="B4" s="5"/>
      <c r="C4" s="121" t="s">
        <v>134</v>
      </c>
      <c r="D4" s="121"/>
      <c r="E4" s="123"/>
      <c r="F4" s="121"/>
      <c r="G4" s="122"/>
      <c r="H4" s="2"/>
      <c r="I4" s="2"/>
      <c r="J4" s="2"/>
    </row>
    <row r="5" spans="1:10" x14ac:dyDescent="0.25">
      <c r="A5" s="108">
        <v>1200</v>
      </c>
      <c r="B5" s="18" t="s">
        <v>15</v>
      </c>
      <c r="C5" s="7">
        <v>460000</v>
      </c>
      <c r="D5" s="112">
        <f>-F17</f>
        <v>-140500</v>
      </c>
      <c r="E5" s="130">
        <f>-E23</f>
        <v>-13500</v>
      </c>
      <c r="F5" s="95"/>
      <c r="G5" s="96">
        <f>SUM(C5:F5)</f>
        <v>306000</v>
      </c>
      <c r="H5" s="2"/>
      <c r="I5" s="2"/>
      <c r="J5" s="2"/>
    </row>
    <row r="6" spans="1:10" x14ac:dyDescent="0.25">
      <c r="A6" s="8">
        <v>1209</v>
      </c>
      <c r="B6" s="11" t="s">
        <v>16</v>
      </c>
      <c r="C6" s="12">
        <v>-20000</v>
      </c>
      <c r="D6" s="97">
        <f>-C6</f>
        <v>20000</v>
      </c>
      <c r="E6" s="98"/>
      <c r="F6" s="99"/>
      <c r="G6" s="100"/>
      <c r="H6" s="2"/>
      <c r="I6" s="2"/>
      <c r="J6" s="2"/>
    </row>
    <row r="7" spans="1:10" x14ac:dyDescent="0.25">
      <c r="A7" s="8">
        <v>3800</v>
      </c>
      <c r="B7" s="11" t="s">
        <v>17</v>
      </c>
      <c r="C7" s="9"/>
      <c r="D7" s="97">
        <f>C6</f>
        <v>-20000</v>
      </c>
      <c r="E7" s="131">
        <f>E23</f>
        <v>13500</v>
      </c>
      <c r="F7" s="99">
        <f>SUM(D7:E7)</f>
        <v>-6500</v>
      </c>
      <c r="G7" s="100"/>
      <c r="H7" s="2"/>
      <c r="I7" s="2"/>
      <c r="J7" s="2"/>
    </row>
    <row r="8" spans="1:10" x14ac:dyDescent="0.25">
      <c r="A8" s="6">
        <v>6010</v>
      </c>
      <c r="B8" s="29" t="s">
        <v>6</v>
      </c>
      <c r="C8" s="30"/>
      <c r="D8" s="128">
        <f>F17</f>
        <v>140500</v>
      </c>
      <c r="E8" s="118"/>
      <c r="F8" s="99">
        <f>SUM(D8:E8)</f>
        <v>140500</v>
      </c>
      <c r="G8" s="117"/>
      <c r="H8" s="2"/>
      <c r="I8" s="2"/>
      <c r="J8" s="2"/>
    </row>
    <row r="9" spans="1:10" x14ac:dyDescent="0.25">
      <c r="A9" s="22">
        <v>7800</v>
      </c>
      <c r="B9" s="59" t="s">
        <v>73</v>
      </c>
      <c r="C9" s="24"/>
      <c r="D9" s="102"/>
      <c r="E9" s="102"/>
      <c r="F9" s="103"/>
      <c r="G9" s="104"/>
      <c r="H9" s="2"/>
      <c r="I9" s="2"/>
      <c r="J9" s="2"/>
    </row>
    <row r="10" spans="1:10" x14ac:dyDescent="0.25">
      <c r="A10" s="16"/>
    </row>
    <row r="11" spans="1:10" x14ac:dyDescent="0.25">
      <c r="A11" s="2" t="s">
        <v>128</v>
      </c>
    </row>
    <row r="13" spans="1:10" x14ac:dyDescent="0.25">
      <c r="A13" s="48" t="s">
        <v>65</v>
      </c>
    </row>
    <row r="14" spans="1:10" x14ac:dyDescent="0.25">
      <c r="A14" s="57"/>
      <c r="B14" s="2" t="s">
        <v>70</v>
      </c>
      <c r="C14" s="37" t="s">
        <v>68</v>
      </c>
      <c r="F14" s="37">
        <f>90000*0.2*3/12</f>
        <v>4500</v>
      </c>
    </row>
    <row r="15" spans="1:10" x14ac:dyDescent="0.25">
      <c r="A15" s="58" t="s">
        <v>66</v>
      </c>
      <c r="B15" s="2" t="s">
        <v>71</v>
      </c>
      <c r="C15" s="37" t="s">
        <v>69</v>
      </c>
      <c r="F15" s="37">
        <f>160000*0.2*9/12</f>
        <v>24000</v>
      </c>
    </row>
    <row r="16" spans="1:10" x14ac:dyDescent="0.25">
      <c r="A16" s="58" t="s">
        <v>66</v>
      </c>
      <c r="B16" s="2" t="s">
        <v>72</v>
      </c>
      <c r="C16" s="37" t="s">
        <v>129</v>
      </c>
      <c r="F16" s="37">
        <f>(650000-90000)*0.2</f>
        <v>112000</v>
      </c>
    </row>
    <row r="17" spans="1:11" s="36" customFormat="1" ht="20.25" x14ac:dyDescent="0.3">
      <c r="A17" s="58" t="s">
        <v>39</v>
      </c>
      <c r="B17" s="2" t="s">
        <v>67</v>
      </c>
      <c r="C17" s="37"/>
      <c r="D17" s="37"/>
      <c r="E17" s="37"/>
      <c r="F17" s="127">
        <f>SUM(F14:F16)</f>
        <v>140500</v>
      </c>
      <c r="G17" s="37"/>
      <c r="H17" s="37"/>
      <c r="I17" s="37"/>
      <c r="J17" s="37"/>
      <c r="K17" s="2"/>
    </row>
    <row r="20" spans="1:11" x14ac:dyDescent="0.25">
      <c r="A20" s="48" t="s">
        <v>74</v>
      </c>
    </row>
    <row r="21" spans="1:11" x14ac:dyDescent="0.25">
      <c r="A21" s="57"/>
      <c r="B21" s="2" t="s">
        <v>75</v>
      </c>
      <c r="E21" s="37">
        <f>90000-72000</f>
        <v>18000</v>
      </c>
    </row>
    <row r="22" spans="1:11" x14ac:dyDescent="0.25">
      <c r="A22" s="57" t="s">
        <v>38</v>
      </c>
      <c r="B22" s="2" t="s">
        <v>76</v>
      </c>
      <c r="E22" s="60">
        <f>F14</f>
        <v>4500</v>
      </c>
    </row>
    <row r="23" spans="1:11" s="36" customFormat="1" ht="20.25" x14ac:dyDescent="0.3">
      <c r="A23" s="58" t="s">
        <v>39</v>
      </c>
      <c r="B23" s="2" t="s">
        <v>77</v>
      </c>
      <c r="C23" s="37"/>
      <c r="D23" s="37"/>
      <c r="E23" s="129">
        <f>E21-E22</f>
        <v>13500</v>
      </c>
      <c r="F23" s="37"/>
      <c r="G23" s="37"/>
      <c r="H23" s="37"/>
      <c r="I23" s="37"/>
      <c r="J23" s="37"/>
    </row>
    <row r="25" spans="1:11" x14ac:dyDescent="0.25">
      <c r="A25" s="57"/>
      <c r="B25" s="2" t="s">
        <v>47</v>
      </c>
      <c r="C25" s="37">
        <v>20000</v>
      </c>
    </row>
    <row r="26" spans="1:11" x14ac:dyDescent="0.25">
      <c r="A26" s="57" t="s">
        <v>38</v>
      </c>
      <c r="B26" s="2" t="s">
        <v>48</v>
      </c>
      <c r="C26" s="37">
        <f>E23</f>
        <v>13500</v>
      </c>
    </row>
    <row r="27" spans="1:11" s="36" customFormat="1" ht="20.25" x14ac:dyDescent="0.3">
      <c r="A27" s="58" t="s">
        <v>39</v>
      </c>
      <c r="B27" s="2" t="s">
        <v>49</v>
      </c>
      <c r="C27" s="49">
        <f>C25-C26</f>
        <v>6500</v>
      </c>
      <c r="D27" s="37"/>
      <c r="E27" s="37"/>
      <c r="F27" s="37"/>
      <c r="G27" s="37"/>
      <c r="H27" s="37"/>
      <c r="I27" s="37"/>
      <c r="J27" s="37"/>
    </row>
    <row r="28" spans="1:11" x14ac:dyDescent="0.25">
      <c r="A28" s="57"/>
    </row>
    <row r="29" spans="1:11" x14ac:dyDescent="0.25">
      <c r="A29" s="57"/>
    </row>
    <row r="30" spans="1:11" x14ac:dyDescent="0.25">
      <c r="A30" s="57"/>
    </row>
  </sheetData>
  <sortState ref="A8:J10">
    <sortCondition ref="A8:A10"/>
  </sortState>
  <mergeCells count="1">
    <mergeCell ref="D3:E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13.11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topLeftCell="A11" workbookViewId="0">
      <selection activeCell="R18" sqref="R18"/>
    </sheetView>
  </sheetViews>
  <sheetFormatPr baseColWidth="10" defaultRowHeight="15.75" x14ac:dyDescent="0.25"/>
  <cols>
    <col min="1" max="1" width="6.5703125" style="1" customWidth="1"/>
    <col min="2" max="3" width="9.7109375" style="1" customWidth="1"/>
    <col min="4" max="8" width="11.85546875" style="47" customWidth="1"/>
    <col min="9" max="13" width="9.7109375" style="1" customWidth="1"/>
    <col min="14" max="16384" width="11.42578125" style="1"/>
  </cols>
  <sheetData>
    <row r="1" spans="1:12" x14ac:dyDescent="0.25">
      <c r="A1" s="38" t="s">
        <v>78</v>
      </c>
    </row>
    <row r="3" spans="1:12" x14ac:dyDescent="0.25">
      <c r="A3" s="1" t="s">
        <v>18</v>
      </c>
      <c r="B3" s="1" t="s">
        <v>79</v>
      </c>
    </row>
    <row r="5" spans="1:12" x14ac:dyDescent="0.25">
      <c r="A5" s="40"/>
      <c r="B5" s="1" t="s">
        <v>35</v>
      </c>
      <c r="D5" s="47">
        <v>16000</v>
      </c>
    </row>
    <row r="6" spans="1:12" x14ac:dyDescent="0.25">
      <c r="A6" s="46" t="s">
        <v>66</v>
      </c>
      <c r="B6" s="1" t="s">
        <v>80</v>
      </c>
      <c r="D6" s="47">
        <v>4000</v>
      </c>
    </row>
    <row r="7" spans="1:12" s="39" customFormat="1" ht="20.25" x14ac:dyDescent="0.3">
      <c r="A7" s="46" t="s">
        <v>39</v>
      </c>
      <c r="B7" s="1" t="s">
        <v>81</v>
      </c>
      <c r="C7" s="1"/>
      <c r="D7" s="61">
        <f>SUM(D5:D6)</f>
        <v>20000</v>
      </c>
      <c r="E7" s="47"/>
      <c r="F7" s="47"/>
      <c r="G7" s="47"/>
      <c r="H7" s="47"/>
      <c r="I7" s="1"/>
      <c r="J7" s="1"/>
      <c r="K7" s="1"/>
      <c r="L7" s="1"/>
    </row>
    <row r="9" spans="1:12" x14ac:dyDescent="0.25">
      <c r="B9" s="1" t="s">
        <v>82</v>
      </c>
    </row>
    <row r="11" spans="1:12" x14ac:dyDescent="0.25">
      <c r="B11" s="1" t="s">
        <v>130</v>
      </c>
    </row>
    <row r="12" spans="1:12" x14ac:dyDescent="0.25">
      <c r="B12" s="1" t="s">
        <v>83</v>
      </c>
    </row>
    <row r="14" spans="1:12" x14ac:dyDescent="0.25">
      <c r="B14" s="1" t="s">
        <v>84</v>
      </c>
    </row>
    <row r="16" spans="1:12" x14ac:dyDescent="0.25">
      <c r="A16" s="62"/>
      <c r="B16" s="62"/>
      <c r="C16" s="68"/>
      <c r="D16" s="136">
        <v>1920</v>
      </c>
      <c r="E16" s="136">
        <v>2400</v>
      </c>
      <c r="F16" s="41">
        <v>2710</v>
      </c>
      <c r="G16" s="136">
        <v>4300</v>
      </c>
      <c r="H16" s="136">
        <v>7090</v>
      </c>
    </row>
    <row r="17" spans="1:15" x14ac:dyDescent="0.25">
      <c r="A17" s="63"/>
      <c r="B17" s="63"/>
      <c r="C17" s="64"/>
      <c r="D17" s="137" t="s">
        <v>135</v>
      </c>
      <c r="E17" s="137" t="s">
        <v>138</v>
      </c>
      <c r="F17" s="137" t="s">
        <v>139</v>
      </c>
      <c r="G17" s="137" t="s">
        <v>20</v>
      </c>
      <c r="H17" s="137" t="s">
        <v>141</v>
      </c>
    </row>
    <row r="18" spans="1:15" x14ac:dyDescent="0.25">
      <c r="A18" s="65"/>
      <c r="B18" s="65"/>
      <c r="C18" s="67"/>
      <c r="D18" s="135" t="s">
        <v>136</v>
      </c>
      <c r="E18" s="135" t="s">
        <v>137</v>
      </c>
      <c r="F18" s="135" t="s">
        <v>140</v>
      </c>
      <c r="G18" s="135"/>
      <c r="H18" s="135" t="s">
        <v>142</v>
      </c>
    </row>
    <row r="19" spans="1:15" x14ac:dyDescent="0.25">
      <c r="A19" s="70" t="s">
        <v>85</v>
      </c>
      <c r="B19" s="71" t="s">
        <v>20</v>
      </c>
      <c r="C19" s="72"/>
      <c r="D19" s="42"/>
      <c r="E19" s="114">
        <v>-20000</v>
      </c>
      <c r="F19" s="132">
        <v>4000</v>
      </c>
      <c r="G19" s="114">
        <v>16000</v>
      </c>
      <c r="H19" s="132"/>
    </row>
    <row r="20" spans="1:15" x14ac:dyDescent="0.25">
      <c r="A20" s="73"/>
      <c r="B20" s="73" t="s">
        <v>37</v>
      </c>
      <c r="C20" s="74"/>
      <c r="D20" s="44">
        <v>-750</v>
      </c>
      <c r="E20" s="100"/>
      <c r="F20" s="133">
        <v>150</v>
      </c>
      <c r="G20" s="100">
        <v>600</v>
      </c>
      <c r="H20" s="133"/>
    </row>
    <row r="21" spans="1:15" x14ac:dyDescent="0.25">
      <c r="A21" s="75"/>
      <c r="B21" s="75" t="s">
        <v>86</v>
      </c>
      <c r="C21" s="76"/>
      <c r="D21" s="45">
        <v>-800</v>
      </c>
      <c r="E21" s="104"/>
      <c r="F21" s="134">
        <v>160</v>
      </c>
      <c r="G21" s="104"/>
      <c r="H21" s="134">
        <v>640</v>
      </c>
    </row>
    <row r="23" spans="1:15" x14ac:dyDescent="0.25">
      <c r="A23" s="1" t="s">
        <v>5</v>
      </c>
      <c r="B23" s="1" t="s">
        <v>144</v>
      </c>
    </row>
    <row r="25" spans="1:15" x14ac:dyDescent="0.25">
      <c r="A25" s="1" t="s">
        <v>36</v>
      </c>
      <c r="B25" s="77"/>
      <c r="C25" s="78"/>
      <c r="D25" s="81" t="s">
        <v>90</v>
      </c>
      <c r="E25" s="79" t="s">
        <v>91</v>
      </c>
    </row>
    <row r="26" spans="1:15" x14ac:dyDescent="0.25">
      <c r="B26" s="71" t="s">
        <v>87</v>
      </c>
      <c r="C26" s="83"/>
      <c r="D26" s="42">
        <v>100000</v>
      </c>
      <c r="E26" s="43">
        <v>110000</v>
      </c>
    </row>
    <row r="27" spans="1:15" x14ac:dyDescent="0.25">
      <c r="B27" s="75" t="s">
        <v>88</v>
      </c>
      <c r="C27" s="84"/>
      <c r="D27" s="45">
        <f>D26*0.1</f>
        <v>10000</v>
      </c>
      <c r="E27" s="85">
        <f>E26*0.1</f>
        <v>11000</v>
      </c>
    </row>
    <row r="28" spans="1:15" s="39" customFormat="1" ht="20.25" x14ac:dyDescent="0.3">
      <c r="A28" s="1"/>
      <c r="B28" s="77" t="s">
        <v>89</v>
      </c>
      <c r="C28" s="78"/>
      <c r="D28" s="82">
        <f>D26-D27</f>
        <v>90000</v>
      </c>
      <c r="E28" s="80">
        <f>E26-E27</f>
        <v>99000</v>
      </c>
      <c r="F28" s="47"/>
      <c r="G28" s="47"/>
      <c r="H28" s="47"/>
      <c r="I28" s="1"/>
      <c r="J28" s="1"/>
      <c r="K28" s="1"/>
      <c r="L28" s="1"/>
      <c r="M28" s="1"/>
      <c r="N28" s="1"/>
      <c r="O28" s="1"/>
    </row>
    <row r="30" spans="1:15" x14ac:dyDescent="0.25">
      <c r="B30" s="77" t="s">
        <v>92</v>
      </c>
      <c r="C30" s="78"/>
      <c r="D30" s="82">
        <v>90000</v>
      </c>
    </row>
    <row r="31" spans="1:15" x14ac:dyDescent="0.25">
      <c r="B31" s="65" t="s">
        <v>93</v>
      </c>
      <c r="C31" s="66"/>
      <c r="D31" s="69">
        <v>99000</v>
      </c>
    </row>
    <row r="33" spans="1:8" x14ac:dyDescent="0.25">
      <c r="A33" s="38" t="s">
        <v>94</v>
      </c>
    </row>
    <row r="35" spans="1:8" x14ac:dyDescent="0.25">
      <c r="A35" s="1" t="s">
        <v>18</v>
      </c>
      <c r="B35" s="1" t="s">
        <v>95</v>
      </c>
    </row>
    <row r="37" spans="1:8" x14ac:dyDescent="0.25">
      <c r="A37" s="86" t="s">
        <v>5</v>
      </c>
      <c r="B37" s="1" t="s">
        <v>96</v>
      </c>
      <c r="H37" s="87"/>
    </row>
    <row r="38" spans="1:8" x14ac:dyDescent="0.25">
      <c r="A38" s="46"/>
      <c r="H38" s="88"/>
    </row>
    <row r="39" spans="1:8" x14ac:dyDescent="0.25">
      <c r="B39" s="1" t="s">
        <v>143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13.12 og 13.13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Zeros="0" workbookViewId="0">
      <selection activeCell="Q7" sqref="Q7"/>
    </sheetView>
  </sheetViews>
  <sheetFormatPr baseColWidth="10" defaultRowHeight="15.75" x14ac:dyDescent="0.25"/>
  <cols>
    <col min="1" max="1" width="5.7109375" style="2" bestFit="1" customWidth="1"/>
    <col min="2" max="2" width="16.5703125" style="2" customWidth="1"/>
    <col min="3" max="11" width="11.42578125" style="37"/>
    <col min="12" max="16384" width="11.42578125" style="2"/>
  </cols>
  <sheetData>
    <row r="1" spans="1:11" x14ac:dyDescent="0.25">
      <c r="A1" s="16" t="s">
        <v>97</v>
      </c>
    </row>
    <row r="3" spans="1:11" x14ac:dyDescent="0.25">
      <c r="A3" s="110" t="s">
        <v>3</v>
      </c>
      <c r="B3" s="3" t="s">
        <v>4</v>
      </c>
      <c r="C3" s="125" t="s">
        <v>133</v>
      </c>
      <c r="D3" s="126" t="s">
        <v>0</v>
      </c>
      <c r="E3" s="126" t="s">
        <v>1</v>
      </c>
      <c r="F3" s="126" t="s">
        <v>2</v>
      </c>
      <c r="H3" s="2"/>
      <c r="I3" s="2"/>
      <c r="J3" s="2"/>
      <c r="K3" s="2"/>
    </row>
    <row r="4" spans="1:11" x14ac:dyDescent="0.25">
      <c r="A4" s="4"/>
      <c r="B4" s="5"/>
      <c r="C4" s="121" t="s">
        <v>134</v>
      </c>
      <c r="D4" s="121"/>
      <c r="E4" s="121"/>
      <c r="F4" s="122"/>
      <c r="H4" s="2"/>
      <c r="I4" s="2"/>
      <c r="J4" s="2"/>
      <c r="K4" s="2"/>
    </row>
    <row r="5" spans="1:11" x14ac:dyDescent="0.25">
      <c r="A5" s="8">
        <v>1460</v>
      </c>
      <c r="B5" s="9" t="s">
        <v>19</v>
      </c>
      <c r="C5" s="10">
        <v>270000</v>
      </c>
      <c r="D5" s="97">
        <v>-45000</v>
      </c>
      <c r="E5" s="109"/>
      <c r="F5" s="114">
        <f>SUM(C5:E5)</f>
        <v>225000</v>
      </c>
      <c r="H5" s="2"/>
      <c r="I5" s="2"/>
      <c r="J5" s="2"/>
      <c r="K5" s="2"/>
    </row>
    <row r="6" spans="1:11" x14ac:dyDescent="0.25">
      <c r="A6" s="13">
        <v>4300</v>
      </c>
      <c r="B6" s="32" t="s">
        <v>20</v>
      </c>
      <c r="C6" s="15">
        <v>835000</v>
      </c>
      <c r="D6" s="138">
        <v>45000</v>
      </c>
      <c r="E6" s="102">
        <f>SUM(C6:D6)</f>
        <v>880000</v>
      </c>
      <c r="F6" s="104"/>
      <c r="H6" s="2"/>
      <c r="I6" s="2"/>
      <c r="J6" s="2"/>
      <c r="K6" s="2"/>
    </row>
    <row r="8" spans="1:11" x14ac:dyDescent="0.25">
      <c r="A8" s="2" t="s">
        <v>145</v>
      </c>
    </row>
    <row r="9" spans="1:11" x14ac:dyDescent="0.25">
      <c r="A9" s="2" t="s">
        <v>146</v>
      </c>
    </row>
    <row r="11" spans="1:11" x14ac:dyDescent="0.25">
      <c r="A11" s="2" t="s">
        <v>131</v>
      </c>
    </row>
    <row r="14" spans="1:11" x14ac:dyDescent="0.25">
      <c r="A14" s="16" t="s">
        <v>98</v>
      </c>
    </row>
    <row r="16" spans="1:11" x14ac:dyDescent="0.25">
      <c r="A16" s="2" t="s">
        <v>18</v>
      </c>
      <c r="B16" s="2" t="s">
        <v>100</v>
      </c>
    </row>
    <row r="17" spans="1:4" x14ac:dyDescent="0.25">
      <c r="B17" s="2" t="s">
        <v>99</v>
      </c>
    </row>
    <row r="19" spans="1:4" x14ac:dyDescent="0.25">
      <c r="A19" s="2" t="s">
        <v>5</v>
      </c>
      <c r="B19" s="2" t="s">
        <v>101</v>
      </c>
      <c r="C19" s="37">
        <v>200000</v>
      </c>
      <c r="D19" s="89" t="s">
        <v>102</v>
      </c>
    </row>
    <row r="20" spans="1:4" x14ac:dyDescent="0.25">
      <c r="B20" s="2" t="s">
        <v>22</v>
      </c>
      <c r="C20" s="37">
        <v>121000</v>
      </c>
      <c r="D20" s="89" t="s">
        <v>104</v>
      </c>
    </row>
    <row r="21" spans="1:4" x14ac:dyDescent="0.25">
      <c r="B21" s="2" t="s">
        <v>103</v>
      </c>
      <c r="C21" s="37">
        <v>414000</v>
      </c>
      <c r="D21" s="89" t="s">
        <v>104</v>
      </c>
    </row>
    <row r="23" spans="1:4" x14ac:dyDescent="0.25">
      <c r="B23" s="2" t="s">
        <v>106</v>
      </c>
    </row>
    <row r="24" spans="1:4" x14ac:dyDescent="0.25">
      <c r="B24" s="2" t="s">
        <v>105</v>
      </c>
    </row>
    <row r="26" spans="1:4" x14ac:dyDescent="0.25">
      <c r="B26" s="2" t="s">
        <v>101</v>
      </c>
      <c r="C26" s="37">
        <v>200000</v>
      </c>
      <c r="D26" s="89" t="s">
        <v>102</v>
      </c>
    </row>
    <row r="27" spans="1:4" x14ac:dyDescent="0.25">
      <c r="B27" s="2" t="s">
        <v>22</v>
      </c>
      <c r="C27" s="37">
        <v>140000</v>
      </c>
      <c r="D27" s="89" t="s">
        <v>107</v>
      </c>
    </row>
    <row r="28" spans="1:4" x14ac:dyDescent="0.25">
      <c r="B28" s="2" t="s">
        <v>103</v>
      </c>
      <c r="C28" s="37">
        <v>590000</v>
      </c>
      <c r="D28" s="89" t="s">
        <v>107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13.14 og 13.15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workbookViewId="0">
      <selection activeCell="I22" sqref="I22"/>
    </sheetView>
  </sheetViews>
  <sheetFormatPr baseColWidth="10" defaultRowHeight="15.75" x14ac:dyDescent="0.25"/>
  <cols>
    <col min="1" max="1" width="5.7109375" style="2" bestFit="1" customWidth="1"/>
    <col min="2" max="2" width="24.85546875" style="2" customWidth="1"/>
    <col min="3" max="3" width="11.42578125" style="2"/>
    <col min="4" max="10" width="11.42578125" style="37"/>
    <col min="11" max="16384" width="11.42578125" style="2"/>
  </cols>
  <sheetData>
    <row r="1" spans="1:10" x14ac:dyDescent="0.25">
      <c r="A1" s="16" t="s">
        <v>108</v>
      </c>
    </row>
    <row r="3" spans="1:10" x14ac:dyDescent="0.25">
      <c r="A3" s="2" t="s">
        <v>18</v>
      </c>
    </row>
    <row r="4" spans="1:10" x14ac:dyDescent="0.25">
      <c r="A4" s="110" t="s">
        <v>3</v>
      </c>
      <c r="B4" s="3" t="s">
        <v>4</v>
      </c>
      <c r="C4" s="111" t="s">
        <v>133</v>
      </c>
      <c r="D4" s="145" t="s">
        <v>0</v>
      </c>
      <c r="E4" s="146"/>
      <c r="F4" s="126" t="s">
        <v>1</v>
      </c>
      <c r="G4" s="126" t="s">
        <v>2</v>
      </c>
      <c r="H4" s="2"/>
      <c r="I4" s="2"/>
      <c r="J4" s="2"/>
    </row>
    <row r="5" spans="1:10" x14ac:dyDescent="0.25">
      <c r="A5" s="4"/>
      <c r="B5" s="5"/>
      <c r="C5" s="93" t="s">
        <v>134</v>
      </c>
      <c r="D5" s="121"/>
      <c r="E5" s="123"/>
      <c r="F5" s="121"/>
      <c r="G5" s="122"/>
      <c r="H5" s="2"/>
      <c r="I5" s="2"/>
      <c r="J5" s="2"/>
    </row>
    <row r="6" spans="1:10" x14ac:dyDescent="0.25">
      <c r="A6" s="8">
        <v>1400</v>
      </c>
      <c r="B6" s="9" t="s">
        <v>21</v>
      </c>
      <c r="C6" s="10">
        <v>20000</v>
      </c>
      <c r="D6" s="97">
        <v>5000</v>
      </c>
      <c r="E6" s="97"/>
      <c r="F6" s="109"/>
      <c r="G6" s="114">
        <f>SUM(C6:F6)</f>
        <v>25000</v>
      </c>
      <c r="H6" s="2"/>
      <c r="I6" s="2"/>
      <c r="J6" s="2"/>
    </row>
    <row r="7" spans="1:10" x14ac:dyDescent="0.25">
      <c r="A7" s="8">
        <v>1420</v>
      </c>
      <c r="B7" s="11" t="s">
        <v>22</v>
      </c>
      <c r="C7" s="12">
        <v>30000</v>
      </c>
      <c r="D7" s="97">
        <v>20000</v>
      </c>
      <c r="E7" s="97"/>
      <c r="F7" s="98"/>
      <c r="G7" s="100">
        <f>SUM(C7:F7)</f>
        <v>50000</v>
      </c>
      <c r="H7" s="2"/>
      <c r="I7" s="2"/>
      <c r="J7" s="2"/>
    </row>
    <row r="8" spans="1:10" x14ac:dyDescent="0.25">
      <c r="A8" s="8">
        <v>1440</v>
      </c>
      <c r="B8" s="11" t="s">
        <v>23</v>
      </c>
      <c r="C8" s="9">
        <v>100000</v>
      </c>
      <c r="D8" s="97"/>
      <c r="E8" s="97">
        <v>-10000</v>
      </c>
      <c r="F8" s="98"/>
      <c r="G8" s="100">
        <f>SUM(C8:F8)</f>
        <v>90000</v>
      </c>
      <c r="H8" s="2"/>
      <c r="I8" s="2"/>
      <c r="J8" s="2"/>
    </row>
    <row r="9" spans="1:10" x14ac:dyDescent="0.25">
      <c r="A9" s="19">
        <v>4000</v>
      </c>
      <c r="B9" s="21" t="s">
        <v>24</v>
      </c>
      <c r="C9" s="21">
        <v>500000</v>
      </c>
      <c r="D9" s="98">
        <v>-5000</v>
      </c>
      <c r="E9" s="98"/>
      <c r="F9" s="98">
        <f>SUM(C9:E9)</f>
        <v>495000</v>
      </c>
      <c r="G9" s="100"/>
      <c r="H9" s="2"/>
      <c r="I9" s="2"/>
      <c r="J9" s="2"/>
    </row>
    <row r="10" spans="1:10" x14ac:dyDescent="0.25">
      <c r="A10" s="13">
        <v>4190</v>
      </c>
      <c r="B10" s="14" t="s">
        <v>25</v>
      </c>
      <c r="C10" s="15"/>
      <c r="D10" s="101">
        <v>-20000</v>
      </c>
      <c r="E10" s="101">
        <v>10000</v>
      </c>
      <c r="F10" s="102">
        <f>SUM(D10:E10)</f>
        <v>-10000</v>
      </c>
      <c r="G10" s="104"/>
      <c r="H10" s="2"/>
      <c r="I10" s="2"/>
      <c r="J10" s="2"/>
    </row>
    <row r="11" spans="1:10" x14ac:dyDescent="0.25">
      <c r="A11" s="50"/>
      <c r="B11" s="51"/>
      <c r="C11" s="52"/>
      <c r="D11" s="53"/>
      <c r="E11" s="53"/>
      <c r="F11" s="54"/>
      <c r="G11" s="54"/>
      <c r="H11" s="54"/>
      <c r="I11" s="54"/>
      <c r="J11" s="54"/>
    </row>
    <row r="12" spans="1:10" x14ac:dyDescent="0.25">
      <c r="A12" s="90" t="s">
        <v>116</v>
      </c>
      <c r="B12" s="51"/>
      <c r="C12" s="52"/>
      <c r="D12" s="53"/>
      <c r="E12" s="53"/>
      <c r="F12" s="54"/>
      <c r="G12" s="54"/>
      <c r="H12" s="54"/>
      <c r="I12" s="54"/>
      <c r="J12" s="54"/>
    </row>
    <row r="13" spans="1:10" x14ac:dyDescent="0.25">
      <c r="A13" s="90" t="s">
        <v>117</v>
      </c>
      <c r="B13" s="51"/>
      <c r="C13" s="52"/>
      <c r="D13" s="53"/>
      <c r="E13" s="53"/>
      <c r="F13" s="54"/>
      <c r="G13" s="54"/>
      <c r="H13" s="54"/>
      <c r="I13" s="54"/>
      <c r="J13" s="54"/>
    </row>
    <row r="15" spans="1:10" x14ac:dyDescent="0.25">
      <c r="A15" s="2" t="s">
        <v>5</v>
      </c>
      <c r="B15" s="48" t="s">
        <v>40</v>
      </c>
      <c r="E15" s="89" t="s">
        <v>41</v>
      </c>
    </row>
    <row r="16" spans="1:10" x14ac:dyDescent="0.25">
      <c r="B16" s="2" t="s">
        <v>109</v>
      </c>
      <c r="E16" s="89"/>
    </row>
    <row r="17" spans="2:5" x14ac:dyDescent="0.25">
      <c r="B17" s="2" t="s">
        <v>110</v>
      </c>
      <c r="D17" s="37">
        <f>F10</f>
        <v>-10000</v>
      </c>
      <c r="E17" s="89" t="s">
        <v>111</v>
      </c>
    </row>
    <row r="18" spans="2:5" x14ac:dyDescent="0.25">
      <c r="B18" s="2" t="s">
        <v>32</v>
      </c>
      <c r="D18" s="37">
        <f>F9</f>
        <v>495000</v>
      </c>
      <c r="E18" s="89" t="s">
        <v>112</v>
      </c>
    </row>
    <row r="20" spans="2:5" x14ac:dyDescent="0.25">
      <c r="B20" s="48" t="s">
        <v>42</v>
      </c>
    </row>
    <row r="21" spans="2:5" x14ac:dyDescent="0.25">
      <c r="B21" s="2" t="s">
        <v>113</v>
      </c>
      <c r="D21" s="37">
        <f>G6+G7+G8</f>
        <v>165000</v>
      </c>
      <c r="E21" s="89" t="s">
        <v>115</v>
      </c>
    </row>
    <row r="23" spans="2:5" x14ac:dyDescent="0.25">
      <c r="B23" s="2" t="s">
        <v>114</v>
      </c>
    </row>
  </sheetData>
  <mergeCells count="1">
    <mergeCell ref="D4:E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B2" workbookViewId="0">
      <selection activeCell="B32" sqref="B32:E34"/>
    </sheetView>
  </sheetViews>
  <sheetFormatPr baseColWidth="10" defaultRowHeight="15.75" x14ac:dyDescent="0.25"/>
  <cols>
    <col min="1" max="1" width="5.7109375" style="2" bestFit="1" customWidth="1"/>
    <col min="2" max="2" width="27.85546875" style="2" customWidth="1"/>
    <col min="3" max="10" width="11.42578125" style="37"/>
    <col min="11" max="16384" width="11.42578125" style="2"/>
  </cols>
  <sheetData>
    <row r="1" spans="1:10" x14ac:dyDescent="0.25">
      <c r="A1" s="16" t="s">
        <v>123</v>
      </c>
    </row>
    <row r="3" spans="1:10" x14ac:dyDescent="0.25">
      <c r="A3" s="110" t="s">
        <v>3</v>
      </c>
      <c r="B3" s="3" t="s">
        <v>4</v>
      </c>
      <c r="C3" s="125" t="s">
        <v>133</v>
      </c>
      <c r="D3" s="145" t="s">
        <v>0</v>
      </c>
      <c r="E3" s="146"/>
      <c r="F3" s="126" t="s">
        <v>1</v>
      </c>
      <c r="G3" s="126" t="s">
        <v>2</v>
      </c>
      <c r="H3" s="2"/>
      <c r="I3" s="2"/>
      <c r="J3" s="2"/>
    </row>
    <row r="4" spans="1:10" x14ac:dyDescent="0.25">
      <c r="A4" s="4"/>
      <c r="B4" s="5"/>
      <c r="C4" s="121" t="s">
        <v>134</v>
      </c>
      <c r="D4" s="121"/>
      <c r="E4" s="123"/>
      <c r="F4" s="121"/>
      <c r="G4" s="122"/>
      <c r="H4" s="2"/>
      <c r="I4" s="2"/>
      <c r="J4" s="2"/>
    </row>
    <row r="5" spans="1:10" x14ac:dyDescent="0.25">
      <c r="A5" s="8">
        <v>1000</v>
      </c>
      <c r="B5" s="9" t="s">
        <v>33</v>
      </c>
      <c r="C5" s="10">
        <v>5700000</v>
      </c>
      <c r="D5" s="97">
        <f>-E21</f>
        <v>-300000</v>
      </c>
      <c r="E5" s="109"/>
      <c r="F5" s="113"/>
      <c r="G5" s="114">
        <f>SUM(C5:F5)</f>
        <v>5400000</v>
      </c>
      <c r="H5" s="2"/>
      <c r="I5" s="2"/>
      <c r="J5" s="2"/>
    </row>
    <row r="6" spans="1:10" x14ac:dyDescent="0.25">
      <c r="A6" s="19">
        <v>1200</v>
      </c>
      <c r="B6" s="21" t="s">
        <v>15</v>
      </c>
      <c r="C6" s="12">
        <v>1600000</v>
      </c>
      <c r="D6" s="98">
        <f>-E26</f>
        <v>-540000</v>
      </c>
      <c r="E6" s="141">
        <f>-E29</f>
        <v>-140000</v>
      </c>
      <c r="F6" s="99"/>
      <c r="G6" s="100">
        <f>SUM(C6:F6)</f>
        <v>920000</v>
      </c>
      <c r="H6" s="2"/>
      <c r="I6" s="2"/>
      <c r="J6" s="2"/>
    </row>
    <row r="7" spans="1:10" x14ac:dyDescent="0.25">
      <c r="A7" s="8">
        <v>1209</v>
      </c>
      <c r="B7" s="11" t="s">
        <v>16</v>
      </c>
      <c r="C7" s="9">
        <v>-100000</v>
      </c>
      <c r="D7" s="97">
        <f>-C7</f>
        <v>100000</v>
      </c>
      <c r="E7" s="97"/>
      <c r="F7" s="115"/>
      <c r="G7" s="100">
        <f t="shared" ref="G7:G10" si="0">SUM(C7:F7)</f>
        <v>0</v>
      </c>
      <c r="H7" s="2"/>
      <c r="I7" s="2"/>
      <c r="J7" s="2"/>
    </row>
    <row r="8" spans="1:10" x14ac:dyDescent="0.25">
      <c r="A8" s="8">
        <v>1400</v>
      </c>
      <c r="B8" s="11" t="s">
        <v>26</v>
      </c>
      <c r="C8" s="9">
        <v>600000</v>
      </c>
      <c r="D8" s="97">
        <f>E32</f>
        <v>300000</v>
      </c>
      <c r="E8" s="97"/>
      <c r="F8" s="115"/>
      <c r="G8" s="100">
        <f t="shared" si="0"/>
        <v>900000</v>
      </c>
      <c r="H8" s="2"/>
      <c r="I8" s="2"/>
      <c r="J8" s="2"/>
    </row>
    <row r="9" spans="1:10" x14ac:dyDescent="0.25">
      <c r="A9" s="8">
        <v>1420</v>
      </c>
      <c r="B9" s="11" t="s">
        <v>27</v>
      </c>
      <c r="C9" s="9">
        <v>300000</v>
      </c>
      <c r="D9" s="97">
        <f>E33</f>
        <v>200000</v>
      </c>
      <c r="E9" s="97"/>
      <c r="F9" s="115"/>
      <c r="G9" s="100">
        <f t="shared" si="0"/>
        <v>500000</v>
      </c>
      <c r="H9" s="2"/>
      <c r="I9" s="2"/>
      <c r="J9" s="2"/>
    </row>
    <row r="10" spans="1:10" x14ac:dyDescent="0.25">
      <c r="A10" s="8">
        <v>1440</v>
      </c>
      <c r="B10" s="11" t="s">
        <v>28</v>
      </c>
      <c r="C10" s="9">
        <v>1000000</v>
      </c>
      <c r="D10" s="97"/>
      <c r="E10" s="97">
        <f>-E34</f>
        <v>-50000</v>
      </c>
      <c r="F10" s="115"/>
      <c r="G10" s="100">
        <f t="shared" si="0"/>
        <v>950000</v>
      </c>
      <c r="H10" s="2"/>
      <c r="I10" s="2"/>
      <c r="J10" s="2"/>
    </row>
    <row r="11" spans="1:10" x14ac:dyDescent="0.25">
      <c r="A11" s="8">
        <v>3800</v>
      </c>
      <c r="B11" s="11" t="s">
        <v>17</v>
      </c>
      <c r="C11" s="12"/>
      <c r="D11" s="97"/>
      <c r="E11" s="98"/>
      <c r="F11" s="99"/>
      <c r="G11" s="100"/>
      <c r="H11" s="2"/>
      <c r="I11" s="2"/>
      <c r="J11" s="2"/>
    </row>
    <row r="12" spans="1:10" x14ac:dyDescent="0.25">
      <c r="A12" s="8">
        <v>4000</v>
      </c>
      <c r="B12" s="11" t="s">
        <v>24</v>
      </c>
      <c r="C12" s="9">
        <v>4000000</v>
      </c>
      <c r="D12" s="97">
        <f>-E32</f>
        <v>-300000</v>
      </c>
      <c r="E12" s="98"/>
      <c r="F12" s="99">
        <f>SUM(C12:E12)</f>
        <v>3700000</v>
      </c>
      <c r="G12" s="100"/>
      <c r="H12" s="2"/>
      <c r="I12" s="2"/>
      <c r="J12" s="2"/>
    </row>
    <row r="13" spans="1:10" x14ac:dyDescent="0.25">
      <c r="A13" s="8">
        <v>4190</v>
      </c>
      <c r="B13" s="11" t="s">
        <v>29</v>
      </c>
      <c r="C13" s="11"/>
      <c r="D13" s="97">
        <f>-E33</f>
        <v>-200000</v>
      </c>
      <c r="E13" s="98">
        <f>E34</f>
        <v>50000</v>
      </c>
      <c r="F13" s="99">
        <f t="shared" ref="F13:F15" si="1">SUM(C13:E13)</f>
        <v>-150000</v>
      </c>
      <c r="G13" s="100"/>
      <c r="H13" s="2"/>
      <c r="I13" s="2"/>
      <c r="J13" s="2"/>
    </row>
    <row r="14" spans="1:10" x14ac:dyDescent="0.25">
      <c r="A14" s="8">
        <v>6000</v>
      </c>
      <c r="B14" s="28" t="s">
        <v>30</v>
      </c>
      <c r="C14" s="11"/>
      <c r="D14" s="97">
        <f>E21</f>
        <v>300000</v>
      </c>
      <c r="E14" s="98"/>
      <c r="F14" s="99">
        <f t="shared" si="1"/>
        <v>300000</v>
      </c>
      <c r="G14" s="100"/>
      <c r="H14" s="2"/>
      <c r="I14" s="2"/>
      <c r="J14" s="2"/>
    </row>
    <row r="15" spans="1:10" x14ac:dyDescent="0.25">
      <c r="A15" s="19">
        <v>6010</v>
      </c>
      <c r="B15" s="20" t="s">
        <v>31</v>
      </c>
      <c r="C15" s="21"/>
      <c r="D15" s="98">
        <f>E26</f>
        <v>540000</v>
      </c>
      <c r="E15" s="98"/>
      <c r="F15" s="99">
        <f t="shared" si="1"/>
        <v>540000</v>
      </c>
      <c r="G15" s="100"/>
      <c r="H15" s="2"/>
      <c r="I15" s="2"/>
      <c r="J15" s="2"/>
    </row>
    <row r="16" spans="1:10" x14ac:dyDescent="0.25">
      <c r="A16" s="35">
        <v>7800</v>
      </c>
      <c r="B16" s="5" t="s">
        <v>126</v>
      </c>
      <c r="C16" s="15"/>
      <c r="D16" s="138">
        <f>-D7</f>
        <v>-100000</v>
      </c>
      <c r="E16" s="142">
        <f>E29</f>
        <v>140000</v>
      </c>
      <c r="F16" s="139">
        <f>SUM(D16:E16)</f>
        <v>40000</v>
      </c>
      <c r="G16" s="138"/>
      <c r="H16" s="2"/>
      <c r="I16" s="2"/>
      <c r="J16" s="2"/>
    </row>
    <row r="17" spans="1:10" s="36" customFormat="1" ht="20.25" x14ac:dyDescent="0.3">
      <c r="A17" s="2"/>
      <c r="B17" s="2"/>
      <c r="C17" s="37"/>
      <c r="D17" s="140">
        <f>SUM(D5:D16)</f>
        <v>0</v>
      </c>
      <c r="E17" s="140">
        <f>SUM(E5:E16)</f>
        <v>0</v>
      </c>
      <c r="F17" s="37"/>
      <c r="G17" s="37"/>
      <c r="H17" s="92"/>
      <c r="I17" s="92"/>
      <c r="J17" s="92"/>
    </row>
    <row r="19" spans="1:10" x14ac:dyDescent="0.25">
      <c r="B19" s="55" t="s">
        <v>118</v>
      </c>
    </row>
    <row r="20" spans="1:10" x14ac:dyDescent="0.25">
      <c r="B20" s="55"/>
    </row>
    <row r="21" spans="1:10" x14ac:dyDescent="0.25">
      <c r="B21" s="2" t="s">
        <v>119</v>
      </c>
      <c r="D21" s="2"/>
      <c r="E21" s="37">
        <f>7500000*0.04</f>
        <v>300000</v>
      </c>
    </row>
    <row r="23" spans="1:10" x14ac:dyDescent="0.25">
      <c r="B23" s="2" t="s">
        <v>124</v>
      </c>
    </row>
    <row r="24" spans="1:10" x14ac:dyDescent="0.25">
      <c r="B24" s="2" t="s">
        <v>120</v>
      </c>
      <c r="E24" s="37">
        <f>600000*0.2*6/12</f>
        <v>60000</v>
      </c>
    </row>
    <row r="25" spans="1:10" x14ac:dyDescent="0.25">
      <c r="B25" s="2" t="s">
        <v>121</v>
      </c>
      <c r="E25" s="37">
        <f>2400000*0.2</f>
        <v>480000</v>
      </c>
    </row>
    <row r="26" spans="1:10" s="36" customFormat="1" ht="20.25" x14ac:dyDescent="0.3">
      <c r="A26" s="2"/>
      <c r="B26" s="2" t="s">
        <v>122</v>
      </c>
      <c r="C26" s="37"/>
      <c r="D26" s="37"/>
      <c r="E26" s="49">
        <f>SUM(E24:E25)</f>
        <v>540000</v>
      </c>
      <c r="F26" s="37"/>
      <c r="G26" s="37"/>
      <c r="H26" s="37"/>
      <c r="I26" s="37"/>
      <c r="J26" s="37"/>
    </row>
    <row r="28" spans="1:10" x14ac:dyDescent="0.25">
      <c r="B28" s="2" t="s">
        <v>125</v>
      </c>
      <c r="E28" s="37">
        <v>100000</v>
      </c>
    </row>
    <row r="29" spans="1:10" x14ac:dyDescent="0.25">
      <c r="B29" s="2" t="s">
        <v>132</v>
      </c>
      <c r="E29" s="37">
        <f>600000-460000</f>
        <v>140000</v>
      </c>
    </row>
    <row r="30" spans="1:10" s="36" customFormat="1" ht="20.25" x14ac:dyDescent="0.3">
      <c r="A30" s="2"/>
      <c r="B30" s="2" t="s">
        <v>73</v>
      </c>
      <c r="C30" s="37"/>
      <c r="D30" s="37"/>
      <c r="E30" s="49">
        <f>E29-E28</f>
        <v>40000</v>
      </c>
      <c r="F30" s="37"/>
      <c r="G30" s="37"/>
      <c r="H30" s="37"/>
      <c r="I30" s="37"/>
      <c r="J30" s="37"/>
    </row>
    <row r="32" spans="1:10" x14ac:dyDescent="0.25">
      <c r="B32" s="2" t="s">
        <v>147</v>
      </c>
      <c r="E32" s="37">
        <v>300000</v>
      </c>
    </row>
    <row r="33" spans="2:5" x14ac:dyDescent="0.25">
      <c r="B33" s="2" t="s">
        <v>148</v>
      </c>
      <c r="E33" s="37">
        <v>200000</v>
      </c>
    </row>
    <row r="34" spans="2:5" x14ac:dyDescent="0.25">
      <c r="B34" s="2" t="s">
        <v>149</v>
      </c>
      <c r="E34" s="37">
        <f>50000</f>
        <v>50000</v>
      </c>
    </row>
  </sheetData>
  <mergeCells count="1">
    <mergeCell ref="D3:E3"/>
  </mergeCell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&amp;COppgave 13.17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13.9</vt:lpstr>
      <vt:lpstr>Oppgave 13.10</vt:lpstr>
      <vt:lpstr>Oppgave 13.11</vt:lpstr>
      <vt:lpstr>Oppgave 13.12 og 13.13</vt:lpstr>
      <vt:lpstr>Oppgave 13.14 og 13.15</vt:lpstr>
      <vt:lpstr>Oppgave 13.16</vt:lpstr>
      <vt:lpstr>Oppgave 13.17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2020-06-14T18:21:30Z</cp:lastPrinted>
  <dcterms:created xsi:type="dcterms:W3CDTF">1997-01-16T18:32:43Z</dcterms:created>
  <dcterms:modified xsi:type="dcterms:W3CDTF">2020-07-05T13:41:26Z</dcterms:modified>
</cp:coreProperties>
</file>