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D897A6E4-CE5E-49E8-8C2E-88F22C62A1D1}" xr6:coauthVersionLast="47" xr6:coauthVersionMax="47" xr10:uidLastSave="{00000000-0000-0000-0000-000000000000}"/>
  <bookViews>
    <workbookView xWindow="2685" yWindow="2685" windowWidth="17145" windowHeight="12255" firstSheet="2" activeTab="2" xr2:uid="{00000000-000D-0000-FFFF-FFFF00000000}"/>
  </bookViews>
  <sheets>
    <sheet name="Informasjon " sheetId="8" r:id="rId1"/>
    <sheet name="Oppgave 10.1 og 10.2" sheetId="2" r:id="rId2"/>
    <sheet name="Oppgave 10.3" sheetId="3" r:id="rId3"/>
    <sheet name="Oppgave 10.4 " sheetId="4" r:id="rId4"/>
  </sheets>
  <definedNames>
    <definedName name="_xlnm.Print_Area" localSheetId="3">'Oppgave 10.4 '!$A$1:$M$154,'Oppgave 10.4 '!$N$29:$AB$86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4" i="4" l="1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33" i="4"/>
  <c r="AE49" i="4"/>
  <c r="AB57" i="4"/>
  <c r="D82" i="4" s="1"/>
  <c r="F82" i="4" s="1"/>
  <c r="W73" i="4" s="1"/>
  <c r="O57" i="4"/>
  <c r="D69" i="4" s="1"/>
  <c r="G69" i="4" s="1"/>
  <c r="P57" i="4"/>
  <c r="D70" i="4" s="1"/>
  <c r="G70" i="4" s="1"/>
  <c r="Q57" i="4"/>
  <c r="D71" i="4" s="1"/>
  <c r="F71" i="4" s="1"/>
  <c r="R57" i="4"/>
  <c r="D72" i="4" s="1"/>
  <c r="F72" i="4" s="1"/>
  <c r="W66" i="4" s="1"/>
  <c r="S57" i="4"/>
  <c r="D73" i="4" s="1"/>
  <c r="F73" i="4" s="1"/>
  <c r="T57" i="4"/>
  <c r="D74" i="4" s="1"/>
  <c r="F74" i="4" s="1"/>
  <c r="U57" i="4"/>
  <c r="D75" i="4" s="1"/>
  <c r="F75" i="4" s="1"/>
  <c r="V57" i="4"/>
  <c r="D76" i="4" s="1"/>
  <c r="F76" i="4" s="1"/>
  <c r="W57" i="4"/>
  <c r="D77" i="4" s="1"/>
  <c r="F77" i="4" s="1"/>
  <c r="W68" i="4" s="1"/>
  <c r="X57" i="4"/>
  <c r="D78" i="4" s="1"/>
  <c r="F78" i="4" s="1"/>
  <c r="W69" i="4" s="1"/>
  <c r="Y57" i="4"/>
  <c r="D79" i="4" s="1"/>
  <c r="F79" i="4" s="1"/>
  <c r="W70" i="4" s="1"/>
  <c r="Z57" i="4"/>
  <c r="D80" i="4" s="1"/>
  <c r="F80" i="4" s="1"/>
  <c r="W71" i="4" s="1"/>
  <c r="AA57" i="4"/>
  <c r="D81" i="4" s="1"/>
  <c r="F81" i="4" s="1"/>
  <c r="W72" i="4" s="1"/>
  <c r="M57" i="4"/>
  <c r="D68" i="4" s="1"/>
  <c r="G68" i="4" s="1"/>
  <c r="E57" i="4"/>
  <c r="D63" i="4" s="1"/>
  <c r="G63" i="4" s="1"/>
  <c r="F57" i="4"/>
  <c r="D64" i="4" s="1"/>
  <c r="G64" i="4" s="1"/>
  <c r="G57" i="4"/>
  <c r="D65" i="4" s="1"/>
  <c r="H57" i="4"/>
  <c r="I57" i="4"/>
  <c r="D66" i="4" s="1"/>
  <c r="G66" i="4" s="1"/>
  <c r="J57" i="4"/>
  <c r="K57" i="4"/>
  <c r="L57" i="4"/>
  <c r="D67" i="4" s="1"/>
  <c r="G67" i="4" s="1"/>
  <c r="D57" i="4"/>
  <c r="D62" i="4" s="1"/>
  <c r="G62" i="4" s="1"/>
  <c r="E56" i="3"/>
  <c r="E45" i="3"/>
  <c r="F50" i="3" s="1"/>
  <c r="G130" i="4"/>
  <c r="G121" i="4"/>
  <c r="G141" i="4" s="1"/>
  <c r="D95" i="4"/>
  <c r="D94" i="4"/>
  <c r="D93" i="4"/>
  <c r="D92" i="4"/>
  <c r="D91" i="4"/>
  <c r="D90" i="4"/>
  <c r="D89" i="4"/>
  <c r="G13" i="4"/>
  <c r="G18" i="4" s="1"/>
  <c r="AC57" i="4" l="1"/>
  <c r="J87" i="4"/>
  <c r="J88" i="4" s="1"/>
  <c r="W67" i="4"/>
  <c r="E83" i="4"/>
  <c r="W63" i="4"/>
  <c r="M13" i="4"/>
  <c r="G19" i="4"/>
  <c r="H19" i="4" s="1"/>
  <c r="H20" i="4" s="1"/>
  <c r="J22" i="4" s="1"/>
  <c r="G132" i="4"/>
  <c r="H126" i="4"/>
  <c r="I126" i="4" s="1"/>
  <c r="J126" i="4" s="1"/>
  <c r="G91" i="4"/>
  <c r="H128" i="4"/>
  <c r="I128" i="4" s="1"/>
  <c r="J128" i="4" s="1"/>
  <c r="G93" i="4"/>
  <c r="H130" i="4"/>
  <c r="I130" i="4" s="1"/>
  <c r="J130" i="4" s="1"/>
  <c r="G95" i="4"/>
  <c r="G90" i="4"/>
  <c r="H125" i="4"/>
  <c r="I125" i="4" s="1"/>
  <c r="J125" i="4" s="1"/>
  <c r="H127" i="4"/>
  <c r="I127" i="4" s="1"/>
  <c r="J127" i="4" s="1"/>
  <c r="G92" i="4"/>
  <c r="G94" i="4"/>
  <c r="H129" i="4"/>
  <c r="I129" i="4" s="1"/>
  <c r="J129" i="4" s="1"/>
  <c r="E65" i="4" l="1"/>
  <c r="G65" i="4" s="1"/>
  <c r="F83" i="4"/>
  <c r="F84" i="4" s="1"/>
  <c r="H124" i="4"/>
  <c r="G89" i="4"/>
  <c r="G96" i="4" s="1"/>
  <c r="W74" i="4"/>
  <c r="W76" i="4" s="1"/>
  <c r="H121" i="4"/>
  <c r="I121" i="4" s="1"/>
  <c r="J121" i="4" s="1"/>
  <c r="H119" i="4"/>
  <c r="D84" i="4"/>
  <c r="J103" i="4" l="1"/>
  <c r="K99" i="4"/>
  <c r="I101" i="4"/>
  <c r="J105" i="4" s="1"/>
  <c r="G84" i="4"/>
  <c r="H131" i="4"/>
  <c r="I131" i="4" s="1"/>
  <c r="I124" i="4"/>
  <c r="J124" i="4" s="1"/>
  <c r="H122" i="4"/>
  <c r="G142" i="4" s="1"/>
  <c r="I119" i="4"/>
  <c r="J119" i="4" s="1"/>
  <c r="E84" i="4" l="1"/>
  <c r="H133" i="4"/>
  <c r="I133" i="4" s="1"/>
  <c r="I122" i="4"/>
  <c r="F36" i="2" l="1"/>
  <c r="E14" i="3"/>
  <c r="E15" i="3"/>
  <c r="F3" i="2"/>
  <c r="E58" i="3" l="1"/>
  <c r="E60" i="3" s="1"/>
  <c r="E62" i="3" s="1"/>
  <c r="E27" i="3"/>
  <c r="E22" i="3"/>
  <c r="E21" i="3"/>
  <c r="E31" i="3" s="1"/>
  <c r="E16" i="3"/>
  <c r="E13" i="3"/>
  <c r="F27" i="2"/>
  <c r="F28" i="2" s="1"/>
  <c r="F5" i="2"/>
  <c r="F7" i="2" s="1"/>
  <c r="F9" i="2" s="1"/>
  <c r="F10" i="2" s="1"/>
  <c r="E17" i="3" l="1"/>
  <c r="G19" i="3" s="1"/>
  <c r="F29" i="2"/>
  <c r="F30" i="2"/>
  <c r="E23" i="3"/>
  <c r="E38" i="3"/>
  <c r="E39" i="3" s="1"/>
  <c r="G41" i="3" s="1"/>
  <c r="F17" i="2"/>
  <c r="F18" i="2" s="1"/>
  <c r="F11" i="2"/>
  <c r="F12" i="2" s="1"/>
  <c r="F13" i="2" s="1"/>
  <c r="E28" i="3" l="1"/>
  <c r="E29" i="3" s="1"/>
  <c r="E32" i="3" s="1"/>
  <c r="E33" i="3" s="1"/>
  <c r="G35" i="3" s="1"/>
  <c r="F19" i="2"/>
  <c r="F34" i="2"/>
  <c r="F31" i="2"/>
  <c r="F32" i="2" s="1"/>
  <c r="G25" i="3"/>
  <c r="E63" i="3" s="1"/>
  <c r="E64" i="3" s="1"/>
  <c r="E65" i="3" s="1"/>
  <c r="E66" i="3" s="1"/>
  <c r="F20" i="2"/>
  <c r="F21" i="2"/>
  <c r="F14" i="2"/>
  <c r="F15" i="2" s="1"/>
</calcChain>
</file>

<file path=xl/sharedStrings.xml><?xml version="1.0" encoding="utf-8"?>
<sst xmlns="http://schemas.openxmlformats.org/spreadsheetml/2006/main" count="340" uniqueCount="219">
  <si>
    <t>Dato</t>
  </si>
  <si>
    <t>Tekst</t>
  </si>
  <si>
    <t>Kontanter</t>
  </si>
  <si>
    <t>Resultat</t>
  </si>
  <si>
    <t>Balanse</t>
  </si>
  <si>
    <t>Inngående balanse</t>
  </si>
  <si>
    <t>Bankinnskudd</t>
  </si>
  <si>
    <t>Varekjøp</t>
  </si>
  <si>
    <t>Lønn</t>
  </si>
  <si>
    <t>Varebeholdning</t>
  </si>
  <si>
    <t>Varesalg</t>
  </si>
  <si>
    <t>Husleie</t>
  </si>
  <si>
    <t>Strøm</t>
  </si>
  <si>
    <t>Kontorrekvisita</t>
  </si>
  <si>
    <t>Salgskostnader</t>
  </si>
  <si>
    <t>Telefon og porto</t>
  </si>
  <si>
    <t>Saldobalanse</t>
  </si>
  <si>
    <t>Eiendeler</t>
  </si>
  <si>
    <t>Egenkapital og gjeld</t>
  </si>
  <si>
    <t>Budsjettkontroll:</t>
  </si>
  <si>
    <t>Budsjett</t>
  </si>
  <si>
    <t>Regnskap</t>
  </si>
  <si>
    <t>Avvik</t>
  </si>
  <si>
    <t>Varekostnad</t>
  </si>
  <si>
    <t>Andre driftskostnader</t>
  </si>
  <si>
    <t>Sum kostnader</t>
  </si>
  <si>
    <t>varesalg</t>
  </si>
  <si>
    <t>Feriepenger</t>
  </si>
  <si>
    <t>Arbeidsgiveravgift</t>
  </si>
  <si>
    <t>Varesalg kontant</t>
  </si>
  <si>
    <t>Innskudd</t>
  </si>
  <si>
    <t>17.12.</t>
  </si>
  <si>
    <t>Skattetrekk</t>
  </si>
  <si>
    <t>A.g.a. på feriepenger</t>
  </si>
  <si>
    <t>Overført</t>
  </si>
  <si>
    <t>OTP</t>
  </si>
  <si>
    <t xml:space="preserve">Varekjøp </t>
  </si>
  <si>
    <t>Telefon</t>
  </si>
  <si>
    <t>31.12.</t>
  </si>
  <si>
    <t>Annonser</t>
  </si>
  <si>
    <t>2.12.</t>
  </si>
  <si>
    <t>Overført utg. mva.</t>
  </si>
  <si>
    <t>Overf. inng. mva.</t>
  </si>
  <si>
    <t>Skyldig arbeidsgiveravgift</t>
  </si>
  <si>
    <t>Påløpt arbeidsgiveravgift</t>
  </si>
  <si>
    <t>Obligatorisk tjenestepensjon</t>
  </si>
  <si>
    <t>Oppgjørskonto merverdiavg.</t>
  </si>
  <si>
    <t>Avgiftspliktig varesalg</t>
  </si>
  <si>
    <t>Resutatregnskap for desember 20x1</t>
  </si>
  <si>
    <t>Kostnader</t>
  </si>
  <si>
    <t>Varekostnader</t>
  </si>
  <si>
    <t>Lønn og sosiale kostnader</t>
  </si>
  <si>
    <t>Balanse per 31.12.20x1</t>
  </si>
  <si>
    <t>Kontanter og bankinnskudd</t>
  </si>
  <si>
    <t>Sum eiendeler</t>
  </si>
  <si>
    <t>Egenkapital</t>
  </si>
  <si>
    <t>Gjeld</t>
  </si>
  <si>
    <t>Offentlige avgifter</t>
  </si>
  <si>
    <t>Sum gjeld</t>
  </si>
  <si>
    <t>Sum egenkapital og gjeld</t>
  </si>
  <si>
    <t>Virkelig avanse i kroner:</t>
  </si>
  <si>
    <t>Virkelig avanse i prosent:</t>
  </si>
  <si>
    <t>Sum indirekte kostnader</t>
  </si>
  <si>
    <t>Avanse</t>
  </si>
  <si>
    <t>Inntakskost</t>
  </si>
  <si>
    <t>Salgspris ekskl. mva.</t>
  </si>
  <si>
    <t>feriepenger</t>
  </si>
  <si>
    <t>e)</t>
  </si>
  <si>
    <t>d)</t>
  </si>
  <si>
    <t>f)</t>
  </si>
  <si>
    <t>g)</t>
  </si>
  <si>
    <t>h)</t>
  </si>
  <si>
    <t>21.12.</t>
  </si>
  <si>
    <t>Nettgiro</t>
  </si>
  <si>
    <t>Løsning oppgave 10.1</t>
  </si>
  <si>
    <t>a)</t>
  </si>
  <si>
    <t>+</t>
  </si>
  <si>
    <t>Frakt og forsikring</t>
  </si>
  <si>
    <t>Inntakskost for hele partiet</t>
  </si>
  <si>
    <t>=</t>
  </si>
  <si>
    <t>b)</t>
  </si>
  <si>
    <t>Inntakskost per sykkel</t>
  </si>
  <si>
    <t>Selvkost</t>
  </si>
  <si>
    <t>25 % merverdiavgift</t>
  </si>
  <si>
    <t>Salgspris inkl. mva.</t>
  </si>
  <si>
    <t>c)</t>
  </si>
  <si>
    <t>Løsning oppgave 10.2</t>
  </si>
  <si>
    <t>Inntakskost per treningsapparat</t>
  </si>
  <si>
    <t>Salgspris uten merverdiavgift</t>
  </si>
  <si>
    <t>Salgspris med merverdiavgift</t>
  </si>
  <si>
    <t>Løsning oppgave 10.3</t>
  </si>
  <si>
    <t>Renteinntekter</t>
  </si>
  <si>
    <t>Husleiekostnader</t>
  </si>
  <si>
    <t>Rentekostnader</t>
  </si>
  <si>
    <t>Indirekte kostnader</t>
  </si>
  <si>
    <t>Salgsinntekter</t>
  </si>
  <si>
    <t>–</t>
  </si>
  <si>
    <t>Fortjeneste</t>
  </si>
  <si>
    <t>Bruttofortjeneste</t>
  </si>
  <si>
    <t>Innkjøpsverdi for hele varepartiet</t>
  </si>
  <si>
    <t>Salgspris uten mva</t>
  </si>
  <si>
    <t>Salgspris med mva.</t>
  </si>
  <si>
    <t>Inntakskost per bluse: kr 20 000 : 200 =</t>
  </si>
  <si>
    <t>Løsning oppgave 10.4</t>
  </si>
  <si>
    <t>Budsjetterte ind.kostnader</t>
  </si>
  <si>
    <t>Budsjetterte salgsinntekter</t>
  </si>
  <si>
    <t>Budsjettert overskudd (fortjeneste)</t>
  </si>
  <si>
    <t>Påløpte feriepenger</t>
  </si>
  <si>
    <t>i)</t>
  </si>
  <si>
    <r>
      <t xml:space="preserve">Innkjøpsverdi ifølge faktura: kr 4 000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 =</t>
    </r>
  </si>
  <si>
    <t>Inntakskost per sykkel: kr 43 000 : 10 =</t>
  </si>
  <si>
    <r>
      <t xml:space="preserve">30 % indirekte kostnader: kr 4 300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0,30 =</t>
    </r>
  </si>
  <si>
    <r>
      <t xml:space="preserve">15 % fortjeneste: kr 5 590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0,15 =</t>
    </r>
  </si>
  <si>
    <r>
      <t xml:space="preserve">40 % avanse: kr 4 300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0,40 =</t>
    </r>
  </si>
  <si>
    <t>140 % avanse</t>
  </si>
  <si>
    <r>
      <t xml:space="preserve">Indirekte kostnader i prosent: 1 650 000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>100 / 1 500 000 =</t>
    </r>
  </si>
  <si>
    <r>
      <t xml:space="preserve">Avanse i prosent: 2 100 000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1 500 000 =</t>
    </r>
  </si>
  <si>
    <r>
      <t xml:space="preserve">Fortjeneste i prosent: 450 000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3 150 000 =</t>
    </r>
  </si>
  <si>
    <r>
      <t xml:space="preserve">Bruttofortjeneste i prosent: 2 100 000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>100 / 3 600 000 =</t>
    </r>
  </si>
  <si>
    <r>
      <t xml:space="preserve">40 % indirekte kostnader: kr 5 000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0,40 =</t>
    </r>
  </si>
  <si>
    <r>
      <t xml:space="preserve">20 % fortjeneste: kr 7 000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</si>
  <si>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Avanse i kroner: kr (8 400 – 5 000) =</t>
  </si>
  <si>
    <t>Avanse i prosent: kr 3 400 i prosent av kr 5 000 =</t>
  </si>
  <si>
    <t>Tall fra resultatregnskapet til Lines Mote:</t>
  </si>
  <si>
    <t>Avanse = Salgsinntekter – varekostnader = kr (200 000 – 113 000) = kr 87 000</t>
  </si>
  <si>
    <r>
      <t xml:space="preserve">Avanseprosent: 87 000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113 000 = 77 %</t>
    </r>
  </si>
  <si>
    <t xml:space="preserve">Telefon </t>
  </si>
  <si>
    <r>
      <t xml:space="preserve"> i prosent: 75 000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113 000 =</t>
    </r>
  </si>
  <si>
    <t>Sum kostnader (selvkost)</t>
  </si>
  <si>
    <r>
      <t xml:space="preserve">Budsjettert fortjeneste i prosent: 12 000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188 000 =</t>
    </r>
  </si>
  <si>
    <t xml:space="preserve">kr (182 000 – 109 400) = </t>
  </si>
  <si>
    <r>
      <t xml:space="preserve">100 % </t>
    </r>
    <r>
      <rPr>
        <sz val="11"/>
        <rFont val="Arial"/>
        <family val="2"/>
      </rPr>
      <t>∙</t>
    </r>
    <r>
      <rPr>
        <sz val="11"/>
        <rFont val="Times New Roman"/>
        <family val="1"/>
      </rPr>
      <t xml:space="preserve"> 72 600 / 109 400 =</t>
    </r>
  </si>
  <si>
    <r>
      <t xml:space="preserve">Virkelige indirekte kostnader i prosent: 100 % </t>
    </r>
    <r>
      <rPr>
        <sz val="12"/>
        <rFont val="Arial"/>
        <family val="2"/>
      </rPr>
      <t>∙</t>
    </r>
    <r>
      <rPr>
        <sz val="12"/>
        <rFont val="Times New Roman"/>
        <family val="1"/>
      </rPr>
      <t xml:space="preserve"> 69 884 / 109 400 = </t>
    </r>
  </si>
  <si>
    <t>Virkelig fortjeneste: kr (72 600 – 69 884) =</t>
  </si>
  <si>
    <t xml:space="preserve">Virkelig selvkost = varekostnader + indirekte kostnader = </t>
  </si>
  <si>
    <r>
      <t xml:space="preserve">Virkelig fortjeneste i prosent: 100 % </t>
    </r>
    <r>
      <rPr>
        <sz val="11"/>
        <rFont val="Arial"/>
        <family val="2"/>
      </rPr>
      <t>∙</t>
    </r>
    <r>
      <rPr>
        <sz val="11"/>
        <rFont val="Times New Roman"/>
        <family val="1"/>
      </rPr>
      <t xml:space="preserve"> 2 716 / 179 284 = </t>
    </r>
  </si>
  <si>
    <t xml:space="preserve">De totale indirekte kostnadene viser en nedgang i forhold til budsjett. Lønn og sosiale kostnader har økt med 6,6 %, </t>
  </si>
  <si>
    <t>mens resten av de indirekte kostnader med unntak av strøm viser en nedgang.</t>
  </si>
  <si>
    <t>Konto-</t>
  </si>
  <si>
    <t>kode</t>
  </si>
  <si>
    <t>Variable kostnader = varekostnader</t>
  </si>
  <si>
    <t>Dekningsbidrag</t>
  </si>
  <si>
    <t>I dette tilfellet er bruttofortjenesten lik dekningsbidraget. Det skyldes at Lines Mote</t>
  </si>
  <si>
    <t>anser at de indirekte kostnadene er faste.</t>
  </si>
  <si>
    <r>
      <t xml:space="preserve">Dekningsgrad: 2 100 000 </t>
    </r>
    <r>
      <rPr>
        <sz val="12"/>
        <rFont val="Aptos Narrow"/>
        <family val="2"/>
      </rPr>
      <t>∙</t>
    </r>
    <r>
      <rPr>
        <sz val="12"/>
        <rFont val="Times New Roman"/>
        <family val="1"/>
      </rPr>
      <t xml:space="preserve"> 100 / 3 600 000 =</t>
    </r>
  </si>
  <si>
    <t>For å få dekket alle kostnadene må dekningsbidraget dekke i faste kostnadene, som er</t>
  </si>
  <si>
    <t>kr 1 650 000. Se sum indirekte kostnader ovenfor.</t>
  </si>
  <si>
    <r>
      <t xml:space="preserve">Nullpunktomsetning: 1 650 000 </t>
    </r>
    <r>
      <rPr>
        <sz val="12"/>
        <rFont val="Aptos Narrow"/>
        <family val="2"/>
      </rPr>
      <t>∙</t>
    </r>
    <r>
      <rPr>
        <sz val="12"/>
        <rFont val="Times New Roman"/>
        <family val="1"/>
      </rPr>
      <t xml:space="preserve"> 100 / 58,3 =</t>
    </r>
  </si>
  <si>
    <t>Kontonavn</t>
  </si>
  <si>
    <t xml:space="preserve">Trykkfeil i læreboka. </t>
  </si>
  <si>
    <t>Gjelder postering av varekjøp</t>
  </si>
  <si>
    <t>22.12. Merverdiavgift skal</t>
  </si>
  <si>
    <t>kr 8 250)</t>
  </si>
  <si>
    <t>være kr 12 360 (i stedet for</t>
  </si>
  <si>
    <t>i kroner</t>
  </si>
  <si>
    <t>i prosent</t>
  </si>
  <si>
    <t>Årsaken til noe dårligere resultat enn budsjettert er første og fremst at salget er kr 18 000 lavere enn budsjettert.</t>
  </si>
  <si>
    <t>I utgangspunktet burde vi da forvente at også varekostnadene skulle falle med 9 %. Vi ser at varekostnadene</t>
  </si>
  <si>
    <t>I varehandel er bruttofortjenesten (avansen) et viktig lønnsomhetsmål. Bruttofortjenesten regner vi normalt i forhold til omsetningen, slik:</t>
  </si>
  <si>
    <t>Budsjettert bruttofortjeneste: 87 000 i prosent av 200 000 =</t>
  </si>
  <si>
    <t>Virkelig bruttofortjeneste: 72 600 i prosent av 182 000 =</t>
  </si>
  <si>
    <t xml:space="preserve">Det betyr at omsetningen har falt med 9 % i forhold til budsjett. </t>
  </si>
  <si>
    <t xml:space="preserve">har falt med bare 3,2 %. Det betyr at varekostnadene har økt relativt sett. </t>
  </si>
  <si>
    <t>Begge disse forholdene har ført til en svikt i avansen (bruttofortjenesten) på kr 14 400.</t>
  </si>
  <si>
    <t>En nedgang i bruttofortjenesten i prosent kan skyldes</t>
  </si>
  <si>
    <t>Lavere salgspriser</t>
  </si>
  <si>
    <t>Økte innkjøpspriser, svinn</t>
  </si>
  <si>
    <t>Etter de nye reglene pålegges arbeidsgiverne å betale forskuddstrekket til</t>
  </si>
  <si>
    <t>Skatteetaten samtidig med lønnsutbetalingen.</t>
  </si>
  <si>
    <t>Vare-</t>
  </si>
  <si>
    <t>beholdning</t>
  </si>
  <si>
    <t>Bank-</t>
  </si>
  <si>
    <t>innskudd</t>
  </si>
  <si>
    <t>trekk</t>
  </si>
  <si>
    <t>Egen-</t>
  </si>
  <si>
    <t>kapital</t>
  </si>
  <si>
    <t>Fiske-</t>
  </si>
  <si>
    <t>AS</t>
  </si>
  <si>
    <t xml:space="preserve">mottaket </t>
  </si>
  <si>
    <t>Skatte-</t>
  </si>
  <si>
    <t>Utgående</t>
  </si>
  <si>
    <t>mva.</t>
  </si>
  <si>
    <t>Inngående</t>
  </si>
  <si>
    <t>Oppgjørs-</t>
  </si>
  <si>
    <t>konto</t>
  </si>
  <si>
    <t>Kontroll</t>
  </si>
  <si>
    <t>Skyldig</t>
  </si>
  <si>
    <t>arb.giver-</t>
  </si>
  <si>
    <t>avgift</t>
  </si>
  <si>
    <t>Påløpte</t>
  </si>
  <si>
    <t>Avgifts-</t>
  </si>
  <si>
    <t>pliktig</t>
  </si>
  <si>
    <t>Ferie-</t>
  </si>
  <si>
    <t>penger</t>
  </si>
  <si>
    <t>Obl.</t>
  </si>
  <si>
    <t>tjeneste-</t>
  </si>
  <si>
    <t>pensjon</t>
  </si>
  <si>
    <t>Arbeids-</t>
  </si>
  <si>
    <t>giveravgift</t>
  </si>
  <si>
    <t>Kontor-</t>
  </si>
  <si>
    <t>rekvisita</t>
  </si>
  <si>
    <t>Salgs-</t>
  </si>
  <si>
    <t>kostnader</t>
  </si>
  <si>
    <t>Andre</t>
  </si>
  <si>
    <t>drifts-</t>
  </si>
  <si>
    <t>Påløpt</t>
  </si>
  <si>
    <t>Radnr</t>
  </si>
  <si>
    <t>balanse</t>
  </si>
  <si>
    <t>Saldo-</t>
  </si>
  <si>
    <t>Poster-</t>
  </si>
  <si>
    <t>inger</t>
  </si>
  <si>
    <t xml:space="preserve">Varekjøpet må bokføres </t>
  </si>
  <si>
    <t>først. Deretter bokføres</t>
  </si>
  <si>
    <t>betalingen med nettgiro.</t>
  </si>
  <si>
    <t>Fra 2025 vil det etter all sannsynlighet bli en endring i reglene om betaling</t>
  </si>
  <si>
    <t>av skattetrekk til Skatteetaten.</t>
  </si>
  <si>
    <t>Vi har valgt å vise løsningsforslag både etter nåværende regler (2024) og etter</t>
  </si>
  <si>
    <t>de forventede reglene fra og med 2025 der det er hensiktsmessig og mulig.</t>
  </si>
  <si>
    <t>I oppgave 10.4 bruker vi de reglene vi regner med blir gjeldende fra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</si>
</sst>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d/m/;@"/>
    <numFmt numFmtId="165" formatCode="0.0\ %"/>
    <numFmt numFmtId="166" formatCode="&quot;kr&quot;\ #,##0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sz val="12"/>
      <name val="Calibri"/>
      <family val="2"/>
    </font>
    <font>
      <b/>
      <i/>
      <sz val="12"/>
      <name val="Times New Roman"/>
      <family val="1"/>
    </font>
    <font>
      <sz val="12"/>
      <name val="Aptos Narrow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5" fillId="0" borderId="0" xfId="0" applyFont="1"/>
    <xf numFmtId="3" fontId="3" fillId="0" borderId="5" xfId="0" applyNumberFormat="1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1" xfId="0" applyNumberFormat="1" applyFont="1" applyBorder="1"/>
    <xf numFmtId="0" fontId="7" fillId="0" borderId="10" xfId="0" applyFont="1" applyBorder="1" applyAlignment="1" applyProtection="1">
      <alignment horizontal="center"/>
      <protection locked="0"/>
    </xf>
    <xf numFmtId="164" fontId="7" fillId="0" borderId="10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0" fontId="7" fillId="0" borderId="13" xfId="0" applyFont="1" applyBorder="1"/>
    <xf numFmtId="0" fontId="8" fillId="0" borderId="0" xfId="0" applyFont="1"/>
    <xf numFmtId="1" fontId="7" fillId="0" borderId="10" xfId="0" applyNumberFormat="1" applyFont="1" applyBorder="1" applyAlignment="1" applyProtection="1">
      <alignment horizontal="center"/>
      <protection locked="0"/>
    </xf>
    <xf numFmtId="164" fontId="7" fillId="0" borderId="14" xfId="0" applyNumberFormat="1" applyFont="1" applyBorder="1" applyAlignment="1" applyProtection="1">
      <alignment horizontal="right"/>
      <protection locked="0"/>
    </xf>
    <xf numFmtId="164" fontId="7" fillId="0" borderId="14" xfId="0" applyNumberFormat="1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2" xfId="0" applyFont="1" applyBorder="1" applyAlignment="1">
      <alignment horizontal="left"/>
    </xf>
    <xf numFmtId="1" fontId="7" fillId="0" borderId="9" xfId="0" applyNumberFormat="1" applyFont="1" applyBorder="1" applyAlignment="1" applyProtection="1">
      <alignment horizontal="center"/>
      <protection locked="0"/>
    </xf>
    <xf numFmtId="0" fontId="7" fillId="0" borderId="18" xfId="0" applyFont="1" applyBorder="1" applyProtection="1">
      <protection locked="0"/>
    </xf>
    <xf numFmtId="0" fontId="7" fillId="0" borderId="19" xfId="0" applyFont="1" applyBorder="1"/>
    <xf numFmtId="3" fontId="7" fillId="0" borderId="14" xfId="0" applyNumberFormat="1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1" fontId="7" fillId="0" borderId="11" xfId="0" applyNumberFormat="1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/>
    <xf numFmtId="0" fontId="6" fillId="0" borderId="0" xfId="0" applyFont="1"/>
    <xf numFmtId="3" fontId="7" fillId="0" borderId="0" xfId="0" applyNumberFormat="1" applyFont="1"/>
    <xf numFmtId="0" fontId="9" fillId="0" borderId="0" xfId="0" applyFont="1"/>
    <xf numFmtId="3" fontId="7" fillId="0" borderId="5" xfId="0" applyNumberFormat="1" applyFont="1" applyBorder="1"/>
    <xf numFmtId="3" fontId="7" fillId="0" borderId="8" xfId="0" applyNumberFormat="1" applyFont="1" applyBorder="1"/>
    <xf numFmtId="165" fontId="3" fillId="0" borderId="0" xfId="1" applyNumberFormat="1" applyFont="1"/>
    <xf numFmtId="165" fontId="7" fillId="0" borderId="0" xfId="1" applyNumberFormat="1" applyFont="1"/>
    <xf numFmtId="0" fontId="7" fillId="0" borderId="5" xfId="0" applyFont="1" applyBorder="1"/>
    <xf numFmtId="3" fontId="7" fillId="0" borderId="1" xfId="0" applyNumberFormat="1" applyFont="1" applyBorder="1"/>
    <xf numFmtId="4" fontId="7" fillId="0" borderId="0" xfId="0" applyNumberFormat="1" applyFont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" fontId="7" fillId="0" borderId="1" xfId="0" applyNumberFormat="1" applyFont="1" applyBorder="1" applyAlignment="1">
      <alignment horizontal="right"/>
    </xf>
    <xf numFmtId="0" fontId="7" fillId="0" borderId="6" xfId="0" applyFont="1" applyBorder="1"/>
    <xf numFmtId="0" fontId="2" fillId="0" borderId="23" xfId="0" applyFont="1" applyBorder="1"/>
    <xf numFmtId="49" fontId="4" fillId="0" borderId="15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15" xfId="0" applyNumberFormat="1" applyFont="1" applyBorder="1"/>
    <xf numFmtId="2" fontId="3" fillId="0" borderId="6" xfId="0" applyNumberFormat="1" applyFont="1" applyBorder="1" applyAlignment="1">
      <alignment horizontal="left" indent="1"/>
    </xf>
    <xf numFmtId="2" fontId="3" fillId="0" borderId="5" xfId="0" applyNumberFormat="1" applyFont="1" applyBorder="1" applyAlignment="1">
      <alignment horizontal="left" indent="1"/>
    </xf>
    <xf numFmtId="0" fontId="3" fillId="0" borderId="24" xfId="0" applyFont="1" applyBorder="1"/>
    <xf numFmtId="0" fontId="3" fillId="0" borderId="5" xfId="0" applyFont="1" applyBorder="1" applyAlignment="1">
      <alignment horizontal="left" indent="1"/>
    </xf>
    <xf numFmtId="3" fontId="3" fillId="0" borderId="0" xfId="0" applyNumberFormat="1" applyFont="1"/>
    <xf numFmtId="164" fontId="7" fillId="0" borderId="10" xfId="0" quotePrefix="1" applyNumberFormat="1" applyFont="1" applyBorder="1" applyAlignment="1" applyProtection="1">
      <alignment horizontal="right"/>
      <protection locked="0"/>
    </xf>
    <xf numFmtId="42" fontId="3" fillId="0" borderId="0" xfId="0" applyNumberFormat="1" applyFont="1"/>
    <xf numFmtId="0" fontId="3" fillId="0" borderId="0" xfId="0" quotePrefix="1" applyFont="1"/>
    <xf numFmtId="0" fontId="3" fillId="0" borderId="0" xfId="0" quotePrefix="1" applyFont="1" applyAlignment="1">
      <alignment horizontal="right"/>
    </xf>
    <xf numFmtId="42" fontId="3" fillId="0" borderId="8" xfId="0" applyNumberFormat="1" applyFont="1" applyBorder="1"/>
    <xf numFmtId="42" fontId="3" fillId="0" borderId="5" xfId="0" applyNumberFormat="1" applyFont="1" applyBorder="1"/>
    <xf numFmtId="44" fontId="3" fillId="0" borderId="0" xfId="0" applyNumberFormat="1" applyFont="1"/>
    <xf numFmtId="44" fontId="3" fillId="0" borderId="8" xfId="0" applyNumberFormat="1" applyFont="1" applyBorder="1"/>
    <xf numFmtId="44" fontId="3" fillId="0" borderId="5" xfId="0" applyNumberFormat="1" applyFont="1" applyBorder="1"/>
    <xf numFmtId="9" fontId="3" fillId="0" borderId="8" xfId="0" applyNumberFormat="1" applyFont="1" applyBorder="1"/>
    <xf numFmtId="0" fontId="3" fillId="0" borderId="0" xfId="0" applyFont="1" applyAlignment="1">
      <alignment horizontal="right"/>
    </xf>
    <xf numFmtId="165" fontId="3" fillId="0" borderId="8" xfId="0" applyNumberFormat="1" applyFont="1" applyBorder="1"/>
    <xf numFmtId="0" fontId="11" fillId="0" borderId="0" xfId="0" applyFont="1"/>
    <xf numFmtId="3" fontId="2" fillId="0" borderId="0" xfId="0" applyNumberFormat="1" applyFont="1"/>
    <xf numFmtId="3" fontId="3" fillId="0" borderId="8" xfId="0" applyNumberFormat="1" applyFont="1" applyBorder="1"/>
    <xf numFmtId="3" fontId="8" fillId="0" borderId="0" xfId="0" applyNumberFormat="1" applyFont="1"/>
    <xf numFmtId="165" fontId="8" fillId="0" borderId="0" xfId="1" applyNumberFormat="1" applyFont="1"/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66" fontId="7" fillId="0" borderId="8" xfId="0" applyNumberFormat="1" applyFont="1" applyBorder="1"/>
    <xf numFmtId="165" fontId="3" fillId="0" borderId="5" xfId="1" applyNumberFormat="1" applyFont="1" applyBorder="1"/>
    <xf numFmtId="165" fontId="3" fillId="0" borderId="8" xfId="1" applyNumberFormat="1" applyFont="1" applyBorder="1"/>
    <xf numFmtId="166" fontId="3" fillId="0" borderId="8" xfId="0" applyNumberFormat="1" applyFont="1" applyBorder="1"/>
    <xf numFmtId="166" fontId="4" fillId="0" borderId="8" xfId="0" applyNumberFormat="1" applyFont="1" applyBorder="1"/>
    <xf numFmtId="165" fontId="7" fillId="0" borderId="8" xfId="1" applyNumberFormat="1" applyFont="1" applyBorder="1"/>
    <xf numFmtId="0" fontId="7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16" xfId="0" applyFont="1" applyFill="1" applyBorder="1"/>
    <xf numFmtId="0" fontId="5" fillId="2" borderId="2" xfId="0" applyFont="1" applyFill="1" applyBorder="1"/>
    <xf numFmtId="0" fontId="5" fillId="2" borderId="7" xfId="0" applyFont="1" applyFill="1" applyBorder="1"/>
    <xf numFmtId="0" fontId="5" fillId="2" borderId="3" xfId="0" applyFont="1" applyFill="1" applyBorder="1"/>
    <xf numFmtId="0" fontId="5" fillId="2" borderId="12" xfId="0" applyFont="1" applyFill="1" applyBorder="1"/>
    <xf numFmtId="0" fontId="5" fillId="2" borderId="22" xfId="0" applyFont="1" applyFill="1" applyBorder="1"/>
    <xf numFmtId="0" fontId="7" fillId="0" borderId="15" xfId="0" applyFont="1" applyBorder="1" applyAlignment="1">
      <alignment horizontal="center"/>
    </xf>
    <xf numFmtId="0" fontId="3" fillId="0" borderId="15" xfId="0" applyFont="1" applyBorder="1"/>
    <xf numFmtId="165" fontId="3" fillId="0" borderId="15" xfId="1" applyNumberFormat="1" applyFont="1" applyBorder="1"/>
    <xf numFmtId="0" fontId="3" fillId="0" borderId="12" xfId="0" applyFont="1" applyBorder="1"/>
    <xf numFmtId="165" fontId="3" fillId="0" borderId="1" xfId="1" applyNumberFormat="1" applyFont="1" applyBorder="1"/>
    <xf numFmtId="0" fontId="3" fillId="0" borderId="14" xfId="0" applyFont="1" applyBorder="1"/>
    <xf numFmtId="0" fontId="3" fillId="0" borderId="13" xfId="0" applyFont="1" applyBorder="1"/>
    <xf numFmtId="3" fontId="3" fillId="0" borderId="10" xfId="0" applyNumberFormat="1" applyFont="1" applyBorder="1"/>
    <xf numFmtId="165" fontId="3" fillId="0" borderId="10" xfId="1" applyNumberFormat="1" applyFont="1" applyBorder="1"/>
    <xf numFmtId="1" fontId="3" fillId="0" borderId="0" xfId="0" applyNumberFormat="1" applyFont="1"/>
    <xf numFmtId="0" fontId="3" fillId="0" borderId="16" xfId="0" applyFont="1" applyBorder="1" applyAlignment="1">
      <alignment horizontal="left"/>
    </xf>
    <xf numFmtId="0" fontId="4" fillId="0" borderId="7" xfId="0" applyFont="1" applyBorder="1"/>
    <xf numFmtId="0" fontId="2" fillId="0" borderId="12" xfId="0" applyFont="1" applyBorder="1"/>
    <xf numFmtId="0" fontId="7" fillId="0" borderId="14" xfId="0" applyFont="1" applyBorder="1"/>
    <xf numFmtId="0" fontId="7" fillId="0" borderId="14" xfId="0" applyFont="1" applyBorder="1" applyProtection="1">
      <protection locked="0"/>
    </xf>
    <xf numFmtId="0" fontId="3" fillId="0" borderId="22" xfId="0" applyFont="1" applyBorder="1"/>
    <xf numFmtId="1" fontId="3" fillId="0" borderId="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64" fontId="7" fillId="0" borderId="9" xfId="0" applyNumberFormat="1" applyFont="1" applyBorder="1" applyAlignment="1" applyProtection="1">
      <alignment horizontal="right"/>
      <protection locked="0"/>
    </xf>
    <xf numFmtId="0" fontId="3" fillId="0" borderId="19" xfId="0" applyFont="1" applyBorder="1"/>
    <xf numFmtId="164" fontId="7" fillId="0" borderId="11" xfId="0" applyNumberFormat="1" applyFont="1" applyBorder="1" applyAlignment="1" applyProtection="1">
      <alignment horizontal="right"/>
      <protection locked="0"/>
    </xf>
    <xf numFmtId="0" fontId="7" fillId="0" borderId="20" xfId="0" applyFont="1" applyBorder="1" applyProtection="1">
      <protection locked="0"/>
    </xf>
    <xf numFmtId="0" fontId="3" fillId="0" borderId="21" xfId="0" applyFont="1" applyBorder="1"/>
    <xf numFmtId="0" fontId="7" fillId="0" borderId="11" xfId="0" applyFont="1" applyBorder="1" applyAlignment="1" applyProtection="1">
      <alignment horizontal="center"/>
      <protection locked="0"/>
    </xf>
    <xf numFmtId="3" fontId="3" fillId="0" borderId="9" xfId="0" applyNumberFormat="1" applyFont="1" applyBorder="1"/>
    <xf numFmtId="3" fontId="3" fillId="0" borderId="11" xfId="0" applyNumberFormat="1" applyFont="1" applyBorder="1"/>
    <xf numFmtId="3" fontId="3" fillId="0" borderId="23" xfId="0" applyNumberFormat="1" applyFont="1" applyBorder="1"/>
    <xf numFmtId="3" fontId="3" fillId="0" borderId="23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7" fillId="0" borderId="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 textRotation="90"/>
    </xf>
    <xf numFmtId="0" fontId="3" fillId="0" borderId="23" xfId="0" applyFont="1" applyBorder="1" applyAlignment="1">
      <alignment horizontal="center" textRotation="90"/>
    </xf>
    <xf numFmtId="0" fontId="13" fillId="0" borderId="0" xfId="2" applyFont="1"/>
    <xf numFmtId="0" fontId="13" fillId="0" borderId="25" xfId="2" applyFont="1" applyBorder="1"/>
    <xf numFmtId="0" fontId="13" fillId="0" borderId="26" xfId="2" applyFont="1" applyBorder="1"/>
    <xf numFmtId="0" fontId="13" fillId="0" borderId="27" xfId="2" applyFont="1" applyBorder="1"/>
    <xf numFmtId="0" fontId="13" fillId="0" borderId="28" xfId="2" applyFont="1" applyBorder="1"/>
    <xf numFmtId="0" fontId="13" fillId="0" borderId="29" xfId="2" applyFont="1" applyBorder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3" fillId="0" borderId="30" xfId="2" applyFont="1" applyBorder="1"/>
    <xf numFmtId="0" fontId="13" fillId="0" borderId="31" xfId="2" applyFont="1" applyBorder="1"/>
    <xf numFmtId="0" fontId="13" fillId="0" borderId="32" xfId="2" applyFont="1" applyBorder="1"/>
    <xf numFmtId="0" fontId="3" fillId="0" borderId="4" xfId="0" applyFont="1" applyBorder="1" applyAlignment="1">
      <alignment horizontal="center" textRotation="90"/>
    </xf>
  </cellXfs>
  <cellStyles count="3">
    <cellStyle name="Normal" xfId="0" builtinId="0"/>
    <cellStyle name="Normal 2" xfId="2" xr:uid="{00000000-0005-0000-0000-000001000000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204B7-6424-41C6-98A8-9EB8178BA302}">
  <sheetPr>
    <tabColor rgb="FFFFC000"/>
  </sheetPr>
  <dimension ref="A3:Q16"/>
  <sheetViews>
    <sheetView showGridLines="0" workbookViewId="0">
      <selection activeCell="M13" sqref="M13"/>
    </sheetView>
  </sheetViews>
  <sheetFormatPr baseColWidth="10" defaultRowHeight="18.75" x14ac:dyDescent="0.3"/>
  <cols>
    <col min="1" max="1" width="2.42578125" style="139" customWidth="1"/>
    <col min="2" max="2" width="8.42578125" style="139" customWidth="1"/>
    <col min="3" max="3" width="6.42578125" style="139" bestFit="1" customWidth="1"/>
    <col min="4" max="6" width="11.42578125" style="139"/>
    <col min="7" max="7" width="5" style="139" customWidth="1"/>
    <col min="8" max="8" width="10.28515625" style="139" customWidth="1"/>
    <col min="9" max="9" width="4.42578125" style="139" customWidth="1"/>
    <col min="10" max="10" width="12.140625" style="139" customWidth="1"/>
    <col min="11" max="11" width="7.7109375" style="139" customWidth="1"/>
    <col min="12" max="16384" width="11.42578125" style="139"/>
  </cols>
  <sheetData>
    <row r="3" spans="1:17" ht="19.5" thickBot="1" x14ac:dyDescent="0.35"/>
    <row r="4" spans="1:17" x14ac:dyDescent="0.3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2"/>
    </row>
    <row r="5" spans="1:17" x14ac:dyDescent="0.3">
      <c r="A5" s="143"/>
      <c r="B5" s="139" t="s">
        <v>214</v>
      </c>
      <c r="K5" s="144"/>
    </row>
    <row r="6" spans="1:17" x14ac:dyDescent="0.3">
      <c r="A6" s="143"/>
      <c r="B6" s="139" t="s">
        <v>215</v>
      </c>
      <c r="K6" s="144"/>
    </row>
    <row r="7" spans="1:17" x14ac:dyDescent="0.3">
      <c r="A7" s="143"/>
      <c r="K7" s="144"/>
    </row>
    <row r="8" spans="1:17" x14ac:dyDescent="0.3">
      <c r="A8" s="143"/>
      <c r="B8" s="139" t="s">
        <v>167</v>
      </c>
      <c r="K8" s="144"/>
    </row>
    <row r="9" spans="1:17" x14ac:dyDescent="0.3">
      <c r="A9" s="143"/>
      <c r="B9" s="139" t="s">
        <v>168</v>
      </c>
      <c r="K9" s="144"/>
    </row>
    <row r="10" spans="1:17" x14ac:dyDescent="0.3">
      <c r="A10" s="143"/>
      <c r="K10" s="144"/>
    </row>
    <row r="11" spans="1:17" x14ac:dyDescent="0.3">
      <c r="A11" s="143"/>
      <c r="B11" s="139" t="s">
        <v>216</v>
      </c>
      <c r="K11" s="144"/>
    </row>
    <row r="12" spans="1:17" x14ac:dyDescent="0.3">
      <c r="A12" s="143"/>
      <c r="B12" s="139" t="s">
        <v>217</v>
      </c>
      <c r="J12" s="145"/>
      <c r="K12" s="144"/>
    </row>
    <row r="13" spans="1:17" x14ac:dyDescent="0.3">
      <c r="A13" s="143"/>
      <c r="K13" s="144"/>
      <c r="Q13" s="146"/>
    </row>
    <row r="14" spans="1:17" x14ac:dyDescent="0.3">
      <c r="A14" s="143"/>
      <c r="B14" s="139" t="s">
        <v>218</v>
      </c>
      <c r="K14" s="144"/>
      <c r="Q14" s="146"/>
    </row>
    <row r="15" spans="1:17" x14ac:dyDescent="0.3">
      <c r="A15" s="143"/>
      <c r="K15" s="144"/>
    </row>
    <row r="16" spans="1:17" ht="19.5" thickBot="1" x14ac:dyDescent="0.35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9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opLeftCell="A2" workbookViewId="0">
      <selection activeCell="B34" sqref="B34"/>
    </sheetView>
  </sheetViews>
  <sheetFormatPr baseColWidth="10" defaultRowHeight="15.75" x14ac:dyDescent="0.25"/>
  <cols>
    <col min="1" max="1" width="6.7109375" style="2" customWidth="1"/>
    <col min="2" max="4" width="11.42578125" style="2"/>
    <col min="5" max="5" width="13.140625" style="62" bestFit="1" customWidth="1"/>
    <col min="6" max="6" width="14.28515625" style="57" bestFit="1" customWidth="1"/>
    <col min="7" max="16384" width="11.42578125" style="2"/>
  </cols>
  <sheetData>
    <row r="1" spans="1:13" x14ac:dyDescent="0.25">
      <c r="A1" s="4" t="s">
        <v>74</v>
      </c>
    </row>
    <row r="3" spans="1:13" x14ac:dyDescent="0.25">
      <c r="A3" s="2" t="s">
        <v>75</v>
      </c>
      <c r="B3" s="2" t="s">
        <v>109</v>
      </c>
      <c r="F3" s="57">
        <f>4000*10</f>
        <v>40000</v>
      </c>
    </row>
    <row r="4" spans="1:13" x14ac:dyDescent="0.25">
      <c r="A4" s="59" t="s">
        <v>76</v>
      </c>
      <c r="B4" s="2" t="s">
        <v>77</v>
      </c>
      <c r="F4" s="60">
        <v>3000</v>
      </c>
    </row>
    <row r="5" spans="1:13" s="33" customFormat="1" ht="20.25" x14ac:dyDescent="0.3">
      <c r="A5" s="59" t="s">
        <v>79</v>
      </c>
      <c r="B5" s="2" t="s">
        <v>78</v>
      </c>
      <c r="C5" s="2"/>
      <c r="D5" s="2"/>
      <c r="E5" s="62"/>
      <c r="F5" s="61">
        <f>SUM(F3:F4)</f>
        <v>43000</v>
      </c>
      <c r="G5" s="2"/>
      <c r="H5" s="2"/>
      <c r="I5" s="2"/>
      <c r="J5" s="2"/>
      <c r="K5" s="2"/>
      <c r="L5" s="2"/>
    </row>
    <row r="7" spans="1:13" x14ac:dyDescent="0.25">
      <c r="B7" s="2" t="s">
        <v>110</v>
      </c>
      <c r="F7" s="60">
        <f>F5/10</f>
        <v>4300</v>
      </c>
    </row>
    <row r="9" spans="1:13" x14ac:dyDescent="0.25">
      <c r="A9" s="2" t="s">
        <v>80</v>
      </c>
      <c r="B9" s="2" t="s">
        <v>81</v>
      </c>
      <c r="F9" s="62">
        <f>F7</f>
        <v>4300</v>
      </c>
    </row>
    <row r="10" spans="1:13" x14ac:dyDescent="0.25">
      <c r="A10" s="59" t="s">
        <v>76</v>
      </c>
      <c r="B10" s="2" t="s">
        <v>111</v>
      </c>
      <c r="F10" s="63">
        <f>F9*0.3</f>
        <v>1290</v>
      </c>
    </row>
    <row r="11" spans="1:13" s="33" customFormat="1" ht="20.25" x14ac:dyDescent="0.3">
      <c r="A11" s="59" t="s">
        <v>79</v>
      </c>
      <c r="B11" s="2" t="s">
        <v>82</v>
      </c>
      <c r="C11" s="2"/>
      <c r="D11" s="2"/>
      <c r="F11" s="62">
        <f>SUM(F9:F10)</f>
        <v>5590</v>
      </c>
      <c r="G11" s="2"/>
      <c r="H11" s="2"/>
      <c r="I11" s="2"/>
      <c r="J11" s="2"/>
      <c r="K11" s="2"/>
      <c r="L11" s="2"/>
      <c r="M11" s="2"/>
    </row>
    <row r="12" spans="1:13" x14ac:dyDescent="0.25">
      <c r="A12" s="59" t="s">
        <v>76</v>
      </c>
      <c r="B12" s="2" t="s">
        <v>112</v>
      </c>
      <c r="F12" s="63">
        <f>F11*0.15</f>
        <v>838.5</v>
      </c>
    </row>
    <row r="13" spans="1:13" s="33" customFormat="1" ht="20.25" x14ac:dyDescent="0.3">
      <c r="A13" s="59" t="s">
        <v>79</v>
      </c>
      <c r="B13" s="2" t="s">
        <v>65</v>
      </c>
      <c r="C13" s="2"/>
      <c r="D13" s="2"/>
      <c r="F13" s="62">
        <f>SUM(F11:F12)</f>
        <v>6428.5</v>
      </c>
      <c r="G13" s="2"/>
      <c r="H13" s="2"/>
      <c r="I13" s="2"/>
      <c r="J13" s="2"/>
      <c r="K13" s="2"/>
    </row>
    <row r="14" spans="1:13" x14ac:dyDescent="0.25">
      <c r="A14" s="59" t="s">
        <v>76</v>
      </c>
      <c r="B14" s="2" t="s">
        <v>83</v>
      </c>
      <c r="F14" s="62">
        <f>F13*0.25</f>
        <v>1607.125</v>
      </c>
    </row>
    <row r="15" spans="1:13" s="33" customFormat="1" ht="20.25" x14ac:dyDescent="0.3">
      <c r="A15" s="59" t="s">
        <v>79</v>
      </c>
      <c r="B15" s="2" t="s">
        <v>84</v>
      </c>
      <c r="C15" s="2"/>
      <c r="D15" s="2"/>
      <c r="F15" s="64">
        <f>SUM(F13:F14)</f>
        <v>8035.625</v>
      </c>
      <c r="G15" s="2"/>
      <c r="H15" s="2"/>
      <c r="I15" s="2"/>
      <c r="J15" s="2"/>
      <c r="K15" s="2"/>
      <c r="L15" s="2"/>
      <c r="M15" s="2"/>
    </row>
    <row r="16" spans="1:13" x14ac:dyDescent="0.25">
      <c r="F16" s="62"/>
    </row>
    <row r="17" spans="1:14" x14ac:dyDescent="0.25">
      <c r="A17" s="2" t="s">
        <v>85</v>
      </c>
      <c r="B17" s="2" t="s">
        <v>64</v>
      </c>
      <c r="F17" s="62">
        <f>F9</f>
        <v>4300</v>
      </c>
    </row>
    <row r="18" spans="1:14" x14ac:dyDescent="0.25">
      <c r="A18" s="59" t="s">
        <v>76</v>
      </c>
      <c r="B18" s="2" t="s">
        <v>113</v>
      </c>
      <c r="F18" s="63">
        <f>F17*0.4</f>
        <v>1720</v>
      </c>
    </row>
    <row r="19" spans="1:14" s="33" customFormat="1" ht="20.25" x14ac:dyDescent="0.3">
      <c r="A19" s="59" t="s">
        <v>79</v>
      </c>
      <c r="B19" s="2" t="s">
        <v>65</v>
      </c>
      <c r="C19" s="2"/>
      <c r="D19" s="2"/>
      <c r="F19" s="62">
        <f>SUM(F17:F18)</f>
        <v>6020</v>
      </c>
      <c r="G19" s="2"/>
      <c r="H19" s="2"/>
      <c r="I19" s="2"/>
      <c r="J19" s="2"/>
      <c r="K19" s="2"/>
    </row>
    <row r="20" spans="1:14" x14ac:dyDescent="0.25">
      <c r="A20" s="59" t="s">
        <v>76</v>
      </c>
      <c r="B20" s="2" t="s">
        <v>83</v>
      </c>
      <c r="F20" s="63">
        <f>F19*0.25</f>
        <v>1505</v>
      </c>
    </row>
    <row r="21" spans="1:14" s="33" customFormat="1" ht="20.25" x14ac:dyDescent="0.3">
      <c r="A21" s="59" t="s">
        <v>79</v>
      </c>
      <c r="B21" s="2" t="s">
        <v>84</v>
      </c>
      <c r="C21" s="2"/>
      <c r="D21" s="2"/>
      <c r="F21" s="63">
        <f>SUM(F19:F20)</f>
        <v>7525</v>
      </c>
      <c r="G21" s="2"/>
      <c r="H21" s="2"/>
      <c r="I21" s="2"/>
      <c r="J21" s="2"/>
      <c r="K21" s="2"/>
      <c r="L21" s="2"/>
      <c r="M21" s="2"/>
      <c r="N21" s="2"/>
    </row>
    <row r="24" spans="1:14" x14ac:dyDescent="0.25">
      <c r="A24" s="4" t="s">
        <v>86</v>
      </c>
    </row>
    <row r="26" spans="1:14" x14ac:dyDescent="0.25">
      <c r="A26" s="2" t="s">
        <v>75</v>
      </c>
      <c r="B26" s="2" t="s">
        <v>87</v>
      </c>
      <c r="F26" s="57">
        <v>5000</v>
      </c>
    </row>
    <row r="27" spans="1:14" x14ac:dyDescent="0.25">
      <c r="A27" s="59" t="s">
        <v>76</v>
      </c>
      <c r="B27" s="2" t="s">
        <v>119</v>
      </c>
      <c r="F27" s="60">
        <f>F26*0.4</f>
        <v>2000</v>
      </c>
    </row>
    <row r="28" spans="1:14" s="33" customFormat="1" ht="20.25" x14ac:dyDescent="0.3">
      <c r="A28" s="59" t="s">
        <v>79</v>
      </c>
      <c r="B28" s="2" t="s">
        <v>82</v>
      </c>
      <c r="C28" s="2"/>
      <c r="D28" s="2"/>
      <c r="E28" s="62"/>
      <c r="F28" s="57">
        <f>SUM(F26:F27)</f>
        <v>7000</v>
      </c>
      <c r="G28" s="2"/>
      <c r="H28" s="2"/>
    </row>
    <row r="29" spans="1:14" x14ac:dyDescent="0.25">
      <c r="A29" s="59" t="s">
        <v>76</v>
      </c>
      <c r="B29" s="2" t="s">
        <v>120</v>
      </c>
      <c r="F29" s="60">
        <f>F28*0.2</f>
        <v>1400</v>
      </c>
    </row>
    <row r="30" spans="1:14" s="33" customFormat="1" ht="20.25" x14ac:dyDescent="0.3">
      <c r="A30" s="59" t="s">
        <v>79</v>
      </c>
      <c r="B30" s="2" t="s">
        <v>88</v>
      </c>
      <c r="C30" s="2"/>
      <c r="D30" s="2"/>
      <c r="E30" s="62"/>
      <c r="F30" s="57">
        <f>SUM(F28:F29)</f>
        <v>8400</v>
      </c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59" t="s">
        <v>76</v>
      </c>
      <c r="B31" s="2" t="s">
        <v>83</v>
      </c>
      <c r="F31" s="57">
        <f>F30*0.25</f>
        <v>2100</v>
      </c>
    </row>
    <row r="32" spans="1:14" s="33" customFormat="1" ht="20.25" x14ac:dyDescent="0.3">
      <c r="A32" s="59" t="s">
        <v>79</v>
      </c>
      <c r="B32" s="2" t="s">
        <v>89</v>
      </c>
      <c r="C32" s="2"/>
      <c r="D32" s="2"/>
      <c r="E32" s="62"/>
      <c r="F32" s="61">
        <f>SUM(F30:F31)</f>
        <v>10500</v>
      </c>
      <c r="G32" s="2"/>
      <c r="H32" s="57"/>
      <c r="I32" s="2"/>
      <c r="J32" s="2"/>
      <c r="K32" s="2"/>
      <c r="L32" s="2"/>
      <c r="M32" s="2"/>
      <c r="N32" s="2"/>
    </row>
    <row r="34" spans="1:6" x14ac:dyDescent="0.25">
      <c r="A34" s="2" t="s">
        <v>80</v>
      </c>
      <c r="B34" s="2" t="s">
        <v>121</v>
      </c>
      <c r="F34" s="57">
        <f>F30-F26</f>
        <v>3400</v>
      </c>
    </row>
    <row r="36" spans="1:6" x14ac:dyDescent="0.25">
      <c r="B36" s="2" t="s">
        <v>122</v>
      </c>
      <c r="F36" s="65">
        <f>F34/F26</f>
        <v>0.68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10.1 og 10.2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8"/>
  <sheetViews>
    <sheetView showGridLines="0" tabSelected="1" workbookViewId="0">
      <selection activeCell="K55" sqref="K55"/>
    </sheetView>
  </sheetViews>
  <sheetFormatPr baseColWidth="10" defaultRowHeight="15.75" x14ac:dyDescent="0.25"/>
  <cols>
    <col min="1" max="1" width="6.7109375" style="2" customWidth="1"/>
    <col min="2" max="3" width="11.42578125" style="2"/>
    <col min="4" max="4" width="12.7109375" style="2" customWidth="1"/>
    <col min="5" max="5" width="14.28515625" style="57" bestFit="1" customWidth="1"/>
    <col min="6" max="6" width="7.42578125" style="2" bestFit="1" customWidth="1"/>
    <col min="7" max="7" width="8.5703125" style="2" bestFit="1" customWidth="1"/>
    <col min="8" max="8" width="14.28515625" style="2" bestFit="1" customWidth="1"/>
    <col min="9" max="16384" width="11.42578125" style="2"/>
  </cols>
  <sheetData>
    <row r="1" spans="1:7" x14ac:dyDescent="0.25">
      <c r="A1" s="4" t="s">
        <v>90</v>
      </c>
    </row>
    <row r="3" spans="1:7" x14ac:dyDescent="0.25">
      <c r="B3" s="68" t="s">
        <v>123</v>
      </c>
    </row>
    <row r="4" spans="1:7" x14ac:dyDescent="0.25">
      <c r="B4" s="2" t="s">
        <v>10</v>
      </c>
      <c r="E4" s="57">
        <v>3600000</v>
      </c>
    </row>
    <row r="5" spans="1:7" x14ac:dyDescent="0.25">
      <c r="B5" s="2" t="s">
        <v>91</v>
      </c>
      <c r="E5" s="57">
        <v>1000</v>
      </c>
    </row>
    <row r="6" spans="1:7" x14ac:dyDescent="0.25">
      <c r="B6" s="2" t="s">
        <v>50</v>
      </c>
      <c r="E6" s="57">
        <v>1500000</v>
      </c>
    </row>
    <row r="7" spans="1:7" x14ac:dyDescent="0.25">
      <c r="B7" s="2" t="s">
        <v>51</v>
      </c>
      <c r="E7" s="57">
        <v>940000</v>
      </c>
    </row>
    <row r="8" spans="1:7" x14ac:dyDescent="0.25">
      <c r="B8" s="2" t="s">
        <v>92</v>
      </c>
      <c r="E8" s="57">
        <v>240000</v>
      </c>
    </row>
    <row r="9" spans="1:7" x14ac:dyDescent="0.25">
      <c r="B9" s="2" t="s">
        <v>24</v>
      </c>
      <c r="E9" s="57">
        <v>455000</v>
      </c>
    </row>
    <row r="10" spans="1:7" x14ac:dyDescent="0.25">
      <c r="B10" s="2" t="s">
        <v>93</v>
      </c>
      <c r="E10" s="57">
        <v>15000</v>
      </c>
      <c r="G10" s="57"/>
    </row>
    <row r="12" spans="1:7" x14ac:dyDescent="0.25">
      <c r="A12" s="2" t="s">
        <v>75</v>
      </c>
      <c r="B12" s="4" t="s">
        <v>94</v>
      </c>
    </row>
    <row r="13" spans="1:7" x14ac:dyDescent="0.25">
      <c r="B13" s="2" t="s">
        <v>51</v>
      </c>
      <c r="E13" s="57">
        <f>E7</f>
        <v>940000</v>
      </c>
    </row>
    <row r="14" spans="1:7" x14ac:dyDescent="0.25">
      <c r="B14" s="2" t="s">
        <v>92</v>
      </c>
      <c r="E14" s="57">
        <f t="shared" ref="E14:E15" si="0">E8</f>
        <v>240000</v>
      </c>
    </row>
    <row r="15" spans="1:7" x14ac:dyDescent="0.25">
      <c r="B15" s="2" t="s">
        <v>24</v>
      </c>
      <c r="E15" s="57">
        <f t="shared" si="0"/>
        <v>455000</v>
      </c>
    </row>
    <row r="16" spans="1:7" x14ac:dyDescent="0.25">
      <c r="B16" s="2" t="s">
        <v>93</v>
      </c>
      <c r="E16" s="57">
        <f t="shared" ref="E16" si="1">E10</f>
        <v>15000</v>
      </c>
    </row>
    <row r="17" spans="1:15" s="33" customFormat="1" ht="20.25" x14ac:dyDescent="0.3">
      <c r="A17" s="2"/>
      <c r="B17" s="2" t="s">
        <v>62</v>
      </c>
      <c r="C17" s="2"/>
      <c r="D17" s="2"/>
      <c r="E17" s="61">
        <f>SUM(E13:E16)</f>
        <v>1650000</v>
      </c>
      <c r="F17" s="2"/>
      <c r="G17" s="2"/>
      <c r="H17" s="57"/>
      <c r="I17" s="2"/>
      <c r="J17" s="2"/>
      <c r="K17" s="2"/>
      <c r="L17" s="2"/>
      <c r="M17" s="57"/>
    </row>
    <row r="19" spans="1:15" x14ac:dyDescent="0.25">
      <c r="B19" s="2" t="s">
        <v>115</v>
      </c>
      <c r="G19" s="67">
        <f>E17/E6</f>
        <v>1.1000000000000001</v>
      </c>
    </row>
    <row r="21" spans="1:15" x14ac:dyDescent="0.25">
      <c r="A21" s="2" t="s">
        <v>80</v>
      </c>
      <c r="B21" s="2" t="s">
        <v>95</v>
      </c>
      <c r="E21" s="57">
        <f>E4</f>
        <v>3600000</v>
      </c>
    </row>
    <row r="22" spans="1:15" x14ac:dyDescent="0.25">
      <c r="A22" s="66" t="s">
        <v>96</v>
      </c>
      <c r="B22" s="2" t="s">
        <v>50</v>
      </c>
      <c r="E22" s="57">
        <f>E6</f>
        <v>1500000</v>
      </c>
    </row>
    <row r="23" spans="1:15" s="33" customFormat="1" ht="20.25" x14ac:dyDescent="0.3">
      <c r="A23" s="59" t="s">
        <v>79</v>
      </c>
      <c r="B23" s="2" t="s">
        <v>63</v>
      </c>
      <c r="C23" s="2"/>
      <c r="D23" s="2"/>
      <c r="E23" s="61">
        <f>E21-E22</f>
        <v>2100000</v>
      </c>
      <c r="F23" s="2"/>
      <c r="G23" s="2"/>
      <c r="H23" s="2"/>
      <c r="I23" s="2"/>
      <c r="J23" s="2"/>
      <c r="K23" s="2"/>
      <c r="L23" s="2"/>
      <c r="M23" s="2"/>
      <c r="N23" s="2"/>
      <c r="O23" s="2"/>
    </row>
    <row r="25" spans="1:15" x14ac:dyDescent="0.25">
      <c r="B25" s="2" t="s">
        <v>116</v>
      </c>
      <c r="G25" s="67">
        <f>E23/E6</f>
        <v>1.4</v>
      </c>
    </row>
    <row r="27" spans="1:15" x14ac:dyDescent="0.25">
      <c r="A27" s="2" t="s">
        <v>85</v>
      </c>
      <c r="B27" s="2" t="s">
        <v>50</v>
      </c>
      <c r="E27" s="57">
        <f>E6</f>
        <v>1500000</v>
      </c>
    </row>
    <row r="28" spans="1:15" x14ac:dyDescent="0.25">
      <c r="A28" s="59" t="s">
        <v>76</v>
      </c>
      <c r="B28" s="2" t="s">
        <v>94</v>
      </c>
      <c r="E28" s="60">
        <f>E17</f>
        <v>1650000</v>
      </c>
    </row>
    <row r="29" spans="1:15" s="33" customFormat="1" ht="20.25" x14ac:dyDescent="0.3">
      <c r="A29" s="59" t="s">
        <v>79</v>
      </c>
      <c r="B29" s="2" t="s">
        <v>82</v>
      </c>
      <c r="C29" s="2"/>
      <c r="D29" s="2"/>
      <c r="E29" s="61">
        <f>SUM(E27:E28)</f>
        <v>3150000</v>
      </c>
      <c r="F29" s="2"/>
      <c r="G29" s="2"/>
      <c r="H29" s="2"/>
      <c r="I29" s="2"/>
      <c r="J29" s="2"/>
      <c r="K29" s="2"/>
      <c r="L29" s="2"/>
      <c r="M29" s="2"/>
    </row>
    <row r="30" spans="1:15" x14ac:dyDescent="0.25">
      <c r="A30" s="66"/>
    </row>
    <row r="31" spans="1:15" x14ac:dyDescent="0.25">
      <c r="A31" s="66"/>
      <c r="B31" s="2" t="s">
        <v>95</v>
      </c>
      <c r="E31" s="57">
        <f>E21</f>
        <v>3600000</v>
      </c>
    </row>
    <row r="32" spans="1:15" x14ac:dyDescent="0.25">
      <c r="A32" s="66" t="s">
        <v>96</v>
      </c>
      <c r="B32" s="2" t="s">
        <v>82</v>
      </c>
      <c r="E32" s="57">
        <f>E29</f>
        <v>3150000</v>
      </c>
    </row>
    <row r="33" spans="1:15" s="33" customFormat="1" ht="20.25" x14ac:dyDescent="0.3">
      <c r="A33" s="59" t="s">
        <v>79</v>
      </c>
      <c r="B33" s="2" t="s">
        <v>97</v>
      </c>
      <c r="C33" s="2"/>
      <c r="D33" s="2"/>
      <c r="E33" s="61">
        <f>E31-E32</f>
        <v>450000</v>
      </c>
      <c r="F33" s="2"/>
      <c r="G33" s="2"/>
      <c r="H33" s="2"/>
      <c r="I33" s="2"/>
      <c r="J33" s="2"/>
      <c r="K33" s="2"/>
      <c r="L33" s="2"/>
      <c r="M33" s="2"/>
      <c r="N33" s="2"/>
    </row>
    <row r="35" spans="1:15" x14ac:dyDescent="0.25">
      <c r="B35" s="2" t="s">
        <v>117</v>
      </c>
      <c r="G35" s="67">
        <f>E33/E29</f>
        <v>0.14285714285714285</v>
      </c>
    </row>
    <row r="37" spans="1:15" x14ac:dyDescent="0.25">
      <c r="A37" s="2" t="s">
        <v>68</v>
      </c>
      <c r="B37" s="2" t="s">
        <v>95</v>
      </c>
      <c r="E37" s="57">
        <v>3600000</v>
      </c>
    </row>
    <row r="38" spans="1:15" x14ac:dyDescent="0.25">
      <c r="A38" s="66" t="s">
        <v>96</v>
      </c>
      <c r="B38" s="2" t="s">
        <v>50</v>
      </c>
      <c r="E38" s="57">
        <f>E22</f>
        <v>1500000</v>
      </c>
    </row>
    <row r="39" spans="1:15" s="33" customFormat="1" ht="20.25" x14ac:dyDescent="0.3">
      <c r="A39" s="59" t="s">
        <v>79</v>
      </c>
      <c r="B39" s="2" t="s">
        <v>98</v>
      </c>
      <c r="C39" s="2"/>
      <c r="D39" s="2"/>
      <c r="E39" s="61">
        <f>E37-E38</f>
        <v>2100000</v>
      </c>
      <c r="F39" s="2"/>
      <c r="G39" s="2"/>
      <c r="H39" s="2"/>
      <c r="I39" s="2"/>
      <c r="J39" s="2"/>
      <c r="K39" s="2"/>
      <c r="L39" s="2"/>
      <c r="M39" s="2"/>
      <c r="N39" s="2"/>
      <c r="O39" s="2"/>
    </row>
    <row r="41" spans="1:15" x14ac:dyDescent="0.25">
      <c r="B41" s="2" t="s">
        <v>118</v>
      </c>
      <c r="G41" s="67">
        <f>E39/E37</f>
        <v>0.58333333333333337</v>
      </c>
    </row>
    <row r="43" spans="1:15" x14ac:dyDescent="0.25">
      <c r="A43" s="2" t="s">
        <v>67</v>
      </c>
      <c r="B43" s="2" t="s">
        <v>95</v>
      </c>
      <c r="E43" s="57">
        <v>3600000</v>
      </c>
    </row>
    <row r="44" spans="1:15" x14ac:dyDescent="0.25">
      <c r="A44" s="66" t="s">
        <v>96</v>
      </c>
      <c r="B44" s="2" t="s">
        <v>140</v>
      </c>
      <c r="E44" s="57">
        <v>1500000</v>
      </c>
    </row>
    <row r="45" spans="1:15" s="33" customFormat="1" ht="20.25" x14ac:dyDescent="0.3">
      <c r="A45" s="59" t="s">
        <v>79</v>
      </c>
      <c r="B45" s="2" t="s">
        <v>141</v>
      </c>
      <c r="C45" s="2"/>
      <c r="D45" s="2"/>
      <c r="E45" s="61">
        <f>E43-E44</f>
        <v>2100000</v>
      </c>
      <c r="F45" s="2"/>
      <c r="G45" s="2"/>
      <c r="H45" s="2"/>
      <c r="I45" s="2"/>
      <c r="J45" s="2"/>
      <c r="K45" s="2"/>
      <c r="L45" s="2"/>
      <c r="M45" s="2"/>
    </row>
    <row r="47" spans="1:15" x14ac:dyDescent="0.25">
      <c r="B47" s="2" t="s">
        <v>142</v>
      </c>
    </row>
    <row r="48" spans="1:15" x14ac:dyDescent="0.25">
      <c r="B48" s="2" t="s">
        <v>143</v>
      </c>
    </row>
    <row r="50" spans="1:13" x14ac:dyDescent="0.25">
      <c r="B50" s="2" t="s">
        <v>144</v>
      </c>
      <c r="F50" s="77">
        <f>E45/E43</f>
        <v>0.58333333333333337</v>
      </c>
    </row>
    <row r="52" spans="1:13" x14ac:dyDescent="0.25">
      <c r="B52" s="2" t="s">
        <v>145</v>
      </c>
    </row>
    <row r="53" spans="1:13" x14ac:dyDescent="0.25">
      <c r="B53" s="2" t="s">
        <v>146</v>
      </c>
    </row>
    <row r="55" spans="1:13" x14ac:dyDescent="0.25">
      <c r="B55" s="2" t="s">
        <v>147</v>
      </c>
    </row>
    <row r="56" spans="1:13" x14ac:dyDescent="0.25">
      <c r="E56" s="60">
        <f>E17/F50</f>
        <v>2828571.4285714282</v>
      </c>
    </row>
    <row r="58" spans="1:13" x14ac:dyDescent="0.25">
      <c r="A58" s="2" t="s">
        <v>69</v>
      </c>
      <c r="B58" s="2" t="s">
        <v>99</v>
      </c>
      <c r="E58" s="57">
        <f>18000</f>
        <v>18000</v>
      </c>
    </row>
    <row r="59" spans="1:13" x14ac:dyDescent="0.25">
      <c r="A59" s="59" t="s">
        <v>76</v>
      </c>
      <c r="B59" s="2" t="s">
        <v>77</v>
      </c>
      <c r="E59" s="60">
        <v>2000</v>
      </c>
    </row>
    <row r="60" spans="1:13" s="33" customFormat="1" ht="20.25" x14ac:dyDescent="0.3">
      <c r="A60" s="59" t="s">
        <v>79</v>
      </c>
      <c r="B60" s="2" t="s">
        <v>64</v>
      </c>
      <c r="C60" s="2"/>
      <c r="D60" s="2"/>
      <c r="E60" s="61">
        <f>SUM(E58:E59)</f>
        <v>20000</v>
      </c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58"/>
    </row>
    <row r="62" spans="1:13" x14ac:dyDescent="0.25">
      <c r="B62" s="2" t="s">
        <v>102</v>
      </c>
      <c r="E62" s="62">
        <f>E60/200</f>
        <v>100</v>
      </c>
    </row>
    <row r="63" spans="1:13" x14ac:dyDescent="0.25">
      <c r="A63" s="59" t="s">
        <v>76</v>
      </c>
      <c r="B63" s="2" t="s">
        <v>114</v>
      </c>
      <c r="E63" s="63">
        <f>E62*G25</f>
        <v>140</v>
      </c>
    </row>
    <row r="64" spans="1:13" s="33" customFormat="1" ht="20.25" x14ac:dyDescent="0.3">
      <c r="A64" s="59" t="s">
        <v>79</v>
      </c>
      <c r="B64" s="2" t="s">
        <v>100</v>
      </c>
      <c r="C64" s="2"/>
      <c r="D64" s="2"/>
      <c r="E64" s="62">
        <f>SUM(E62:E63)</f>
        <v>240</v>
      </c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59" t="s">
        <v>76</v>
      </c>
      <c r="B65" s="2" t="s">
        <v>83</v>
      </c>
      <c r="E65" s="62">
        <f>E64*0.25</f>
        <v>60</v>
      </c>
    </row>
    <row r="66" spans="1:13" s="33" customFormat="1" ht="20.25" x14ac:dyDescent="0.3">
      <c r="A66" s="59" t="s">
        <v>79</v>
      </c>
      <c r="B66" s="2" t="s">
        <v>101</v>
      </c>
      <c r="C66" s="2"/>
      <c r="D66" s="2"/>
      <c r="E66" s="64">
        <f>SUM(E64:E65)</f>
        <v>300</v>
      </c>
      <c r="F66" s="2"/>
      <c r="G66" s="2"/>
      <c r="H66" s="2"/>
      <c r="I66" s="2"/>
      <c r="J66" s="2"/>
      <c r="K66" s="2"/>
      <c r="L66" s="2"/>
      <c r="M66" s="2"/>
    </row>
    <row r="67" spans="1:13" x14ac:dyDescent="0.25">
      <c r="E67" s="62"/>
    </row>
    <row r="68" spans="1:13" x14ac:dyDescent="0.25">
      <c r="E68" s="6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10.3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4F466-313E-4D0A-B475-67F4ABE07E17}">
  <dimension ref="A1:AG157"/>
  <sheetViews>
    <sheetView showGridLines="0" workbookViewId="0">
      <selection activeCell="M24" sqref="M24"/>
    </sheetView>
  </sheetViews>
  <sheetFormatPr baseColWidth="10" defaultRowHeight="15" x14ac:dyDescent="0.2"/>
  <cols>
    <col min="1" max="1" width="6.140625" style="1" bestFit="1" customWidth="1"/>
    <col min="2" max="2" width="22.85546875" style="1" customWidth="1"/>
    <col min="3" max="3" width="3.85546875" style="1" bestFit="1" customWidth="1"/>
    <col min="4" max="7" width="10.5703125" style="1" customWidth="1"/>
    <col min="8" max="8" width="10.5703125" style="69" customWidth="1"/>
    <col min="9" max="13" width="10.5703125" style="1" customWidth="1"/>
    <col min="14" max="14" width="3.85546875" style="1" customWidth="1"/>
    <col min="15" max="15" width="10.5703125" style="1" bestFit="1" customWidth="1"/>
    <col min="16" max="29" width="9.85546875" style="1" customWidth="1"/>
    <col min="30" max="42" width="8.7109375" style="1" customWidth="1"/>
    <col min="43" max="43" width="3.85546875" style="1" customWidth="1"/>
    <col min="44" max="53" width="8.7109375" style="1" customWidth="1"/>
    <col min="54" max="55" width="9.5703125" style="1" customWidth="1"/>
    <col min="56" max="16384" width="11.42578125" style="1"/>
  </cols>
  <sheetData>
    <row r="1" spans="1:14" s="2" customFormat="1" ht="15.75" x14ac:dyDescent="0.25">
      <c r="A1" s="4" t="s">
        <v>103</v>
      </c>
      <c r="H1" s="55"/>
    </row>
    <row r="2" spans="1:14" s="2" customFormat="1" ht="15.75" x14ac:dyDescent="0.25">
      <c r="H2" s="55"/>
    </row>
    <row r="3" spans="1:14" s="2" customFormat="1" ht="15.75" x14ac:dyDescent="0.25">
      <c r="C3" s="2" t="s">
        <v>75</v>
      </c>
      <c r="D3" s="2" t="s">
        <v>124</v>
      </c>
      <c r="H3" s="55"/>
    </row>
    <row r="4" spans="1:14" s="2" customFormat="1" ht="15.75" x14ac:dyDescent="0.25">
      <c r="A4" s="86" t="s">
        <v>149</v>
      </c>
      <c r="B4" s="87"/>
      <c r="D4" s="2" t="s">
        <v>125</v>
      </c>
      <c r="H4" s="55"/>
    </row>
    <row r="5" spans="1:14" s="2" customFormat="1" ht="15.75" x14ac:dyDescent="0.25">
      <c r="A5" s="88" t="s">
        <v>150</v>
      </c>
      <c r="B5" s="89"/>
      <c r="H5" s="55"/>
    </row>
    <row r="6" spans="1:14" s="2" customFormat="1" ht="15.75" x14ac:dyDescent="0.25">
      <c r="A6" s="88" t="s">
        <v>151</v>
      </c>
      <c r="B6" s="89"/>
      <c r="C6" s="2" t="s">
        <v>80</v>
      </c>
      <c r="D6" s="2" t="s">
        <v>51</v>
      </c>
      <c r="G6" s="55">
        <v>36000</v>
      </c>
      <c r="H6" s="55"/>
    </row>
    <row r="7" spans="1:14" s="2" customFormat="1" ht="15.75" x14ac:dyDescent="0.25">
      <c r="A7" s="88" t="s">
        <v>153</v>
      </c>
      <c r="B7" s="89"/>
      <c r="D7" s="2" t="s">
        <v>11</v>
      </c>
      <c r="G7" s="55">
        <v>10000</v>
      </c>
      <c r="H7" s="55"/>
    </row>
    <row r="8" spans="1:14" s="2" customFormat="1" ht="15.75" x14ac:dyDescent="0.25">
      <c r="A8" s="88" t="s">
        <v>152</v>
      </c>
      <c r="B8" s="89"/>
      <c r="D8" s="2" t="s">
        <v>12</v>
      </c>
      <c r="G8" s="55">
        <v>3000</v>
      </c>
      <c r="H8" s="55"/>
    </row>
    <row r="9" spans="1:14" s="2" customFormat="1" ht="15.75" x14ac:dyDescent="0.25">
      <c r="A9" s="88" t="s">
        <v>211</v>
      </c>
      <c r="B9" s="89"/>
      <c r="D9" s="2" t="s">
        <v>13</v>
      </c>
      <c r="G9" s="55">
        <v>6000</v>
      </c>
      <c r="H9" s="55"/>
    </row>
    <row r="10" spans="1:14" s="2" customFormat="1" ht="15.75" x14ac:dyDescent="0.25">
      <c r="A10" s="88" t="s">
        <v>212</v>
      </c>
      <c r="B10" s="89"/>
      <c r="D10" s="2" t="s">
        <v>126</v>
      </c>
      <c r="G10" s="55">
        <v>1000</v>
      </c>
      <c r="H10" s="55"/>
    </row>
    <row r="11" spans="1:14" s="2" customFormat="1" ht="15.75" x14ac:dyDescent="0.25">
      <c r="A11" s="90" t="s">
        <v>213</v>
      </c>
      <c r="B11" s="91"/>
      <c r="D11" s="2" t="s">
        <v>14</v>
      </c>
      <c r="G11" s="55">
        <v>14000</v>
      </c>
      <c r="H11" s="55"/>
    </row>
    <row r="12" spans="1:14" s="2" customFormat="1" ht="15.75" x14ac:dyDescent="0.25">
      <c r="D12" s="2" t="s">
        <v>24</v>
      </c>
      <c r="G12" s="55">
        <v>5000</v>
      </c>
      <c r="H12" s="55"/>
    </row>
    <row r="13" spans="1:14" s="33" customFormat="1" ht="20.25" x14ac:dyDescent="0.3">
      <c r="B13" s="2"/>
      <c r="C13" s="2"/>
      <c r="D13" s="2" t="s">
        <v>104</v>
      </c>
      <c r="E13" s="2"/>
      <c r="F13" s="2"/>
      <c r="G13" s="5">
        <f>SUM(G6:G12)</f>
        <v>75000</v>
      </c>
      <c r="H13" s="55"/>
      <c r="I13" s="2" t="s">
        <v>127</v>
      </c>
      <c r="J13" s="2"/>
      <c r="K13" s="2"/>
      <c r="L13" s="2"/>
      <c r="M13" s="67">
        <f>G18/G17</f>
        <v>0.66371681415929207</v>
      </c>
      <c r="N13" s="2"/>
    </row>
    <row r="14" spans="1:14" s="2" customFormat="1" ht="15.75" x14ac:dyDescent="0.25">
      <c r="G14" s="55"/>
      <c r="H14" s="55"/>
    </row>
    <row r="15" spans="1:14" s="2" customFormat="1" ht="15.75" x14ac:dyDescent="0.25">
      <c r="C15" s="2" t="s">
        <v>85</v>
      </c>
      <c r="D15" s="2" t="s">
        <v>105</v>
      </c>
      <c r="G15" s="55"/>
      <c r="H15" s="55">
        <v>200000</v>
      </c>
    </row>
    <row r="16" spans="1:14" s="2" customFormat="1" ht="15.75" x14ac:dyDescent="0.25">
      <c r="G16" s="55"/>
      <c r="H16" s="55"/>
    </row>
    <row r="17" spans="1:29" s="2" customFormat="1" ht="15.75" x14ac:dyDescent="0.25">
      <c r="D17" s="2" t="s">
        <v>50</v>
      </c>
      <c r="G17" s="55">
        <v>113000</v>
      </c>
      <c r="H17" s="55"/>
      <c r="L17" s="55"/>
    </row>
    <row r="18" spans="1:29" s="2" customFormat="1" ht="15.75" x14ac:dyDescent="0.25">
      <c r="D18" s="2" t="s">
        <v>94</v>
      </c>
      <c r="G18" s="70">
        <f>G13</f>
        <v>75000</v>
      </c>
      <c r="H18" s="55"/>
    </row>
    <row r="19" spans="1:29" s="33" customFormat="1" ht="20.25" x14ac:dyDescent="0.3">
      <c r="B19" s="2"/>
      <c r="C19" s="2"/>
      <c r="D19" s="2" t="s">
        <v>128</v>
      </c>
      <c r="E19" s="2"/>
      <c r="F19" s="2"/>
      <c r="G19" s="5">
        <f>SUM(G17:G18)</f>
        <v>188000</v>
      </c>
      <c r="H19" s="70">
        <f>G19</f>
        <v>188000</v>
      </c>
      <c r="I19" s="2"/>
      <c r="J19" s="2"/>
      <c r="K19" s="2"/>
      <c r="L19" s="2"/>
      <c r="M19" s="2"/>
      <c r="N19" s="2"/>
    </row>
    <row r="20" spans="1:29" s="33" customFormat="1" ht="20.25" x14ac:dyDescent="0.3">
      <c r="B20" s="2"/>
      <c r="C20" s="2"/>
      <c r="D20" s="2" t="s">
        <v>106</v>
      </c>
      <c r="E20" s="2"/>
      <c r="F20" s="2"/>
      <c r="G20" s="55"/>
      <c r="H20" s="5">
        <f>H15-H19</f>
        <v>12000</v>
      </c>
      <c r="I20" s="2"/>
      <c r="J20" s="2"/>
      <c r="K20" s="2"/>
      <c r="L20" s="2"/>
      <c r="M20" s="2"/>
      <c r="N20" s="2"/>
    </row>
    <row r="21" spans="1:29" s="2" customFormat="1" ht="15.75" x14ac:dyDescent="0.25">
      <c r="H21" s="55"/>
    </row>
    <row r="22" spans="1:29" s="2" customFormat="1" ht="15.75" x14ac:dyDescent="0.25">
      <c r="D22" s="2" t="s">
        <v>129</v>
      </c>
      <c r="H22" s="55"/>
      <c r="J22" s="67">
        <f>H20/H19</f>
        <v>6.3829787234042548E-2</v>
      </c>
    </row>
    <row r="23" spans="1:29" s="2" customFormat="1" ht="15.75" x14ac:dyDescent="0.25">
      <c r="H23" s="55"/>
    </row>
    <row r="24" spans="1:29" s="2" customFormat="1" ht="15.75" x14ac:dyDescent="0.25">
      <c r="H24" s="55"/>
    </row>
    <row r="25" spans="1:29" s="2" customFormat="1" ht="15.75" x14ac:dyDescent="0.25">
      <c r="H25" s="55"/>
    </row>
    <row r="26" spans="1:29" s="2" customFormat="1" ht="15.75" x14ac:dyDescent="0.25">
      <c r="H26" s="55"/>
      <c r="K26" s="55"/>
    </row>
    <row r="27" spans="1:29" s="2" customFormat="1" ht="15.75" x14ac:dyDescent="0.25">
      <c r="H27" s="55"/>
    </row>
    <row r="28" spans="1:29" s="2" customFormat="1" ht="15.75" x14ac:dyDescent="0.25">
      <c r="H28" s="55"/>
    </row>
    <row r="29" spans="1:29" s="2" customFormat="1" ht="15.75" customHeight="1" x14ac:dyDescent="0.25">
      <c r="A29" s="3" t="s">
        <v>0</v>
      </c>
      <c r="B29" s="102" t="s">
        <v>1</v>
      </c>
      <c r="C29" s="132"/>
      <c r="D29" s="3">
        <v>1400</v>
      </c>
      <c r="E29" s="3">
        <v>1900</v>
      </c>
      <c r="F29" s="3">
        <v>1920</v>
      </c>
      <c r="G29" s="108">
        <v>2050</v>
      </c>
      <c r="H29" s="3">
        <v>20011</v>
      </c>
      <c r="I29" s="3">
        <v>2600</v>
      </c>
      <c r="J29" s="3">
        <v>2700</v>
      </c>
      <c r="K29" s="3">
        <v>2710</v>
      </c>
      <c r="L29" s="3">
        <v>2740</v>
      </c>
      <c r="M29" s="3">
        <v>2770</v>
      </c>
      <c r="N29" s="150" t="s">
        <v>206</v>
      </c>
      <c r="O29" s="3">
        <v>2780</v>
      </c>
      <c r="P29" s="3">
        <v>2940</v>
      </c>
      <c r="Q29" s="3">
        <v>3000</v>
      </c>
      <c r="R29" s="3">
        <v>4000</v>
      </c>
      <c r="S29" s="3">
        <v>5000</v>
      </c>
      <c r="T29" s="3">
        <v>5050</v>
      </c>
      <c r="U29" s="3">
        <v>5110</v>
      </c>
      <c r="V29" s="3">
        <v>5400</v>
      </c>
      <c r="W29" s="3">
        <v>6300</v>
      </c>
      <c r="X29" s="3">
        <v>6304</v>
      </c>
      <c r="Y29" s="3">
        <v>6800</v>
      </c>
      <c r="Z29" s="3">
        <v>6900</v>
      </c>
      <c r="AA29" s="3">
        <v>7300</v>
      </c>
      <c r="AB29" s="3">
        <v>7780</v>
      </c>
      <c r="AC29" s="3" t="s">
        <v>185</v>
      </c>
    </row>
    <row r="30" spans="1:29" s="2" customFormat="1" ht="15.75" customHeight="1" x14ac:dyDescent="0.25">
      <c r="A30" s="48"/>
      <c r="B30" s="103"/>
      <c r="C30" s="133"/>
      <c r="D30" s="109" t="s">
        <v>169</v>
      </c>
      <c r="E30" s="109" t="s">
        <v>2</v>
      </c>
      <c r="F30" s="109" t="s">
        <v>171</v>
      </c>
      <c r="G30" s="110" t="s">
        <v>174</v>
      </c>
      <c r="H30" s="109" t="s">
        <v>176</v>
      </c>
      <c r="I30" s="109" t="s">
        <v>179</v>
      </c>
      <c r="J30" s="109" t="s">
        <v>180</v>
      </c>
      <c r="K30" s="109" t="s">
        <v>182</v>
      </c>
      <c r="L30" s="109" t="s">
        <v>183</v>
      </c>
      <c r="M30" s="109" t="s">
        <v>186</v>
      </c>
      <c r="N30" s="137"/>
      <c r="O30" s="109" t="s">
        <v>205</v>
      </c>
      <c r="P30" s="109" t="s">
        <v>189</v>
      </c>
      <c r="Q30" s="109" t="s">
        <v>190</v>
      </c>
      <c r="R30" s="109" t="s">
        <v>7</v>
      </c>
      <c r="S30" s="109" t="s">
        <v>8</v>
      </c>
      <c r="T30" s="109" t="s">
        <v>192</v>
      </c>
      <c r="U30" s="109" t="s">
        <v>194</v>
      </c>
      <c r="V30" s="109" t="s">
        <v>197</v>
      </c>
      <c r="W30" s="109" t="s">
        <v>11</v>
      </c>
      <c r="X30" s="109" t="s">
        <v>12</v>
      </c>
      <c r="Y30" s="109" t="s">
        <v>199</v>
      </c>
      <c r="Z30" s="109" t="s">
        <v>37</v>
      </c>
      <c r="AA30" s="109" t="s">
        <v>201</v>
      </c>
      <c r="AB30" s="109" t="s">
        <v>203</v>
      </c>
      <c r="AC30" s="109"/>
    </row>
    <row r="31" spans="1:29" s="2" customFormat="1" ht="15.75" x14ac:dyDescent="0.25">
      <c r="A31" s="48"/>
      <c r="B31" s="103"/>
      <c r="C31" s="133"/>
      <c r="D31" s="109" t="s">
        <v>170</v>
      </c>
      <c r="E31" s="109"/>
      <c r="F31" s="109" t="s">
        <v>172</v>
      </c>
      <c r="G31" s="110" t="s">
        <v>175</v>
      </c>
      <c r="H31" s="109" t="s">
        <v>178</v>
      </c>
      <c r="I31" s="109" t="s">
        <v>173</v>
      </c>
      <c r="J31" s="109" t="s">
        <v>181</v>
      </c>
      <c r="K31" s="109" t="s">
        <v>181</v>
      </c>
      <c r="L31" s="109" t="s">
        <v>184</v>
      </c>
      <c r="M31" s="109" t="s">
        <v>187</v>
      </c>
      <c r="N31" s="137"/>
      <c r="O31" s="109" t="s">
        <v>187</v>
      </c>
      <c r="P31" s="109" t="s">
        <v>66</v>
      </c>
      <c r="Q31" s="109" t="s">
        <v>191</v>
      </c>
      <c r="R31" s="109"/>
      <c r="S31" s="109"/>
      <c r="T31" s="109" t="s">
        <v>193</v>
      </c>
      <c r="U31" s="109" t="s">
        <v>195</v>
      </c>
      <c r="V31" s="109" t="s">
        <v>198</v>
      </c>
      <c r="W31" s="109"/>
      <c r="X31" s="109"/>
      <c r="Y31" s="109" t="s">
        <v>200</v>
      </c>
      <c r="Z31" s="109"/>
      <c r="AA31" s="109" t="s">
        <v>202</v>
      </c>
      <c r="AB31" s="109" t="s">
        <v>204</v>
      </c>
      <c r="AC31" s="109"/>
    </row>
    <row r="32" spans="1:29" s="2" customFormat="1" ht="15.75" x14ac:dyDescent="0.25">
      <c r="A32" s="47"/>
      <c r="B32" s="104"/>
      <c r="C32" s="107"/>
      <c r="D32" s="111"/>
      <c r="E32" s="111"/>
      <c r="F32" s="111"/>
      <c r="G32" s="112"/>
      <c r="H32" s="111" t="s">
        <v>177</v>
      </c>
      <c r="I32" s="111"/>
      <c r="J32" s="111"/>
      <c r="K32" s="111"/>
      <c r="L32" s="111" t="s">
        <v>181</v>
      </c>
      <c r="M32" s="111" t="s">
        <v>188</v>
      </c>
      <c r="N32" s="138"/>
      <c r="O32" s="111" t="s">
        <v>188</v>
      </c>
      <c r="P32" s="111"/>
      <c r="Q32" s="111" t="s">
        <v>26</v>
      </c>
      <c r="R32" s="111"/>
      <c r="S32" s="111"/>
      <c r="T32" s="111"/>
      <c r="U32" s="111" t="s">
        <v>196</v>
      </c>
      <c r="V32" s="111"/>
      <c r="W32" s="111"/>
      <c r="X32" s="111"/>
      <c r="Y32" s="111"/>
      <c r="Z32" s="111"/>
      <c r="AA32" s="111"/>
      <c r="AB32" s="111" t="s">
        <v>202</v>
      </c>
      <c r="AC32" s="111"/>
    </row>
    <row r="33" spans="1:29" s="2" customFormat="1" ht="15.75" x14ac:dyDescent="0.25">
      <c r="A33" s="113">
        <v>38687</v>
      </c>
      <c r="B33" s="26" t="s">
        <v>5</v>
      </c>
      <c r="C33" s="114"/>
      <c r="D33" s="119"/>
      <c r="E33" s="119">
        <v>500</v>
      </c>
      <c r="F33" s="119">
        <v>139500</v>
      </c>
      <c r="G33" s="119">
        <v>-140000</v>
      </c>
      <c r="H33" s="119"/>
      <c r="I33" s="119"/>
      <c r="J33" s="119"/>
      <c r="K33" s="119"/>
      <c r="L33" s="119"/>
      <c r="M33" s="119"/>
      <c r="N33" s="123">
        <v>1</v>
      </c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>
        <f>SUM(D33:AB33)-N33</f>
        <v>0</v>
      </c>
    </row>
    <row r="34" spans="1:29" s="2" customFormat="1" ht="15.75" x14ac:dyDescent="0.25">
      <c r="A34" s="15">
        <v>40149</v>
      </c>
      <c r="B34" s="29" t="s">
        <v>13</v>
      </c>
      <c r="C34" s="98"/>
      <c r="D34" s="99"/>
      <c r="E34" s="99"/>
      <c r="F34" s="99">
        <v>-4800</v>
      </c>
      <c r="G34" s="99"/>
      <c r="H34" s="99"/>
      <c r="I34" s="99"/>
      <c r="J34" s="99"/>
      <c r="K34" s="99">
        <v>960</v>
      </c>
      <c r="L34" s="99"/>
      <c r="M34" s="99"/>
      <c r="N34" s="14">
        <v>2</v>
      </c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>
        <v>3840</v>
      </c>
      <c r="Z34" s="99"/>
      <c r="AA34" s="99"/>
      <c r="AB34" s="99"/>
      <c r="AC34" s="99">
        <f t="shared" ref="AC34:AC57" si="0">SUM(D34:AB34)-N34</f>
        <v>0</v>
      </c>
    </row>
    <row r="35" spans="1:29" s="2" customFormat="1" ht="15.75" x14ac:dyDescent="0.25">
      <c r="A35" s="20" t="s">
        <v>40</v>
      </c>
      <c r="B35" s="29" t="s">
        <v>7</v>
      </c>
      <c r="C35" s="98"/>
      <c r="D35" s="99"/>
      <c r="E35" s="99"/>
      <c r="F35" s="99"/>
      <c r="G35" s="99"/>
      <c r="H35" s="99">
        <v>-34500</v>
      </c>
      <c r="I35" s="99"/>
      <c r="J35" s="99"/>
      <c r="K35" s="99">
        <v>4500</v>
      </c>
      <c r="L35" s="99"/>
      <c r="M35" s="99"/>
      <c r="N35" s="14">
        <v>3</v>
      </c>
      <c r="O35" s="99"/>
      <c r="P35" s="99"/>
      <c r="Q35" s="99"/>
      <c r="R35" s="99">
        <v>30000</v>
      </c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>
        <f t="shared" si="0"/>
        <v>0</v>
      </c>
    </row>
    <row r="36" spans="1:29" s="2" customFormat="1" ht="15.75" x14ac:dyDescent="0.25">
      <c r="A36" s="20">
        <v>43801</v>
      </c>
      <c r="B36" s="29" t="s">
        <v>73</v>
      </c>
      <c r="C36" s="98"/>
      <c r="D36" s="99"/>
      <c r="E36" s="99"/>
      <c r="F36" s="99">
        <v>-34500</v>
      </c>
      <c r="G36" s="99"/>
      <c r="H36" s="99">
        <v>34500</v>
      </c>
      <c r="I36" s="99"/>
      <c r="J36" s="99"/>
      <c r="K36" s="99"/>
      <c r="L36" s="99"/>
      <c r="M36" s="99"/>
      <c r="N36" s="14">
        <v>4</v>
      </c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>
        <f t="shared" si="0"/>
        <v>0</v>
      </c>
    </row>
    <row r="37" spans="1:29" s="2" customFormat="1" ht="15.75" x14ac:dyDescent="0.25">
      <c r="A37" s="21">
        <v>40152</v>
      </c>
      <c r="B37" s="105" t="s">
        <v>11</v>
      </c>
      <c r="C37" s="98"/>
      <c r="D37" s="99"/>
      <c r="E37" s="99"/>
      <c r="F37" s="99">
        <v>-12500</v>
      </c>
      <c r="G37" s="99"/>
      <c r="H37" s="99"/>
      <c r="I37" s="99"/>
      <c r="J37" s="99"/>
      <c r="K37" s="99">
        <v>2500</v>
      </c>
      <c r="L37" s="99"/>
      <c r="M37" s="99"/>
      <c r="N37" s="14">
        <v>5</v>
      </c>
      <c r="O37" s="99"/>
      <c r="P37" s="99"/>
      <c r="Q37" s="99"/>
      <c r="R37" s="99"/>
      <c r="S37" s="99"/>
      <c r="T37" s="99"/>
      <c r="U37" s="99"/>
      <c r="V37" s="99"/>
      <c r="W37" s="99">
        <v>10000</v>
      </c>
      <c r="X37" s="99"/>
      <c r="Y37" s="99"/>
      <c r="Z37" s="99"/>
      <c r="AA37" s="99"/>
      <c r="AB37" s="99"/>
      <c r="AC37" s="99">
        <f t="shared" si="0"/>
        <v>0</v>
      </c>
    </row>
    <row r="38" spans="1:29" s="2" customFormat="1" ht="15.75" x14ac:dyDescent="0.25">
      <c r="A38" s="15">
        <v>40162</v>
      </c>
      <c r="B38" s="29" t="s">
        <v>29</v>
      </c>
      <c r="C38" s="98"/>
      <c r="D38" s="99"/>
      <c r="E38" s="99">
        <v>3700</v>
      </c>
      <c r="F38" s="99">
        <v>86000</v>
      </c>
      <c r="G38" s="99"/>
      <c r="H38" s="99"/>
      <c r="I38" s="99"/>
      <c r="J38" s="99">
        <v>-11700</v>
      </c>
      <c r="K38" s="99"/>
      <c r="L38" s="99"/>
      <c r="M38" s="99"/>
      <c r="N38" s="14">
        <v>6</v>
      </c>
      <c r="O38" s="99"/>
      <c r="P38" s="99"/>
      <c r="Q38" s="99">
        <v>-78000</v>
      </c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>
        <f t="shared" si="0"/>
        <v>0</v>
      </c>
    </row>
    <row r="39" spans="1:29" s="2" customFormat="1" ht="15.75" x14ac:dyDescent="0.25">
      <c r="A39" s="15">
        <v>40162</v>
      </c>
      <c r="B39" s="29" t="s">
        <v>30</v>
      </c>
      <c r="C39" s="98"/>
      <c r="D39" s="99"/>
      <c r="E39" s="99">
        <v>-3500</v>
      </c>
      <c r="F39" s="99">
        <v>3500</v>
      </c>
      <c r="G39" s="99"/>
      <c r="H39" s="99"/>
      <c r="I39" s="99"/>
      <c r="J39" s="99"/>
      <c r="K39" s="99"/>
      <c r="L39" s="99"/>
      <c r="M39" s="99"/>
      <c r="N39" s="14">
        <v>7</v>
      </c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>
        <f t="shared" si="0"/>
        <v>0</v>
      </c>
    </row>
    <row r="40" spans="1:29" s="2" customFormat="1" ht="15.75" x14ac:dyDescent="0.25">
      <c r="A40" s="15">
        <v>40164</v>
      </c>
      <c r="B40" s="29" t="s">
        <v>12</v>
      </c>
      <c r="C40" s="98"/>
      <c r="D40" s="99"/>
      <c r="E40" s="99"/>
      <c r="F40" s="99">
        <v>-4050</v>
      </c>
      <c r="G40" s="99"/>
      <c r="H40" s="99"/>
      <c r="I40" s="99"/>
      <c r="J40" s="99"/>
      <c r="K40" s="99">
        <v>810</v>
      </c>
      <c r="L40" s="99"/>
      <c r="M40" s="99"/>
      <c r="N40" s="14">
        <v>8</v>
      </c>
      <c r="O40" s="99"/>
      <c r="P40" s="99"/>
      <c r="Q40" s="99"/>
      <c r="R40" s="99"/>
      <c r="S40" s="99"/>
      <c r="T40" s="99"/>
      <c r="U40" s="99"/>
      <c r="V40" s="99"/>
      <c r="W40" s="99"/>
      <c r="X40" s="99">
        <v>3240</v>
      </c>
      <c r="Y40" s="99"/>
      <c r="Z40" s="99"/>
      <c r="AA40" s="99"/>
      <c r="AB40" s="99"/>
      <c r="AC40" s="99">
        <f t="shared" si="0"/>
        <v>0</v>
      </c>
    </row>
    <row r="41" spans="1:29" s="2" customFormat="1" ht="15.75" x14ac:dyDescent="0.25">
      <c r="A41" s="15" t="s">
        <v>31</v>
      </c>
      <c r="B41" s="29" t="s">
        <v>24</v>
      </c>
      <c r="C41" s="98"/>
      <c r="D41" s="99"/>
      <c r="E41" s="99"/>
      <c r="F41" s="99">
        <v>-4125</v>
      </c>
      <c r="G41" s="99"/>
      <c r="H41" s="99"/>
      <c r="I41" s="99"/>
      <c r="J41" s="99"/>
      <c r="K41" s="99">
        <v>825</v>
      </c>
      <c r="L41" s="99"/>
      <c r="M41" s="99"/>
      <c r="N41" s="14">
        <v>9</v>
      </c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>
        <v>3300</v>
      </c>
      <c r="AC41" s="99">
        <f t="shared" si="0"/>
        <v>0</v>
      </c>
    </row>
    <row r="42" spans="1:29" s="2" customFormat="1" ht="15.75" x14ac:dyDescent="0.25">
      <c r="A42" s="15">
        <v>40165</v>
      </c>
      <c r="B42" s="29" t="s">
        <v>8</v>
      </c>
      <c r="C42" s="98"/>
      <c r="D42" s="99"/>
      <c r="E42" s="99"/>
      <c r="F42" s="99">
        <v>-25700</v>
      </c>
      <c r="G42" s="99"/>
      <c r="H42" s="99"/>
      <c r="I42" s="99">
        <v>-3800</v>
      </c>
      <c r="J42" s="99"/>
      <c r="K42" s="99"/>
      <c r="L42" s="99"/>
      <c r="M42" s="99"/>
      <c r="N42" s="14">
        <v>10</v>
      </c>
      <c r="O42" s="99"/>
      <c r="P42" s="99"/>
      <c r="Q42" s="99"/>
      <c r="R42" s="99"/>
      <c r="S42" s="99">
        <v>29500</v>
      </c>
      <c r="T42" s="99"/>
      <c r="U42" s="99"/>
      <c r="V42" s="99"/>
      <c r="W42" s="99"/>
      <c r="X42" s="99"/>
      <c r="Y42" s="99"/>
      <c r="Z42" s="99"/>
      <c r="AA42" s="99"/>
      <c r="AB42" s="99"/>
      <c r="AC42" s="99">
        <f t="shared" si="0"/>
        <v>0</v>
      </c>
    </row>
    <row r="43" spans="1:29" s="2" customFormat="1" ht="15.75" x14ac:dyDescent="0.25">
      <c r="A43" s="15">
        <v>40165</v>
      </c>
      <c r="B43" s="29" t="s">
        <v>28</v>
      </c>
      <c r="C43" s="98"/>
      <c r="D43" s="99"/>
      <c r="E43" s="99"/>
      <c r="F43" s="99"/>
      <c r="G43" s="99"/>
      <c r="H43" s="99"/>
      <c r="I43" s="99"/>
      <c r="J43" s="99"/>
      <c r="K43" s="99"/>
      <c r="L43" s="99"/>
      <c r="M43" s="99">
        <v>-4160</v>
      </c>
      <c r="N43" s="14">
        <v>11</v>
      </c>
      <c r="O43" s="99"/>
      <c r="P43" s="99"/>
      <c r="Q43" s="99"/>
      <c r="R43" s="99"/>
      <c r="S43" s="99"/>
      <c r="T43" s="99"/>
      <c r="U43" s="99"/>
      <c r="V43" s="99">
        <v>4160</v>
      </c>
      <c r="W43" s="99"/>
      <c r="X43" s="99"/>
      <c r="Y43" s="99"/>
      <c r="Z43" s="99"/>
      <c r="AA43" s="99"/>
      <c r="AB43" s="99"/>
      <c r="AC43" s="99">
        <f t="shared" si="0"/>
        <v>0</v>
      </c>
    </row>
    <row r="44" spans="1:29" s="2" customFormat="1" ht="15.75" x14ac:dyDescent="0.25">
      <c r="A44" s="15">
        <v>40165</v>
      </c>
      <c r="B44" s="29" t="s">
        <v>27</v>
      </c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14">
        <v>12</v>
      </c>
      <c r="O44" s="99"/>
      <c r="P44" s="99">
        <v>-3540</v>
      </c>
      <c r="Q44" s="99"/>
      <c r="R44" s="99"/>
      <c r="S44" s="99"/>
      <c r="T44" s="99">
        <v>3540</v>
      </c>
      <c r="U44" s="99"/>
      <c r="V44" s="99"/>
      <c r="W44" s="99"/>
      <c r="X44" s="99"/>
      <c r="Y44" s="99"/>
      <c r="Z44" s="99"/>
      <c r="AA44" s="99"/>
      <c r="AB44" s="99"/>
      <c r="AC44" s="99">
        <f t="shared" si="0"/>
        <v>0</v>
      </c>
    </row>
    <row r="45" spans="1:29" s="2" customFormat="1" ht="15.75" x14ac:dyDescent="0.25">
      <c r="A45" s="15">
        <v>40165</v>
      </c>
      <c r="B45" s="29" t="s">
        <v>33</v>
      </c>
      <c r="C45" s="98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14">
        <v>13</v>
      </c>
      <c r="O45" s="99">
        <v>-499</v>
      </c>
      <c r="P45" s="99"/>
      <c r="Q45" s="99"/>
      <c r="R45" s="99"/>
      <c r="S45" s="99"/>
      <c r="T45" s="99"/>
      <c r="U45" s="99"/>
      <c r="V45" s="99">
        <v>499</v>
      </c>
      <c r="W45" s="99"/>
      <c r="X45" s="99"/>
      <c r="Y45" s="99"/>
      <c r="Z45" s="99"/>
      <c r="AA45" s="99"/>
      <c r="AB45" s="99"/>
      <c r="AC45" s="99">
        <f t="shared" si="0"/>
        <v>0</v>
      </c>
    </row>
    <row r="46" spans="1:29" s="2" customFormat="1" ht="15.75" x14ac:dyDescent="0.25">
      <c r="A46" s="15">
        <v>40165</v>
      </c>
      <c r="B46" s="29" t="s">
        <v>34</v>
      </c>
      <c r="C46" s="98"/>
      <c r="D46" s="99"/>
      <c r="E46" s="99"/>
      <c r="F46" s="99">
        <v>-3800</v>
      </c>
      <c r="G46" s="99"/>
      <c r="H46" s="99"/>
      <c r="I46" s="99">
        <v>3800</v>
      </c>
      <c r="J46" s="99"/>
      <c r="K46" s="99"/>
      <c r="L46" s="99"/>
      <c r="M46" s="99"/>
      <c r="N46" s="14">
        <v>14</v>
      </c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>
        <f t="shared" si="0"/>
        <v>0</v>
      </c>
    </row>
    <row r="47" spans="1:29" s="2" customFormat="1" ht="15.75" x14ac:dyDescent="0.25">
      <c r="A47" s="15">
        <v>40167</v>
      </c>
      <c r="B47" s="29" t="s">
        <v>35</v>
      </c>
      <c r="C47" s="98"/>
      <c r="D47" s="99"/>
      <c r="E47" s="99"/>
      <c r="F47" s="99">
        <v>-600</v>
      </c>
      <c r="G47" s="99"/>
      <c r="H47" s="99"/>
      <c r="I47" s="99"/>
      <c r="J47" s="99"/>
      <c r="K47" s="99"/>
      <c r="L47" s="99"/>
      <c r="M47" s="99"/>
      <c r="N47" s="14">
        <v>15</v>
      </c>
      <c r="O47" s="99"/>
      <c r="P47" s="99"/>
      <c r="Q47" s="99"/>
      <c r="R47" s="99"/>
      <c r="S47" s="99"/>
      <c r="T47" s="99"/>
      <c r="U47" s="99">
        <v>600</v>
      </c>
      <c r="V47" s="99"/>
      <c r="W47" s="99"/>
      <c r="X47" s="99"/>
      <c r="Y47" s="99"/>
      <c r="Z47" s="99"/>
      <c r="AA47" s="99"/>
      <c r="AB47" s="99"/>
      <c r="AC47" s="99">
        <f t="shared" si="0"/>
        <v>0</v>
      </c>
    </row>
    <row r="48" spans="1:29" s="2" customFormat="1" ht="15.75" x14ac:dyDescent="0.25">
      <c r="A48" s="15">
        <v>40167</v>
      </c>
      <c r="B48" s="29" t="s">
        <v>28</v>
      </c>
      <c r="C48" s="98"/>
      <c r="D48" s="99"/>
      <c r="E48" s="99"/>
      <c r="F48" s="99"/>
      <c r="G48" s="99"/>
      <c r="H48" s="99"/>
      <c r="I48" s="99"/>
      <c r="J48" s="99"/>
      <c r="K48" s="99"/>
      <c r="L48" s="99"/>
      <c r="M48" s="99">
        <v>-85</v>
      </c>
      <c r="N48" s="14">
        <v>16</v>
      </c>
      <c r="O48" s="99"/>
      <c r="P48" s="99"/>
      <c r="Q48" s="99"/>
      <c r="R48" s="99"/>
      <c r="S48" s="99"/>
      <c r="T48" s="99"/>
      <c r="U48" s="99"/>
      <c r="V48" s="99">
        <v>85</v>
      </c>
      <c r="W48" s="99"/>
      <c r="X48" s="99"/>
      <c r="Y48" s="99"/>
      <c r="Z48" s="99"/>
      <c r="AA48" s="99"/>
      <c r="AB48" s="99"/>
      <c r="AC48" s="99">
        <f t="shared" si="0"/>
        <v>0</v>
      </c>
    </row>
    <row r="49" spans="1:31" s="2" customFormat="1" ht="15.75" x14ac:dyDescent="0.25">
      <c r="A49" s="15">
        <v>40168</v>
      </c>
      <c r="B49" s="29" t="s">
        <v>36</v>
      </c>
      <c r="C49" s="98"/>
      <c r="D49" s="99"/>
      <c r="E49" s="99"/>
      <c r="F49" s="99"/>
      <c r="G49" s="99"/>
      <c r="H49" s="99">
        <v>-94760</v>
      </c>
      <c r="I49" s="99"/>
      <c r="J49" s="99"/>
      <c r="K49" s="99">
        <v>12360</v>
      </c>
      <c r="L49" s="99"/>
      <c r="M49" s="99"/>
      <c r="N49" s="14">
        <v>17</v>
      </c>
      <c r="O49" s="99"/>
      <c r="P49" s="99"/>
      <c r="Q49" s="99"/>
      <c r="R49" s="99">
        <v>82400</v>
      </c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>
        <f t="shared" si="0"/>
        <v>0</v>
      </c>
      <c r="AE49" s="2">
        <f>AC49*0.15</f>
        <v>0</v>
      </c>
    </row>
    <row r="50" spans="1:31" s="2" customFormat="1" ht="15.75" x14ac:dyDescent="0.25">
      <c r="A50" s="56" t="s">
        <v>72</v>
      </c>
      <c r="B50" s="29" t="s">
        <v>73</v>
      </c>
      <c r="C50" s="98"/>
      <c r="D50" s="99"/>
      <c r="E50" s="99"/>
      <c r="F50" s="99">
        <v>-94760</v>
      </c>
      <c r="G50" s="99"/>
      <c r="H50" s="99">
        <v>94760</v>
      </c>
      <c r="I50" s="99"/>
      <c r="J50" s="99"/>
      <c r="K50" s="99"/>
      <c r="L50" s="99"/>
      <c r="M50" s="99"/>
      <c r="N50" s="14">
        <v>18</v>
      </c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>
        <f t="shared" si="0"/>
        <v>0</v>
      </c>
    </row>
    <row r="51" spans="1:31" s="2" customFormat="1" ht="15.75" x14ac:dyDescent="0.25">
      <c r="A51" s="15">
        <v>40169</v>
      </c>
      <c r="B51" s="106" t="s">
        <v>37</v>
      </c>
      <c r="C51" s="98"/>
      <c r="D51" s="99"/>
      <c r="E51" s="99"/>
      <c r="F51" s="99">
        <v>-900</v>
      </c>
      <c r="G51" s="99"/>
      <c r="H51" s="99"/>
      <c r="I51" s="99"/>
      <c r="J51" s="99"/>
      <c r="K51" s="99">
        <v>180</v>
      </c>
      <c r="L51" s="99"/>
      <c r="M51" s="99"/>
      <c r="N51" s="14">
        <v>19</v>
      </c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>
        <v>720</v>
      </c>
      <c r="AA51" s="99"/>
      <c r="AB51" s="99"/>
      <c r="AC51" s="99">
        <f t="shared" si="0"/>
        <v>0</v>
      </c>
    </row>
    <row r="52" spans="1:31" s="2" customFormat="1" ht="15.75" x14ac:dyDescent="0.25">
      <c r="A52" s="15" t="s">
        <v>38</v>
      </c>
      <c r="B52" s="106" t="s">
        <v>39</v>
      </c>
      <c r="C52" s="98"/>
      <c r="D52" s="99"/>
      <c r="E52" s="99"/>
      <c r="F52" s="99">
        <v>-13000</v>
      </c>
      <c r="G52" s="99"/>
      <c r="H52" s="99"/>
      <c r="I52" s="99"/>
      <c r="J52" s="99"/>
      <c r="K52" s="99">
        <v>2600</v>
      </c>
      <c r="L52" s="99"/>
      <c r="M52" s="99"/>
      <c r="N52" s="14">
        <v>20</v>
      </c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>
        <v>10400</v>
      </c>
      <c r="AB52" s="99"/>
      <c r="AC52" s="99">
        <f t="shared" si="0"/>
        <v>0</v>
      </c>
    </row>
    <row r="53" spans="1:31" s="2" customFormat="1" ht="15.75" x14ac:dyDescent="0.25">
      <c r="A53" s="15">
        <v>40178</v>
      </c>
      <c r="B53" s="106" t="s">
        <v>29</v>
      </c>
      <c r="C53" s="98"/>
      <c r="D53" s="99"/>
      <c r="E53" s="99">
        <v>2570</v>
      </c>
      <c r="F53" s="99">
        <v>117030</v>
      </c>
      <c r="G53" s="99"/>
      <c r="H53" s="99"/>
      <c r="I53" s="99"/>
      <c r="J53" s="99">
        <v>-15600</v>
      </c>
      <c r="K53" s="99"/>
      <c r="L53" s="99"/>
      <c r="M53" s="99"/>
      <c r="N53" s="14">
        <v>21</v>
      </c>
      <c r="O53" s="99"/>
      <c r="P53" s="99"/>
      <c r="Q53" s="99">
        <v>-104000</v>
      </c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>
        <f t="shared" si="0"/>
        <v>0</v>
      </c>
    </row>
    <row r="54" spans="1:31" s="2" customFormat="1" ht="15.75" x14ac:dyDescent="0.25">
      <c r="A54" s="15">
        <v>40178</v>
      </c>
      <c r="B54" s="106" t="s">
        <v>30</v>
      </c>
      <c r="C54" s="98"/>
      <c r="D54" s="99"/>
      <c r="E54" s="99">
        <v>-2770</v>
      </c>
      <c r="F54" s="99">
        <v>2770</v>
      </c>
      <c r="G54" s="99"/>
      <c r="H54" s="99"/>
      <c r="I54" s="99"/>
      <c r="J54" s="99"/>
      <c r="K54" s="99"/>
      <c r="L54" s="99"/>
      <c r="M54" s="99"/>
      <c r="N54" s="14">
        <v>22</v>
      </c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>
        <f t="shared" si="0"/>
        <v>0</v>
      </c>
    </row>
    <row r="55" spans="1:31" s="2" customFormat="1" ht="15.75" x14ac:dyDescent="0.25">
      <c r="A55" s="15">
        <v>40178</v>
      </c>
      <c r="B55" s="106" t="s">
        <v>41</v>
      </c>
      <c r="C55" s="98"/>
      <c r="D55" s="99"/>
      <c r="E55" s="99"/>
      <c r="F55" s="99"/>
      <c r="G55" s="99"/>
      <c r="H55" s="99"/>
      <c r="I55" s="99"/>
      <c r="J55" s="99">
        <v>27300</v>
      </c>
      <c r="K55" s="99"/>
      <c r="L55" s="99">
        <v>-27300</v>
      </c>
      <c r="M55" s="99"/>
      <c r="N55" s="14">
        <v>23</v>
      </c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>
        <f t="shared" si="0"/>
        <v>0</v>
      </c>
    </row>
    <row r="56" spans="1:31" s="2" customFormat="1" ht="15.75" x14ac:dyDescent="0.25">
      <c r="A56" s="115">
        <v>40178</v>
      </c>
      <c r="B56" s="116" t="s">
        <v>42</v>
      </c>
      <c r="C56" s="117"/>
      <c r="D56" s="120"/>
      <c r="E56" s="120"/>
      <c r="F56" s="120"/>
      <c r="G56" s="120"/>
      <c r="H56" s="120"/>
      <c r="I56" s="120"/>
      <c r="J56" s="120"/>
      <c r="K56" s="120">
        <v>-24735</v>
      </c>
      <c r="L56" s="120">
        <v>24735</v>
      </c>
      <c r="M56" s="120"/>
      <c r="N56" s="118">
        <v>24</v>
      </c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>
        <f t="shared" si="0"/>
        <v>0</v>
      </c>
    </row>
    <row r="57" spans="1:31" s="33" customFormat="1" ht="20.25" x14ac:dyDescent="0.3">
      <c r="A57" s="43"/>
      <c r="B57" s="8" t="s">
        <v>16</v>
      </c>
      <c r="C57" s="7"/>
      <c r="D57" s="49">
        <f>SUM(D33:D56)</f>
        <v>0</v>
      </c>
      <c r="E57" s="49">
        <f t="shared" ref="E57:L57" si="1">SUM(E33:E56)</f>
        <v>500</v>
      </c>
      <c r="F57" s="49">
        <f t="shared" si="1"/>
        <v>150065</v>
      </c>
      <c r="G57" s="49">
        <f t="shared" si="1"/>
        <v>-140000</v>
      </c>
      <c r="H57" s="49">
        <f t="shared" si="1"/>
        <v>0</v>
      </c>
      <c r="I57" s="49">
        <f t="shared" si="1"/>
        <v>0</v>
      </c>
      <c r="J57" s="49">
        <f t="shared" si="1"/>
        <v>0</v>
      </c>
      <c r="K57" s="49">
        <f t="shared" si="1"/>
        <v>0</v>
      </c>
      <c r="L57" s="49">
        <f t="shared" si="1"/>
        <v>-2565</v>
      </c>
      <c r="M57" s="121">
        <f>SUM(M33:M56)</f>
        <v>-4245</v>
      </c>
      <c r="N57" s="83">
        <v>25</v>
      </c>
      <c r="O57" s="121">
        <f>SUM(O33:O56)</f>
        <v>-499</v>
      </c>
      <c r="P57" s="121">
        <f t="shared" ref="P57:AA57" si="2">SUM(P33:P56)</f>
        <v>-3540</v>
      </c>
      <c r="Q57" s="121">
        <f t="shared" si="2"/>
        <v>-182000</v>
      </c>
      <c r="R57" s="121">
        <f t="shared" si="2"/>
        <v>112400</v>
      </c>
      <c r="S57" s="121">
        <f t="shared" si="2"/>
        <v>29500</v>
      </c>
      <c r="T57" s="121">
        <f t="shared" si="2"/>
        <v>3540</v>
      </c>
      <c r="U57" s="121">
        <f t="shared" si="2"/>
        <v>600</v>
      </c>
      <c r="V57" s="121">
        <f t="shared" si="2"/>
        <v>4744</v>
      </c>
      <c r="W57" s="121">
        <f t="shared" si="2"/>
        <v>10000</v>
      </c>
      <c r="X57" s="121">
        <f t="shared" si="2"/>
        <v>3240</v>
      </c>
      <c r="Y57" s="121">
        <f t="shared" si="2"/>
        <v>3840</v>
      </c>
      <c r="Z57" s="121">
        <f t="shared" si="2"/>
        <v>720</v>
      </c>
      <c r="AA57" s="121">
        <f t="shared" si="2"/>
        <v>10400</v>
      </c>
      <c r="AB57" s="49">
        <f>SUM(AB33:AB56)</f>
        <v>3300</v>
      </c>
      <c r="AC57" s="119">
        <f t="shared" si="0"/>
        <v>0</v>
      </c>
    </row>
    <row r="58" spans="1:31" s="2" customFormat="1" ht="15.75" x14ac:dyDescent="0.25">
      <c r="H58" s="101"/>
    </row>
    <row r="59" spans="1:31" s="2" customFormat="1" ht="15.75" x14ac:dyDescent="0.25">
      <c r="A59" s="2" t="s">
        <v>67</v>
      </c>
      <c r="S59" s="2" t="s">
        <v>67</v>
      </c>
    </row>
    <row r="60" spans="1:31" s="2" customFormat="1" ht="15.75" x14ac:dyDescent="0.25">
      <c r="A60" s="84" t="s">
        <v>138</v>
      </c>
      <c r="B60" s="22" t="s">
        <v>148</v>
      </c>
      <c r="C60" s="23"/>
      <c r="D60" s="126" t="s">
        <v>208</v>
      </c>
      <c r="E60" s="127" t="s">
        <v>209</v>
      </c>
      <c r="F60" s="127" t="s">
        <v>3</v>
      </c>
      <c r="G60" s="128" t="s">
        <v>4</v>
      </c>
      <c r="J60" s="6"/>
      <c r="K60" s="6"/>
      <c r="L60" s="136"/>
      <c r="M60" s="136"/>
    </row>
    <row r="61" spans="1:31" s="2" customFormat="1" ht="15.75" x14ac:dyDescent="0.25">
      <c r="A61" s="85" t="s">
        <v>139</v>
      </c>
      <c r="B61" s="24"/>
      <c r="C61" s="10"/>
      <c r="D61" s="124" t="s">
        <v>207</v>
      </c>
      <c r="E61" s="122" t="s">
        <v>210</v>
      </c>
      <c r="F61" s="122"/>
      <c r="G61" s="125"/>
      <c r="J61" s="131"/>
      <c r="K61" s="131"/>
      <c r="L61" s="131"/>
      <c r="M61" s="131"/>
      <c r="S61" s="4" t="s">
        <v>48</v>
      </c>
      <c r="Y61" s="4" t="s">
        <v>52</v>
      </c>
    </row>
    <row r="62" spans="1:31" s="2" customFormat="1" ht="15.75" x14ac:dyDescent="0.25">
      <c r="A62" s="25">
        <v>1460</v>
      </c>
      <c r="B62" s="26" t="s">
        <v>9</v>
      </c>
      <c r="C62" s="27"/>
      <c r="D62" s="11">
        <f>D57</f>
        <v>0</v>
      </c>
      <c r="E62" s="11">
        <v>3000</v>
      </c>
      <c r="F62" s="123"/>
      <c r="G62" s="129">
        <f>SUM(D62:F62)</f>
        <v>3000</v>
      </c>
      <c r="J62" s="34"/>
      <c r="K62" s="34"/>
      <c r="L62" s="34"/>
      <c r="M62" s="34"/>
      <c r="S62" s="16"/>
      <c r="T62" s="16"/>
      <c r="U62" s="16"/>
      <c r="V62" s="16"/>
      <c r="W62" s="16"/>
    </row>
    <row r="63" spans="1:31" s="2" customFormat="1" ht="15.75" x14ac:dyDescent="0.25">
      <c r="A63" s="19">
        <v>1900</v>
      </c>
      <c r="B63" s="28" t="s">
        <v>2</v>
      </c>
      <c r="C63" s="17"/>
      <c r="D63" s="12">
        <f>E57</f>
        <v>500</v>
      </c>
      <c r="E63" s="12"/>
      <c r="F63" s="12"/>
      <c r="G63" s="130">
        <f t="shared" ref="G63:G70" si="3">SUM(D63:F63)</f>
        <v>500</v>
      </c>
      <c r="J63" s="34"/>
      <c r="K63" s="34"/>
      <c r="L63" s="34"/>
      <c r="M63" s="34"/>
      <c r="S63" s="16" t="s">
        <v>47</v>
      </c>
      <c r="T63" s="16"/>
      <c r="U63" s="16"/>
      <c r="V63" s="16"/>
      <c r="W63" s="34">
        <f>-F71</f>
        <v>182000</v>
      </c>
      <c r="Y63" s="35" t="s">
        <v>17</v>
      </c>
      <c r="Z63" s="16"/>
      <c r="AA63" s="16"/>
      <c r="AB63" s="16"/>
    </row>
    <row r="64" spans="1:31" s="2" customFormat="1" ht="15.75" x14ac:dyDescent="0.25">
      <c r="A64" s="19">
        <v>1920</v>
      </c>
      <c r="B64" s="29" t="s">
        <v>6</v>
      </c>
      <c r="C64" s="17"/>
      <c r="D64" s="12">
        <f>F57</f>
        <v>150065</v>
      </c>
      <c r="E64" s="12"/>
      <c r="F64" s="12"/>
      <c r="G64" s="130">
        <f t="shared" si="3"/>
        <v>150065</v>
      </c>
      <c r="J64" s="34"/>
      <c r="K64" s="34"/>
      <c r="L64" s="34"/>
      <c r="M64" s="34"/>
      <c r="S64" s="16"/>
      <c r="T64" s="16"/>
      <c r="U64" s="16"/>
      <c r="V64" s="16"/>
      <c r="W64" s="16"/>
      <c r="Y64" s="16" t="s">
        <v>9</v>
      </c>
      <c r="Z64" s="16"/>
      <c r="AA64" s="16"/>
      <c r="AB64" s="16"/>
    </row>
    <row r="65" spans="1:28" s="2" customFormat="1" ht="15.75" x14ac:dyDescent="0.25">
      <c r="A65" s="19">
        <v>2050</v>
      </c>
      <c r="B65" s="29" t="s">
        <v>55</v>
      </c>
      <c r="C65" s="17"/>
      <c r="D65" s="12">
        <f>G57</f>
        <v>-140000</v>
      </c>
      <c r="E65" s="12">
        <f>-E83</f>
        <v>-2716</v>
      </c>
      <c r="F65" s="12"/>
      <c r="G65" s="130">
        <f t="shared" si="3"/>
        <v>-142716</v>
      </c>
      <c r="J65" s="34"/>
      <c r="K65" s="34"/>
      <c r="L65" s="34"/>
      <c r="M65" s="34"/>
      <c r="S65" s="35" t="s">
        <v>49</v>
      </c>
      <c r="T65" s="16"/>
      <c r="U65" s="16"/>
      <c r="V65" s="16"/>
      <c r="W65" s="16"/>
      <c r="Y65" s="16" t="s">
        <v>53</v>
      </c>
      <c r="Z65" s="16"/>
      <c r="AA65" s="16"/>
      <c r="AB65" s="16"/>
    </row>
    <row r="66" spans="1:28" s="2" customFormat="1" ht="15.75" x14ac:dyDescent="0.25">
      <c r="A66" s="19">
        <v>2600</v>
      </c>
      <c r="B66" s="29" t="s">
        <v>32</v>
      </c>
      <c r="C66" s="17"/>
      <c r="D66" s="12">
        <f>I57</f>
        <v>0</v>
      </c>
      <c r="E66" s="12"/>
      <c r="F66" s="12"/>
      <c r="G66" s="130">
        <f t="shared" si="3"/>
        <v>0</v>
      </c>
      <c r="J66" s="34"/>
      <c r="K66" s="34"/>
      <c r="L66" s="34"/>
      <c r="M66" s="34"/>
      <c r="S66" s="16" t="s">
        <v>50</v>
      </c>
      <c r="T66" s="16"/>
      <c r="U66" s="16"/>
      <c r="V66" s="16"/>
      <c r="W66" s="34">
        <f>F72</f>
        <v>109400</v>
      </c>
      <c r="Y66" s="34" t="s">
        <v>54</v>
      </c>
      <c r="Z66" s="16"/>
      <c r="AA66" s="16"/>
      <c r="AB66" s="16"/>
    </row>
    <row r="67" spans="1:28" s="2" customFormat="1" ht="15.75" x14ac:dyDescent="0.25">
      <c r="A67" s="19">
        <v>2740</v>
      </c>
      <c r="B67" s="29" t="s">
        <v>46</v>
      </c>
      <c r="C67" s="17"/>
      <c r="D67" s="12">
        <f>L57</f>
        <v>-2565</v>
      </c>
      <c r="E67" s="12"/>
      <c r="F67" s="12"/>
      <c r="G67" s="130">
        <f t="shared" si="3"/>
        <v>-2565</v>
      </c>
      <c r="J67" s="34"/>
      <c r="K67" s="34"/>
      <c r="L67" s="34"/>
      <c r="M67" s="34"/>
      <c r="S67" s="16" t="s">
        <v>51</v>
      </c>
      <c r="T67" s="16"/>
      <c r="U67" s="16"/>
      <c r="V67" s="16"/>
      <c r="W67" s="34">
        <f>F73+F74+F75+F76</f>
        <v>38384</v>
      </c>
      <c r="Y67" s="16"/>
      <c r="Z67" s="16"/>
      <c r="AA67" s="16"/>
      <c r="AB67" s="16"/>
    </row>
    <row r="68" spans="1:28" s="2" customFormat="1" ht="15.75" x14ac:dyDescent="0.25">
      <c r="A68" s="19">
        <v>2770</v>
      </c>
      <c r="B68" s="29" t="s">
        <v>43</v>
      </c>
      <c r="C68" s="17"/>
      <c r="D68" s="12">
        <f>M57</f>
        <v>-4245</v>
      </c>
      <c r="E68" s="12"/>
      <c r="F68" s="12"/>
      <c r="G68" s="130">
        <f t="shared" si="3"/>
        <v>-4245</v>
      </c>
      <c r="J68" s="34"/>
      <c r="K68" s="34"/>
      <c r="L68" s="34"/>
      <c r="M68" s="34"/>
      <c r="S68" s="16" t="s">
        <v>11</v>
      </c>
      <c r="T68" s="16"/>
      <c r="U68" s="16"/>
      <c r="V68" s="16"/>
      <c r="W68" s="34">
        <f>F77</f>
        <v>10000</v>
      </c>
      <c r="Y68" s="35" t="s">
        <v>18</v>
      </c>
      <c r="Z68" s="16"/>
      <c r="AA68" s="16"/>
      <c r="AB68" s="16"/>
    </row>
    <row r="69" spans="1:28" s="2" customFormat="1" ht="15.75" x14ac:dyDescent="0.25">
      <c r="A69" s="19">
        <v>2780</v>
      </c>
      <c r="B69" s="29" t="s">
        <v>44</v>
      </c>
      <c r="C69" s="17"/>
      <c r="D69" s="12">
        <f>O57</f>
        <v>-499</v>
      </c>
      <c r="E69" s="12"/>
      <c r="F69" s="12"/>
      <c r="G69" s="130">
        <f t="shared" si="3"/>
        <v>-499</v>
      </c>
      <c r="J69" s="34"/>
      <c r="K69" s="34"/>
      <c r="L69" s="34"/>
      <c r="M69" s="34"/>
      <c r="S69" s="16" t="s">
        <v>12</v>
      </c>
      <c r="T69" s="16"/>
      <c r="U69" s="16"/>
      <c r="V69" s="16"/>
      <c r="W69" s="34">
        <f t="shared" ref="W69:W73" si="4">F78</f>
        <v>3240</v>
      </c>
      <c r="Y69" s="16" t="s">
        <v>55</v>
      </c>
      <c r="Z69" s="16"/>
      <c r="AA69" s="16"/>
      <c r="AB69" s="16"/>
    </row>
    <row r="70" spans="1:28" s="2" customFormat="1" ht="15.75" x14ac:dyDescent="0.25">
      <c r="A70" s="19">
        <v>2940</v>
      </c>
      <c r="B70" s="29" t="s">
        <v>107</v>
      </c>
      <c r="C70" s="17"/>
      <c r="D70" s="12">
        <f>P57</f>
        <v>-3540</v>
      </c>
      <c r="E70" s="12"/>
      <c r="F70" s="12"/>
      <c r="G70" s="130">
        <f t="shared" si="3"/>
        <v>-3540</v>
      </c>
      <c r="J70" s="34"/>
      <c r="K70" s="34"/>
      <c r="L70" s="34"/>
      <c r="M70" s="34"/>
      <c r="S70" s="16" t="s">
        <v>13</v>
      </c>
      <c r="T70" s="16"/>
      <c r="U70" s="16"/>
      <c r="V70" s="16"/>
      <c r="W70" s="34">
        <f t="shared" si="4"/>
        <v>3840</v>
      </c>
      <c r="Y70" s="16"/>
      <c r="Z70" s="16"/>
      <c r="AA70" s="16"/>
      <c r="AB70" s="16"/>
    </row>
    <row r="71" spans="1:28" s="2" customFormat="1" ht="15.75" x14ac:dyDescent="0.25">
      <c r="A71" s="19">
        <v>3000</v>
      </c>
      <c r="B71" s="29" t="s">
        <v>47</v>
      </c>
      <c r="C71" s="17"/>
      <c r="D71" s="12">
        <f>Q57</f>
        <v>-182000</v>
      </c>
      <c r="E71" s="12"/>
      <c r="F71" s="12">
        <f>SUM(D71:E71)</f>
        <v>-182000</v>
      </c>
      <c r="G71" s="12"/>
      <c r="J71" s="34"/>
      <c r="K71" s="34"/>
      <c r="L71" s="34"/>
      <c r="M71" s="34"/>
      <c r="S71" s="16" t="s">
        <v>15</v>
      </c>
      <c r="T71" s="16"/>
      <c r="U71" s="16"/>
      <c r="V71" s="16"/>
      <c r="W71" s="34">
        <f t="shared" si="4"/>
        <v>720</v>
      </c>
      <c r="Y71" s="35" t="s">
        <v>56</v>
      </c>
      <c r="Z71" s="16"/>
      <c r="AA71" s="16"/>
      <c r="AB71" s="16"/>
    </row>
    <row r="72" spans="1:28" s="2" customFormat="1" ht="15.75" x14ac:dyDescent="0.25">
      <c r="A72" s="19">
        <v>4000</v>
      </c>
      <c r="B72" s="29" t="s">
        <v>7</v>
      </c>
      <c r="C72" s="17"/>
      <c r="D72" s="12">
        <f>R57</f>
        <v>112400</v>
      </c>
      <c r="E72" s="12">
        <v>-3000</v>
      </c>
      <c r="F72" s="12">
        <f t="shared" ref="F72:F82" si="5">SUM(D72:E72)</f>
        <v>109400</v>
      </c>
      <c r="G72" s="12"/>
      <c r="J72" s="34"/>
      <c r="K72" s="34"/>
      <c r="L72" s="34"/>
      <c r="M72" s="34"/>
      <c r="S72" s="16" t="s">
        <v>14</v>
      </c>
      <c r="T72" s="16"/>
      <c r="U72" s="16"/>
      <c r="V72" s="16"/>
      <c r="W72" s="34">
        <f t="shared" si="4"/>
        <v>10400</v>
      </c>
      <c r="Y72" s="16" t="s">
        <v>57</v>
      </c>
      <c r="Z72" s="16"/>
      <c r="AA72" s="16"/>
      <c r="AB72" s="16"/>
    </row>
    <row r="73" spans="1:28" s="2" customFormat="1" ht="15.75" x14ac:dyDescent="0.25">
      <c r="A73" s="19">
        <v>5000</v>
      </c>
      <c r="B73" s="29" t="s">
        <v>8</v>
      </c>
      <c r="C73" s="17"/>
      <c r="D73" s="12">
        <f>S57</f>
        <v>29500</v>
      </c>
      <c r="E73" s="12"/>
      <c r="F73" s="12">
        <f t="shared" si="5"/>
        <v>29500</v>
      </c>
      <c r="G73" s="12"/>
      <c r="J73" s="34"/>
      <c r="K73" s="34"/>
      <c r="L73" s="34"/>
      <c r="M73" s="34"/>
      <c r="S73" s="16" t="s">
        <v>24</v>
      </c>
      <c r="T73" s="16"/>
      <c r="U73" s="16"/>
      <c r="V73" s="16"/>
      <c r="W73" s="34">
        <f t="shared" si="4"/>
        <v>3300</v>
      </c>
      <c r="Y73" s="16" t="s">
        <v>107</v>
      </c>
      <c r="Z73" s="16"/>
      <c r="AA73" s="16"/>
      <c r="AB73" s="16"/>
    </row>
    <row r="74" spans="1:28" s="2" customFormat="1" ht="15.75" x14ac:dyDescent="0.25">
      <c r="A74" s="19">
        <v>5050</v>
      </c>
      <c r="B74" s="29" t="s">
        <v>27</v>
      </c>
      <c r="C74" s="17"/>
      <c r="D74" s="12">
        <f>T57</f>
        <v>3540</v>
      </c>
      <c r="E74" s="12"/>
      <c r="F74" s="12">
        <f t="shared" si="5"/>
        <v>3540</v>
      </c>
      <c r="G74" s="12"/>
      <c r="J74" s="34"/>
      <c r="K74" s="34"/>
      <c r="L74" s="34"/>
      <c r="M74" s="34"/>
      <c r="S74" s="16" t="s">
        <v>25</v>
      </c>
      <c r="T74" s="16"/>
      <c r="U74" s="16"/>
      <c r="V74" s="16"/>
      <c r="W74" s="36">
        <f>SUM(W66:W73)</f>
        <v>179284</v>
      </c>
      <c r="Y74" s="16" t="s">
        <v>58</v>
      </c>
      <c r="Z74" s="16"/>
      <c r="AA74" s="16"/>
      <c r="AB74" s="16"/>
    </row>
    <row r="75" spans="1:28" s="2" customFormat="1" ht="15.75" x14ac:dyDescent="0.25">
      <c r="A75" s="19">
        <v>5110</v>
      </c>
      <c r="B75" s="29" t="s">
        <v>45</v>
      </c>
      <c r="C75" s="17"/>
      <c r="D75" s="12">
        <f>U57</f>
        <v>600</v>
      </c>
      <c r="E75" s="12"/>
      <c r="F75" s="12">
        <f t="shared" si="5"/>
        <v>600</v>
      </c>
      <c r="G75" s="12"/>
      <c r="J75" s="34"/>
      <c r="K75" s="34"/>
      <c r="L75" s="34"/>
      <c r="M75" s="34"/>
      <c r="V75" s="16"/>
      <c r="W75" s="16"/>
      <c r="Y75" s="16"/>
      <c r="Z75" s="16"/>
      <c r="AA75" s="16"/>
      <c r="AB75" s="16"/>
    </row>
    <row r="76" spans="1:28" s="2" customFormat="1" ht="15.75" x14ac:dyDescent="0.25">
      <c r="A76" s="19">
        <v>5400</v>
      </c>
      <c r="B76" s="29" t="s">
        <v>28</v>
      </c>
      <c r="C76" s="17"/>
      <c r="D76" s="12">
        <f>V57</f>
        <v>4744</v>
      </c>
      <c r="E76" s="12"/>
      <c r="F76" s="12">
        <f t="shared" si="5"/>
        <v>4744</v>
      </c>
      <c r="G76" s="12"/>
      <c r="J76" s="34"/>
      <c r="K76" s="34"/>
      <c r="L76" s="34"/>
      <c r="M76" s="34"/>
      <c r="S76" s="16" t="s">
        <v>3</v>
      </c>
      <c r="T76" s="16"/>
      <c r="U76" s="16"/>
      <c r="V76" s="16"/>
      <c r="W76" s="37">
        <f>W63-W74</f>
        <v>2716</v>
      </c>
      <c r="Y76" s="16" t="s">
        <v>59</v>
      </c>
      <c r="Z76" s="16"/>
      <c r="AA76" s="16"/>
      <c r="AB76" s="16"/>
    </row>
    <row r="77" spans="1:28" s="2" customFormat="1" ht="15.75" x14ac:dyDescent="0.25">
      <c r="A77" s="19">
        <v>6300</v>
      </c>
      <c r="B77" s="29" t="s">
        <v>11</v>
      </c>
      <c r="C77" s="17"/>
      <c r="D77" s="12">
        <f>W57</f>
        <v>10000</v>
      </c>
      <c r="E77" s="12"/>
      <c r="F77" s="12">
        <f t="shared" si="5"/>
        <v>10000</v>
      </c>
      <c r="G77" s="12"/>
      <c r="J77" s="34"/>
      <c r="K77" s="34"/>
      <c r="L77" s="34"/>
      <c r="M77" s="34"/>
      <c r="Q77" s="16"/>
      <c r="R77" s="16"/>
      <c r="S77" s="16"/>
      <c r="T77" s="16"/>
      <c r="U77" s="16"/>
      <c r="V77" s="16"/>
    </row>
    <row r="78" spans="1:28" s="2" customFormat="1" ht="15.75" x14ac:dyDescent="0.25">
      <c r="A78" s="19">
        <v>6304</v>
      </c>
      <c r="B78" s="29" t="s">
        <v>12</v>
      </c>
      <c r="C78" s="17"/>
      <c r="D78" s="12">
        <f>X57</f>
        <v>3240</v>
      </c>
      <c r="E78" s="12"/>
      <c r="F78" s="12">
        <f t="shared" si="5"/>
        <v>3240</v>
      </c>
      <c r="G78" s="12"/>
      <c r="J78" s="34"/>
      <c r="K78" s="34"/>
      <c r="L78" s="34"/>
      <c r="M78" s="34"/>
    </row>
    <row r="79" spans="1:28" s="2" customFormat="1" ht="15.75" x14ac:dyDescent="0.25">
      <c r="A79" s="19">
        <v>6800</v>
      </c>
      <c r="B79" s="29" t="s">
        <v>13</v>
      </c>
      <c r="C79" s="17"/>
      <c r="D79" s="12">
        <f>Y57</f>
        <v>3840</v>
      </c>
      <c r="E79" s="12"/>
      <c r="F79" s="12">
        <f t="shared" si="5"/>
        <v>3840</v>
      </c>
      <c r="G79" s="12"/>
      <c r="J79" s="34"/>
      <c r="K79" s="34"/>
      <c r="L79" s="34"/>
      <c r="M79" s="34"/>
    </row>
    <row r="80" spans="1:28" s="2" customFormat="1" ht="15.75" x14ac:dyDescent="0.25">
      <c r="A80" s="19">
        <v>6900</v>
      </c>
      <c r="B80" s="29" t="s">
        <v>37</v>
      </c>
      <c r="C80" s="17"/>
      <c r="D80" s="12">
        <f>Z57</f>
        <v>720</v>
      </c>
      <c r="E80" s="12"/>
      <c r="F80" s="12">
        <f t="shared" si="5"/>
        <v>720</v>
      </c>
      <c r="G80" s="12"/>
      <c r="J80" s="34"/>
      <c r="K80" s="34"/>
      <c r="L80" s="34"/>
      <c r="M80" s="34"/>
      <c r="Q80" s="16"/>
      <c r="R80" s="16"/>
      <c r="S80" s="16"/>
      <c r="T80" s="16"/>
      <c r="U80" s="16"/>
      <c r="V80" s="34"/>
    </row>
    <row r="81" spans="1:33" s="2" customFormat="1" ht="15.75" x14ac:dyDescent="0.25">
      <c r="A81" s="19">
        <v>7300</v>
      </c>
      <c r="B81" s="29" t="s">
        <v>14</v>
      </c>
      <c r="C81" s="17"/>
      <c r="D81" s="12">
        <f>AA57</f>
        <v>10400</v>
      </c>
      <c r="E81" s="12"/>
      <c r="F81" s="12">
        <f t="shared" si="5"/>
        <v>10400</v>
      </c>
      <c r="G81" s="12"/>
      <c r="J81" s="34"/>
      <c r="K81" s="34"/>
      <c r="L81" s="34"/>
      <c r="M81" s="34"/>
      <c r="V81" s="16"/>
    </row>
    <row r="82" spans="1:33" s="2" customFormat="1" ht="15.75" x14ac:dyDescent="0.25">
      <c r="A82" s="19">
        <v>7780</v>
      </c>
      <c r="B82" s="29" t="s">
        <v>24</v>
      </c>
      <c r="C82" s="17"/>
      <c r="D82" s="12">
        <f>AB57</f>
        <v>3300</v>
      </c>
      <c r="E82" s="12"/>
      <c r="F82" s="12">
        <f t="shared" si="5"/>
        <v>3300</v>
      </c>
      <c r="G82" s="12"/>
      <c r="J82" s="34"/>
      <c r="K82" s="34"/>
      <c r="L82" s="34"/>
      <c r="M82" s="34"/>
      <c r="V82" s="38"/>
    </row>
    <row r="83" spans="1:33" s="16" customFormat="1" x14ac:dyDescent="0.25">
      <c r="A83" s="30">
        <v>8800</v>
      </c>
      <c r="B83" s="31" t="s">
        <v>3</v>
      </c>
      <c r="C83" s="32"/>
      <c r="D83" s="13"/>
      <c r="E83" s="13">
        <f>-SUM(F71:F82)</f>
        <v>2716</v>
      </c>
      <c r="F83" s="13">
        <f>E83</f>
        <v>2716</v>
      </c>
      <c r="G83" s="13"/>
      <c r="J83" s="34"/>
      <c r="K83" s="34"/>
      <c r="L83" s="34"/>
      <c r="M83" s="34"/>
    </row>
    <row r="84" spans="1:33" s="16" customFormat="1" x14ac:dyDescent="0.25">
      <c r="A84" s="45"/>
      <c r="B84" s="46"/>
      <c r="C84" s="40"/>
      <c r="D84" s="41">
        <f>SUM(D62:D82)</f>
        <v>0</v>
      </c>
      <c r="E84" s="41">
        <f>SUM(E62:E83)</f>
        <v>0</v>
      </c>
      <c r="F84" s="41">
        <f>SUM(F62:F83)</f>
        <v>0</v>
      </c>
      <c r="G84" s="41">
        <f>SUM(G62:G83)</f>
        <v>0</v>
      </c>
      <c r="J84" s="34"/>
      <c r="K84" s="34"/>
      <c r="L84" s="34"/>
      <c r="M84" s="34"/>
    </row>
    <row r="85" spans="1:33" s="2" customFormat="1" ht="15.75" x14ac:dyDescent="0.25">
      <c r="J85" s="34"/>
      <c r="K85" s="34"/>
      <c r="L85" s="34"/>
      <c r="M85" s="34"/>
    </row>
    <row r="86" spans="1:33" s="2" customFormat="1" ht="15.75" x14ac:dyDescent="0.25">
      <c r="C86" s="16" t="s">
        <v>69</v>
      </c>
      <c r="D86" s="16" t="s">
        <v>60</v>
      </c>
      <c r="E86" s="16"/>
      <c r="G86" s="16" t="s">
        <v>130</v>
      </c>
      <c r="H86" s="55"/>
    </row>
    <row r="87" spans="1:33" s="2" customFormat="1" ht="15.75" x14ac:dyDescent="0.25">
      <c r="C87" s="16"/>
      <c r="D87" s="16" t="s">
        <v>61</v>
      </c>
      <c r="E87" s="16"/>
      <c r="G87" s="16" t="s">
        <v>131</v>
      </c>
      <c r="H87" s="55"/>
      <c r="J87" s="75">
        <f>-F71-F72</f>
        <v>72600</v>
      </c>
    </row>
    <row r="88" spans="1:33" s="2" customFormat="1" ht="15.75" x14ac:dyDescent="0.25">
      <c r="H88" s="55"/>
      <c r="J88" s="76">
        <f>J87/F72</f>
        <v>0.66361974405850088</v>
      </c>
    </row>
    <row r="89" spans="1:33" s="2" customFormat="1" ht="15.75" x14ac:dyDescent="0.25">
      <c r="C89" s="16" t="s">
        <v>70</v>
      </c>
      <c r="D89" s="16" t="str">
        <f t="shared" ref="D89:D95" si="6">S67</f>
        <v>Lønn og sosiale kostnader</v>
      </c>
      <c r="E89" s="16"/>
      <c r="G89" s="34">
        <f t="shared" ref="G89:G95" si="7">W67</f>
        <v>38384</v>
      </c>
      <c r="H89" s="55"/>
    </row>
    <row r="90" spans="1:33" s="2" customFormat="1" ht="15.75" x14ac:dyDescent="0.25">
      <c r="D90" s="16" t="str">
        <f t="shared" si="6"/>
        <v>Husleie</v>
      </c>
      <c r="G90" s="34">
        <f t="shared" si="7"/>
        <v>10000</v>
      </c>
      <c r="H90" s="55"/>
    </row>
    <row r="91" spans="1:33" s="16" customFormat="1" ht="15.75" x14ac:dyDescent="0.25">
      <c r="A91" s="2"/>
      <c r="B91" s="2"/>
      <c r="D91" s="16" t="str">
        <f t="shared" si="6"/>
        <v>Strøm</v>
      </c>
      <c r="G91" s="34">
        <f t="shared" si="7"/>
        <v>3240</v>
      </c>
      <c r="H91" s="55"/>
      <c r="I91" s="2"/>
      <c r="J91" s="2"/>
      <c r="K91" s="2"/>
      <c r="N91" s="2"/>
    </row>
    <row r="92" spans="1:33" s="2" customFormat="1" ht="15.75" x14ac:dyDescent="0.25">
      <c r="A92" s="16"/>
      <c r="B92" s="16"/>
      <c r="D92" s="16" t="str">
        <f t="shared" si="6"/>
        <v>Kontorrekvisita</v>
      </c>
      <c r="G92" s="34">
        <f t="shared" si="7"/>
        <v>3840</v>
      </c>
      <c r="H92" s="34"/>
      <c r="I92" s="16"/>
      <c r="J92" s="16"/>
      <c r="K92" s="16"/>
      <c r="N92" s="16"/>
    </row>
    <row r="93" spans="1:33" s="2" customFormat="1" ht="15.75" x14ac:dyDescent="0.25">
      <c r="D93" s="16" t="str">
        <f t="shared" si="6"/>
        <v>Telefon og porto</v>
      </c>
      <c r="G93" s="34">
        <f t="shared" si="7"/>
        <v>720</v>
      </c>
      <c r="H93" s="55"/>
      <c r="L93" s="16"/>
      <c r="M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33" s="2" customFormat="1" ht="16.5" customHeight="1" x14ac:dyDescent="0.25">
      <c r="D94" s="16" t="str">
        <f t="shared" si="6"/>
        <v>Salgskostnader</v>
      </c>
      <c r="G94" s="34">
        <f t="shared" si="7"/>
        <v>10400</v>
      </c>
      <c r="H94" s="55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33" ht="15.75" x14ac:dyDescent="0.25">
      <c r="A95" s="2"/>
      <c r="B95" s="2"/>
      <c r="C95" s="2"/>
      <c r="D95" s="16" t="str">
        <f t="shared" si="6"/>
        <v>Andre driftskostnader</v>
      </c>
      <c r="E95" s="2"/>
      <c r="G95" s="34">
        <f t="shared" si="7"/>
        <v>3300</v>
      </c>
      <c r="H95" s="55"/>
      <c r="I95" s="2"/>
      <c r="J95" s="16"/>
      <c r="K95" s="16"/>
      <c r="L95" s="18"/>
      <c r="M95" s="18"/>
      <c r="N95" s="16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s="33" customFormat="1" ht="20.25" x14ac:dyDescent="0.3">
      <c r="A96" s="1"/>
      <c r="B96" s="1"/>
      <c r="C96" s="2"/>
      <c r="D96" s="2" t="s">
        <v>62</v>
      </c>
      <c r="E96" s="2"/>
      <c r="F96" s="2"/>
      <c r="G96" s="36">
        <f>SUM(G89:G95)</f>
        <v>69884</v>
      </c>
      <c r="H96" s="69"/>
      <c r="I96" s="1"/>
      <c r="J96" s="18"/>
      <c r="K96" s="18"/>
      <c r="L96" s="16"/>
      <c r="M96" s="16"/>
      <c r="N96" s="18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33" ht="15.75" x14ac:dyDescent="0.25">
      <c r="A97" s="2"/>
      <c r="B97" s="2"/>
      <c r="C97" s="2"/>
      <c r="D97" s="2"/>
      <c r="E97" s="2"/>
      <c r="H97" s="55"/>
      <c r="I97" s="2"/>
      <c r="J97" s="16"/>
      <c r="K97" s="16"/>
      <c r="L97" s="18"/>
      <c r="M97" s="18"/>
      <c r="N97" s="16"/>
      <c r="O97" s="18"/>
      <c r="P97" s="18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ht="15.75" x14ac:dyDescent="0.25">
      <c r="C98" s="2"/>
      <c r="D98" s="2" t="s">
        <v>132</v>
      </c>
      <c r="E98" s="2"/>
      <c r="J98" s="18"/>
      <c r="K98" s="18"/>
      <c r="L98" s="18"/>
      <c r="M98" s="72"/>
      <c r="N98" s="18"/>
      <c r="O98" s="18"/>
      <c r="P98" s="18"/>
      <c r="Q98" s="16"/>
      <c r="R98" s="16"/>
      <c r="S98" s="16"/>
      <c r="T98" s="16"/>
      <c r="U98" s="16"/>
      <c r="V98" s="39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ht="15.75" x14ac:dyDescent="0.25">
      <c r="C99" s="2"/>
      <c r="D99" s="2"/>
      <c r="E99" s="2"/>
      <c r="J99" s="18"/>
      <c r="K99" s="77">
        <f>G96/F72</f>
        <v>0.63879341864716632</v>
      </c>
      <c r="L99" s="18"/>
      <c r="M99" s="18"/>
      <c r="N99" s="18"/>
      <c r="O99" s="18"/>
      <c r="P99" s="18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ht="15.75" x14ac:dyDescent="0.25">
      <c r="C100" s="2" t="s">
        <v>71</v>
      </c>
      <c r="D100" s="2" t="s">
        <v>133</v>
      </c>
      <c r="E100" s="2"/>
      <c r="F100" s="38"/>
      <c r="G100" s="2"/>
      <c r="J100" s="18"/>
      <c r="K100" s="18"/>
      <c r="L100" s="18"/>
      <c r="M100" s="18"/>
      <c r="N100" s="18"/>
      <c r="O100" s="18"/>
      <c r="P100" s="18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ht="15.75" x14ac:dyDescent="0.25">
      <c r="C101" s="2"/>
      <c r="D101" s="2"/>
      <c r="E101" s="2"/>
      <c r="F101" s="2"/>
      <c r="G101" s="2"/>
      <c r="H101" s="55"/>
      <c r="I101" s="78">
        <f>J87-G96</f>
        <v>2716</v>
      </c>
      <c r="J101" s="18"/>
      <c r="K101" s="71"/>
      <c r="L101" s="18"/>
      <c r="M101" s="18"/>
      <c r="N101" s="18"/>
      <c r="O101" s="18"/>
      <c r="P101" s="18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ht="15.75" x14ac:dyDescent="0.25">
      <c r="C102" s="2"/>
      <c r="D102" s="2" t="s">
        <v>134</v>
      </c>
      <c r="E102" s="2"/>
      <c r="F102" s="2"/>
      <c r="G102" s="2"/>
      <c r="H102" s="55"/>
      <c r="I102" s="2"/>
      <c r="J102" s="18"/>
      <c r="K102" s="18"/>
      <c r="L102" s="18"/>
      <c r="M102" s="18"/>
      <c r="N102" s="18"/>
      <c r="O102" s="18"/>
      <c r="P102" s="18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ht="15.75" x14ac:dyDescent="0.25">
      <c r="C103" s="16"/>
      <c r="D103" s="16"/>
      <c r="E103" s="16"/>
      <c r="F103" s="16"/>
      <c r="G103" s="16"/>
      <c r="H103" s="55"/>
      <c r="I103" s="2"/>
      <c r="J103" s="79">
        <f>J73+G96</f>
        <v>69884</v>
      </c>
      <c r="K103" s="18"/>
      <c r="L103" s="18"/>
      <c r="M103" s="18"/>
      <c r="N103" s="18"/>
      <c r="O103" s="18"/>
      <c r="P103" s="18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ht="15.75" x14ac:dyDescent="0.25">
      <c r="C104" s="16"/>
      <c r="D104" s="16" t="s">
        <v>135</v>
      </c>
      <c r="E104" s="16"/>
      <c r="F104" s="16"/>
      <c r="G104" s="16"/>
      <c r="H104" s="34"/>
      <c r="I104" s="16"/>
      <c r="J104" s="18"/>
      <c r="K104" s="18"/>
      <c r="L104" s="18"/>
      <c r="M104" s="18"/>
      <c r="N104" s="18"/>
      <c r="O104" s="18"/>
      <c r="P104" s="18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ht="15.75" x14ac:dyDescent="0.25">
      <c r="H105" s="34"/>
      <c r="I105" s="16"/>
      <c r="J105" s="80">
        <f>I101/J103</f>
        <v>3.8864403869269072E-2</v>
      </c>
      <c r="K105" s="18"/>
      <c r="N105" s="18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ht="15.75" x14ac:dyDescent="0.25"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ht="15.75" x14ac:dyDescent="0.25"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ht="15.75" x14ac:dyDescent="0.25"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ht="15.75" x14ac:dyDescent="0.25"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ht="15.75" x14ac:dyDescent="0.25"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ht="15.75" x14ac:dyDescent="0.25"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spans="1:33" ht="15.75" x14ac:dyDescent="0.25"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spans="1:33" ht="15.75" x14ac:dyDescent="0.25"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</row>
    <row r="114" spans="1:33" ht="15.75" x14ac:dyDescent="0.25">
      <c r="L114" s="2"/>
      <c r="M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x14ac:dyDescent="0.25">
      <c r="C115" s="6" t="s">
        <v>108</v>
      </c>
      <c r="D115" s="2" t="s">
        <v>19</v>
      </c>
      <c r="E115" s="2"/>
      <c r="F115" s="2"/>
      <c r="G115" s="2"/>
      <c r="L115" s="2"/>
      <c r="M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x14ac:dyDescent="0.25">
      <c r="A116" s="2"/>
      <c r="B116" s="2"/>
      <c r="C116" s="6"/>
      <c r="D116" s="22"/>
      <c r="E116" s="23"/>
      <c r="F116" s="23"/>
      <c r="G116" s="73" t="s">
        <v>20</v>
      </c>
      <c r="H116" s="55"/>
      <c r="I116" s="2"/>
      <c r="J116" s="2"/>
      <c r="K116" s="2"/>
      <c r="L116" s="2"/>
      <c r="M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x14ac:dyDescent="0.25">
      <c r="A117" s="2"/>
      <c r="B117" s="2"/>
      <c r="C117" s="6"/>
      <c r="D117" s="95"/>
      <c r="E117" s="10"/>
      <c r="F117" s="10"/>
      <c r="G117" s="81"/>
      <c r="H117" s="74" t="s">
        <v>21</v>
      </c>
      <c r="I117" s="134" t="s">
        <v>22</v>
      </c>
      <c r="J117" s="135"/>
      <c r="K117" s="2"/>
      <c r="L117" s="2"/>
      <c r="M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x14ac:dyDescent="0.25">
      <c r="A118" s="2"/>
      <c r="B118" s="2"/>
      <c r="C118" s="6"/>
      <c r="D118" s="8" t="s">
        <v>10</v>
      </c>
      <c r="E118" s="7"/>
      <c r="F118" s="7"/>
      <c r="G118" s="49">
        <v>200000</v>
      </c>
      <c r="H118" s="83"/>
      <c r="I118" s="92" t="s">
        <v>154</v>
      </c>
      <c r="J118" s="82" t="s">
        <v>155</v>
      </c>
      <c r="K118" s="2"/>
      <c r="L118" s="2"/>
      <c r="M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x14ac:dyDescent="0.25">
      <c r="A119" s="2"/>
      <c r="B119" s="2"/>
      <c r="C119" s="6"/>
      <c r="D119" s="9"/>
      <c r="E119" s="2"/>
      <c r="F119" s="2"/>
      <c r="G119" s="50"/>
      <c r="H119" s="49">
        <f>W63</f>
        <v>182000</v>
      </c>
      <c r="I119" s="49">
        <f>H119-G118</f>
        <v>-18000</v>
      </c>
      <c r="J119" s="96">
        <f>I119/G118</f>
        <v>-0.09</v>
      </c>
      <c r="K119" s="2"/>
      <c r="L119" s="2"/>
      <c r="M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x14ac:dyDescent="0.25">
      <c r="A120" s="2"/>
      <c r="B120" s="2"/>
      <c r="C120" s="6"/>
      <c r="D120" s="9" t="s">
        <v>23</v>
      </c>
      <c r="E120" s="2"/>
      <c r="F120" s="2"/>
      <c r="G120" s="50">
        <v>113000</v>
      </c>
      <c r="H120" s="50"/>
      <c r="I120" s="50"/>
      <c r="J120" s="93"/>
      <c r="K120" s="2"/>
      <c r="L120" s="2"/>
      <c r="M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s="33" customFormat="1" ht="20.25" x14ac:dyDescent="0.3">
      <c r="A121" s="2"/>
      <c r="B121" s="2"/>
      <c r="C121" s="6"/>
      <c r="D121" s="8" t="s">
        <v>63</v>
      </c>
      <c r="E121" s="7"/>
      <c r="F121" s="53"/>
      <c r="G121" s="49">
        <f>G118-G120</f>
        <v>87000</v>
      </c>
      <c r="H121" s="50">
        <f>W66</f>
        <v>109400</v>
      </c>
      <c r="I121" s="50">
        <f>H121-G120</f>
        <v>-3600</v>
      </c>
      <c r="J121" s="94">
        <f>I121/G120</f>
        <v>-3.1858407079646017E-2</v>
      </c>
      <c r="K121" s="2"/>
      <c r="L121" s="2"/>
      <c r="M121" s="2"/>
      <c r="N121" s="1"/>
      <c r="O121" s="2"/>
      <c r="P121" s="2"/>
      <c r="Q121" s="2"/>
      <c r="R121" s="2"/>
    </row>
    <row r="122" spans="1:33" ht="15.75" x14ac:dyDescent="0.25">
      <c r="A122" s="2"/>
      <c r="B122" s="2"/>
      <c r="C122" s="6"/>
      <c r="D122" s="9"/>
      <c r="E122" s="2"/>
      <c r="F122" s="2"/>
      <c r="G122" s="50"/>
      <c r="H122" s="49">
        <f>H119-H121</f>
        <v>72600</v>
      </c>
      <c r="I122" s="49">
        <f>H122-G121</f>
        <v>-14400</v>
      </c>
      <c r="J122" s="44"/>
      <c r="K122" s="2"/>
      <c r="L122" s="2"/>
      <c r="M122" s="2"/>
      <c r="N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x14ac:dyDescent="0.25">
      <c r="A123" s="2"/>
      <c r="B123" s="2"/>
      <c r="C123" s="6"/>
      <c r="D123" s="9" t="s">
        <v>51</v>
      </c>
      <c r="E123" s="2"/>
      <c r="F123" s="2"/>
      <c r="G123" s="50">
        <v>36000</v>
      </c>
      <c r="H123" s="50"/>
      <c r="I123" s="50"/>
      <c r="J123" s="93"/>
      <c r="K123" s="2"/>
      <c r="L123" s="2"/>
      <c r="M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x14ac:dyDescent="0.25">
      <c r="A124" s="2"/>
      <c r="B124" s="2"/>
      <c r="C124" s="6"/>
      <c r="D124" s="97" t="s">
        <v>11</v>
      </c>
      <c r="E124" s="98"/>
      <c r="F124" s="98"/>
      <c r="G124" s="99">
        <v>10000</v>
      </c>
      <c r="H124" s="50">
        <f t="shared" ref="H124:H130" si="8">W67</f>
        <v>38384</v>
      </c>
      <c r="I124" s="50">
        <f t="shared" ref="I124:I130" si="9">H124-G123</f>
        <v>2384</v>
      </c>
      <c r="J124" s="94">
        <f t="shared" ref="J124:J130" si="10">I124/G123</f>
        <v>6.6222222222222224E-2</v>
      </c>
      <c r="K124" s="2"/>
      <c r="L124" s="2"/>
      <c r="M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x14ac:dyDescent="0.25">
      <c r="A125" s="2"/>
      <c r="B125" s="2"/>
      <c r="C125" s="6"/>
      <c r="D125" s="97" t="s">
        <v>12</v>
      </c>
      <c r="E125" s="98"/>
      <c r="F125" s="98"/>
      <c r="G125" s="99">
        <v>3000</v>
      </c>
      <c r="H125" s="99">
        <f t="shared" si="8"/>
        <v>10000</v>
      </c>
      <c r="I125" s="99">
        <f t="shared" si="9"/>
        <v>0</v>
      </c>
      <c r="J125" s="100">
        <f t="shared" si="10"/>
        <v>0</v>
      </c>
      <c r="K125" s="2"/>
      <c r="L125" s="2"/>
      <c r="M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x14ac:dyDescent="0.25">
      <c r="A126" s="2"/>
      <c r="B126" s="2"/>
      <c r="C126" s="6"/>
      <c r="D126" s="97" t="s">
        <v>13</v>
      </c>
      <c r="E126" s="98"/>
      <c r="F126" s="98"/>
      <c r="G126" s="99">
        <v>6000</v>
      </c>
      <c r="H126" s="99">
        <f t="shared" si="8"/>
        <v>3240</v>
      </c>
      <c r="I126" s="99">
        <f t="shared" si="9"/>
        <v>240</v>
      </c>
      <c r="J126" s="100">
        <f t="shared" si="10"/>
        <v>0.08</v>
      </c>
      <c r="K126" s="2"/>
      <c r="L126" s="2"/>
      <c r="M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x14ac:dyDescent="0.25">
      <c r="A127" s="2"/>
      <c r="B127" s="2"/>
      <c r="C127" s="6"/>
      <c r="D127" s="97" t="s">
        <v>126</v>
      </c>
      <c r="E127" s="98"/>
      <c r="F127" s="98"/>
      <c r="G127" s="99">
        <v>1000</v>
      </c>
      <c r="H127" s="99">
        <f t="shared" si="8"/>
        <v>3840</v>
      </c>
      <c r="I127" s="99">
        <f t="shared" si="9"/>
        <v>-2160</v>
      </c>
      <c r="J127" s="100">
        <f t="shared" si="10"/>
        <v>-0.36</v>
      </c>
      <c r="K127" s="2"/>
      <c r="L127" s="2"/>
      <c r="M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x14ac:dyDescent="0.25">
      <c r="A128" s="2"/>
      <c r="B128" s="2"/>
      <c r="C128" s="6"/>
      <c r="D128" s="97" t="s">
        <v>14</v>
      </c>
      <c r="E128" s="98"/>
      <c r="F128" s="98"/>
      <c r="G128" s="99">
        <v>14000</v>
      </c>
      <c r="H128" s="99">
        <f t="shared" si="8"/>
        <v>720</v>
      </c>
      <c r="I128" s="99">
        <f t="shared" si="9"/>
        <v>-280</v>
      </c>
      <c r="J128" s="100">
        <f t="shared" si="10"/>
        <v>-0.28000000000000003</v>
      </c>
      <c r="K128" s="2"/>
      <c r="L128" s="2"/>
      <c r="M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x14ac:dyDescent="0.25">
      <c r="A129" s="2"/>
      <c r="B129" s="2"/>
      <c r="C129" s="6"/>
      <c r="D129" s="9" t="s">
        <v>24</v>
      </c>
      <c r="E129" s="2"/>
      <c r="F129" s="2"/>
      <c r="G129" s="50">
        <v>5000</v>
      </c>
      <c r="H129" s="99">
        <f t="shared" si="8"/>
        <v>10400</v>
      </c>
      <c r="I129" s="99">
        <f t="shared" si="9"/>
        <v>-3600</v>
      </c>
      <c r="J129" s="100">
        <f t="shared" si="10"/>
        <v>-0.25714285714285712</v>
      </c>
      <c r="K129" s="2"/>
      <c r="L129" s="2"/>
      <c r="M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s="33" customFormat="1" ht="20.25" x14ac:dyDescent="0.3">
      <c r="A130" s="2"/>
      <c r="B130" s="2"/>
      <c r="C130" s="6"/>
      <c r="D130" s="8" t="s">
        <v>62</v>
      </c>
      <c r="E130" s="7"/>
      <c r="F130" s="53"/>
      <c r="G130" s="49">
        <f>SUM(G123:G129)</f>
        <v>75000</v>
      </c>
      <c r="H130" s="50">
        <f t="shared" si="8"/>
        <v>3300</v>
      </c>
      <c r="I130" s="50">
        <f t="shared" si="9"/>
        <v>-1700</v>
      </c>
      <c r="J130" s="94">
        <f t="shared" si="10"/>
        <v>-0.34</v>
      </c>
      <c r="K130" s="2"/>
      <c r="L130" s="2"/>
      <c r="M130" s="2"/>
      <c r="N130" s="1"/>
      <c r="O130" s="2"/>
      <c r="P130" s="2"/>
      <c r="Q130" s="2"/>
      <c r="R130" s="2"/>
    </row>
    <row r="131" spans="1:33" ht="15.75" x14ac:dyDescent="0.25">
      <c r="A131" s="2"/>
      <c r="B131" s="2"/>
      <c r="C131" s="6"/>
      <c r="D131" s="9"/>
      <c r="E131" s="2"/>
      <c r="F131" s="2"/>
      <c r="G131" s="50"/>
      <c r="H131" s="49">
        <f>SUM(H124:H130)</f>
        <v>69884</v>
      </c>
      <c r="I131" s="49">
        <f>G130-H131</f>
        <v>5116</v>
      </c>
      <c r="J131" s="93"/>
      <c r="K131" s="2"/>
      <c r="L131" s="2"/>
      <c r="M131" s="2"/>
      <c r="N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s="33" customFormat="1" ht="20.25" x14ac:dyDescent="0.3">
      <c r="A132" s="2"/>
      <c r="B132" s="2"/>
      <c r="C132" s="6"/>
      <c r="D132" s="51" t="s">
        <v>3</v>
      </c>
      <c r="E132" s="52"/>
      <c r="F132" s="54"/>
      <c r="G132" s="49">
        <f>G121-G130</f>
        <v>12000</v>
      </c>
      <c r="H132" s="50"/>
      <c r="I132" s="50"/>
      <c r="J132" s="93"/>
      <c r="K132" s="2"/>
      <c r="L132" s="2"/>
      <c r="M132" s="2"/>
      <c r="N132" s="1"/>
      <c r="O132" s="2"/>
      <c r="P132" s="2"/>
      <c r="Q132" s="2"/>
      <c r="R132" s="2"/>
    </row>
    <row r="133" spans="1:33" ht="15.75" x14ac:dyDescent="0.25">
      <c r="A133" s="2"/>
      <c r="B133" s="2"/>
      <c r="C133" s="2"/>
      <c r="D133" s="2"/>
      <c r="E133" s="2"/>
      <c r="F133" s="2"/>
      <c r="G133" s="2"/>
      <c r="H133" s="49">
        <f>H122-H131</f>
        <v>2716</v>
      </c>
      <c r="I133" s="49">
        <f>H133-G132</f>
        <v>-9284</v>
      </c>
      <c r="J133" s="44"/>
      <c r="K133" s="2"/>
      <c r="L133" s="2"/>
      <c r="M133" s="2"/>
      <c r="N133" s="2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</row>
    <row r="134" spans="1:33" ht="15.75" x14ac:dyDescent="0.25">
      <c r="A134" s="6"/>
      <c r="B134" s="2"/>
      <c r="C134" s="2"/>
      <c r="E134" s="2"/>
      <c r="H134" s="55"/>
      <c r="I134" s="2"/>
      <c r="J134" s="2"/>
      <c r="K134" s="2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</row>
    <row r="135" spans="1:33" ht="15.75" x14ac:dyDescent="0.25">
      <c r="A135" s="6"/>
      <c r="B135" s="2" t="s">
        <v>156</v>
      </c>
      <c r="C135" s="2"/>
      <c r="E135" s="2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</row>
    <row r="136" spans="1:33" ht="15.75" x14ac:dyDescent="0.25">
      <c r="A136" s="6"/>
      <c r="B136" s="2" t="s">
        <v>161</v>
      </c>
      <c r="C136" s="2"/>
      <c r="E136" s="2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</row>
    <row r="137" spans="1:33" ht="15.75" x14ac:dyDescent="0.25">
      <c r="A137" s="6"/>
      <c r="B137" s="2" t="s">
        <v>157</v>
      </c>
      <c r="C137" s="2"/>
      <c r="E137" s="2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</row>
    <row r="138" spans="1:33" ht="15.75" x14ac:dyDescent="0.25">
      <c r="A138" s="6"/>
      <c r="B138" s="2" t="s">
        <v>162</v>
      </c>
      <c r="C138" s="2"/>
      <c r="D138" s="2"/>
      <c r="E138" s="2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</row>
    <row r="139" spans="1:33" ht="15.75" x14ac:dyDescent="0.25">
      <c r="A139" s="6"/>
      <c r="B139" s="2" t="s">
        <v>163</v>
      </c>
      <c r="C139" s="2"/>
      <c r="D139" s="2"/>
      <c r="E139" s="2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</row>
    <row r="140" spans="1:33" ht="15.75" x14ac:dyDescent="0.25">
      <c r="A140" s="6"/>
      <c r="B140" s="2" t="s">
        <v>158</v>
      </c>
      <c r="C140" s="2"/>
      <c r="D140" s="2"/>
      <c r="E140" s="2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</row>
    <row r="141" spans="1:33" ht="15.75" x14ac:dyDescent="0.25">
      <c r="A141" s="6"/>
      <c r="B141" s="2" t="s">
        <v>159</v>
      </c>
      <c r="C141" s="2"/>
      <c r="D141" s="2"/>
      <c r="E141" s="2"/>
      <c r="G141" s="38">
        <f>G121/G118</f>
        <v>0.435</v>
      </c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</row>
    <row r="142" spans="1:33" ht="15.75" x14ac:dyDescent="0.25">
      <c r="A142" s="6"/>
      <c r="B142" s="2" t="s">
        <v>160</v>
      </c>
      <c r="C142" s="2"/>
      <c r="D142" s="2"/>
      <c r="E142" s="2"/>
      <c r="F142" s="2"/>
      <c r="G142" s="38">
        <f>H122/H119</f>
        <v>0.39890109890109893</v>
      </c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</row>
    <row r="143" spans="1:33" s="2" customFormat="1" ht="15.75" x14ac:dyDescent="0.25">
      <c r="E143" s="16"/>
      <c r="F143" s="16"/>
      <c r="G143" s="16"/>
      <c r="H143" s="55"/>
      <c r="L143" s="16"/>
      <c r="M143" s="16"/>
      <c r="N143" s="1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</row>
    <row r="144" spans="1:33" s="2" customFormat="1" ht="15.75" x14ac:dyDescent="0.25">
      <c r="B144" s="2" t="s">
        <v>164</v>
      </c>
      <c r="F144" s="16"/>
      <c r="G144" s="16"/>
      <c r="H144" s="34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</row>
    <row r="145" spans="1:33" s="2" customFormat="1" ht="15.75" x14ac:dyDescent="0.25">
      <c r="C145" s="2">
        <v>1</v>
      </c>
      <c r="D145" s="2" t="s">
        <v>165</v>
      </c>
      <c r="E145" s="16"/>
      <c r="F145" s="16"/>
      <c r="G145" s="16"/>
      <c r="H145" s="34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</row>
    <row r="146" spans="1:33" ht="15.75" x14ac:dyDescent="0.25">
      <c r="A146" s="2"/>
      <c r="B146" s="2"/>
      <c r="C146" s="2">
        <v>2</v>
      </c>
      <c r="D146" s="16" t="s">
        <v>166</v>
      </c>
      <c r="E146" s="16"/>
      <c r="F146" s="2"/>
      <c r="G146" s="2"/>
      <c r="H146" s="34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</row>
    <row r="147" spans="1:33" ht="15.75" x14ac:dyDescent="0.25">
      <c r="A147" s="2"/>
      <c r="B147" s="2"/>
      <c r="C147" s="2"/>
      <c r="D147" s="16"/>
      <c r="E147" s="16"/>
      <c r="F147" s="16"/>
      <c r="G147" s="42"/>
      <c r="H147" s="55"/>
      <c r="I147" s="2"/>
      <c r="J147" s="16"/>
      <c r="K147" s="16"/>
      <c r="L147" s="16"/>
      <c r="M147" s="16"/>
      <c r="N147" s="16"/>
      <c r="O147" s="16"/>
      <c r="P147" s="16"/>
    </row>
    <row r="148" spans="1:33" ht="15.75" x14ac:dyDescent="0.25">
      <c r="A148" s="2"/>
      <c r="B148" s="16" t="s">
        <v>136</v>
      </c>
      <c r="D148" s="16"/>
      <c r="E148" s="16"/>
      <c r="F148" s="16"/>
      <c r="G148" s="42"/>
      <c r="H148" s="34"/>
      <c r="I148" s="16"/>
      <c r="J148" s="16"/>
      <c r="K148" s="16"/>
      <c r="L148" s="16"/>
      <c r="M148" s="16"/>
      <c r="N148" s="16"/>
      <c r="O148" s="16"/>
      <c r="P148" s="16"/>
    </row>
    <row r="149" spans="1:33" ht="15.75" x14ac:dyDescent="0.25">
      <c r="B149" s="16" t="s">
        <v>137</v>
      </c>
      <c r="D149" s="16"/>
      <c r="E149" s="16"/>
      <c r="F149" s="16"/>
      <c r="G149" s="42"/>
      <c r="H149" s="34"/>
      <c r="I149" s="16"/>
      <c r="J149" s="16"/>
      <c r="K149" s="16"/>
      <c r="L149" s="16"/>
      <c r="M149" s="16"/>
      <c r="N149" s="16"/>
      <c r="O149" s="16"/>
      <c r="P149" s="16"/>
    </row>
    <row r="150" spans="1:33" ht="15.75" x14ac:dyDescent="0.25">
      <c r="D150" s="16"/>
      <c r="E150" s="16"/>
      <c r="F150" s="16"/>
      <c r="G150" s="16"/>
      <c r="H150" s="34"/>
      <c r="I150" s="16"/>
      <c r="J150" s="16"/>
      <c r="K150" s="16"/>
      <c r="L150" s="16"/>
      <c r="M150" s="16"/>
      <c r="N150" s="16"/>
      <c r="O150" s="16"/>
      <c r="P150" s="16"/>
    </row>
    <row r="151" spans="1:33" ht="15.75" x14ac:dyDescent="0.25">
      <c r="D151" s="16"/>
      <c r="E151" s="16"/>
      <c r="F151" s="16"/>
      <c r="G151" s="16"/>
      <c r="H151" s="34"/>
      <c r="I151" s="16"/>
      <c r="J151" s="16"/>
      <c r="K151" s="16"/>
      <c r="L151" s="16"/>
      <c r="M151" s="16"/>
      <c r="N151" s="16"/>
      <c r="O151" s="16"/>
      <c r="P151" s="16"/>
    </row>
    <row r="152" spans="1:33" ht="15.75" x14ac:dyDescent="0.25">
      <c r="D152" s="16"/>
      <c r="E152" s="16"/>
      <c r="F152" s="16"/>
      <c r="G152" s="16"/>
      <c r="H152" s="34"/>
      <c r="I152" s="16"/>
      <c r="J152" s="16"/>
      <c r="K152" s="16"/>
      <c r="L152" s="16"/>
      <c r="M152" s="16"/>
      <c r="N152" s="16"/>
      <c r="O152" s="16"/>
      <c r="P152" s="16"/>
    </row>
    <row r="153" spans="1:33" ht="15.75" x14ac:dyDescent="0.25">
      <c r="D153" s="16"/>
      <c r="E153" s="16"/>
      <c r="F153" s="16"/>
      <c r="G153" s="16"/>
      <c r="H153" s="34"/>
      <c r="I153" s="16"/>
      <c r="J153" s="16"/>
      <c r="K153" s="16"/>
      <c r="L153" s="16"/>
      <c r="M153" s="16"/>
      <c r="N153" s="16"/>
      <c r="O153" s="16"/>
      <c r="P153" s="16"/>
    </row>
    <row r="154" spans="1:33" ht="15.75" x14ac:dyDescent="0.25">
      <c r="D154" s="16"/>
      <c r="E154" s="16"/>
      <c r="F154" s="16"/>
      <c r="G154" s="16"/>
      <c r="H154" s="34"/>
      <c r="I154" s="16"/>
      <c r="J154" s="16"/>
      <c r="K154" s="16"/>
      <c r="L154" s="16"/>
      <c r="M154" s="16"/>
      <c r="N154" s="16"/>
      <c r="O154" s="16"/>
      <c r="P154" s="16"/>
    </row>
    <row r="155" spans="1:33" ht="15.75" x14ac:dyDescent="0.25">
      <c r="D155" s="16"/>
      <c r="E155" s="16"/>
      <c r="F155" s="16"/>
      <c r="G155" s="16"/>
      <c r="H155" s="34"/>
      <c r="I155" s="16"/>
      <c r="J155" s="16"/>
      <c r="K155" s="16"/>
      <c r="L155" s="16"/>
      <c r="M155" s="16"/>
      <c r="N155" s="16"/>
      <c r="O155" s="16"/>
      <c r="P155" s="16"/>
    </row>
    <row r="156" spans="1:33" ht="15.75" x14ac:dyDescent="0.25">
      <c r="D156" s="16"/>
      <c r="E156" s="16"/>
      <c r="F156" s="16"/>
      <c r="G156" s="16"/>
      <c r="H156" s="34"/>
      <c r="I156" s="16"/>
      <c r="J156" s="16"/>
      <c r="K156" s="16"/>
      <c r="L156" s="16"/>
      <c r="M156" s="16"/>
      <c r="N156" s="16"/>
      <c r="O156" s="16"/>
      <c r="P156" s="16"/>
    </row>
    <row r="157" spans="1:33" ht="15.75" x14ac:dyDescent="0.25">
      <c r="H157" s="34"/>
      <c r="I157" s="16"/>
      <c r="J157" s="16"/>
      <c r="K157" s="16"/>
      <c r="N157" s="16"/>
    </row>
  </sheetData>
  <mergeCells count="3">
    <mergeCell ref="I117:J117"/>
    <mergeCell ref="L60:M60"/>
    <mergeCell ref="N29:N32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10.4</oddHeader>
    <oddFooter>&amp;CSide &amp;P av &amp;N</oddFooter>
  </headerFooter>
  <colBreaks count="2" manualBreakCount="2">
    <brk id="13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Informasjon </vt:lpstr>
      <vt:lpstr>Oppgave 10.1 og 10.2</vt:lpstr>
      <vt:lpstr>Oppgave 10.3</vt:lpstr>
      <vt:lpstr>Oppgave 10.4 </vt:lpstr>
      <vt:lpstr>'Oppgave 10.4 '!Utskriftsområde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Øystein Hansen</cp:lastModifiedBy>
  <cp:lastPrinted>2009-08-17T11:06:47Z</cp:lastPrinted>
  <dcterms:created xsi:type="dcterms:W3CDTF">1997-01-16T18:32:43Z</dcterms:created>
  <dcterms:modified xsi:type="dcterms:W3CDTF">2024-08-14T14:03:27Z</dcterms:modified>
</cp:coreProperties>
</file>