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rondwinther/Google Drive/Trond HiVE/Forelesninger bedok/2019 Løsninger/"/>
    </mc:Choice>
  </mc:AlternateContent>
  <xr:revisionPtr revIDLastSave="0" documentId="13_ncr:1_{1AABB5A9-1A4D-7E40-AC34-760D3D33CDD8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12.1" sheetId="16" r:id="rId1"/>
    <sheet name="12.2" sheetId="17" r:id="rId2"/>
    <sheet name="12.3" sheetId="18" r:id="rId3"/>
    <sheet name="12.4" sheetId="19" r:id="rId4"/>
    <sheet name="12.5" sheetId="20" r:id="rId5"/>
    <sheet name="12.6 og 12.7" sheetId="21" r:id="rId6"/>
    <sheet name="12.8" sheetId="1" r:id="rId7"/>
    <sheet name="12.9" sheetId="23" r:id="rId8"/>
    <sheet name="12.10" sheetId="25" r:id="rId9"/>
    <sheet name="12.11" sheetId="26" r:id="rId10"/>
    <sheet name="12.12" sheetId="27" r:id="rId11"/>
    <sheet name="12.13" sheetId="28" r:id="rId12"/>
    <sheet name="12.14" sheetId="29" r:id="rId13"/>
    <sheet name="12.15" sheetId="30" r:id="rId14"/>
    <sheet name="12.16" sheetId="32" r:id="rId15"/>
    <sheet name="12.17" sheetId="33" r:id="rId16"/>
    <sheet name="12.18" sheetId="34" r:id="rId17"/>
    <sheet name="Ark1" sheetId="3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34" l="1"/>
  <c r="F20" i="34"/>
  <c r="F36" i="33"/>
  <c r="F34" i="33"/>
  <c r="F33" i="33"/>
  <c r="F32" i="32"/>
  <c r="E23" i="32"/>
  <c r="E21" i="32"/>
  <c r="E9" i="32"/>
  <c r="E18" i="29"/>
  <c r="E7" i="29"/>
  <c r="F9" i="20" l="1"/>
  <c r="F6" i="20"/>
  <c r="F5" i="20"/>
  <c r="F6" i="18"/>
  <c r="E3" i="18"/>
  <c r="F14" i="18" s="1"/>
  <c r="F22" i="17"/>
  <c r="F24" i="17" s="1"/>
  <c r="F25" i="17" s="1"/>
  <c r="F16" i="17"/>
  <c r="F17" i="17" s="1"/>
  <c r="F19" i="17" s="1"/>
  <c r="F12" i="17"/>
  <c r="F14" i="17" s="1"/>
  <c r="D10" i="17"/>
  <c r="G24" i="16"/>
  <c r="F22" i="16"/>
  <c r="D5" i="16"/>
  <c r="D3" i="16"/>
  <c r="F118" i="34" l="1"/>
  <c r="G14" i="34"/>
  <c r="H84" i="34"/>
  <c r="H85" i="34" s="1"/>
  <c r="G89" i="34"/>
  <c r="G87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53" i="34"/>
  <c r="F53" i="34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F67" i="34" s="1"/>
  <c r="F68" i="34" s="1"/>
  <c r="F69" i="34" s="1"/>
  <c r="F70" i="34" s="1"/>
  <c r="F71" i="34" s="1"/>
  <c r="F72" i="34" s="1"/>
  <c r="H52" i="34"/>
  <c r="G52" i="34"/>
  <c r="E53" i="34" s="1"/>
  <c r="F38" i="34"/>
  <c r="F22" i="34"/>
  <c r="F24" i="34" s="1"/>
  <c r="G36" i="33"/>
  <c r="G37" i="33" s="1"/>
  <c r="G13" i="33"/>
  <c r="G91" i="34" l="1"/>
  <c r="I53" i="34"/>
  <c r="I52" i="34"/>
  <c r="D53" i="34"/>
  <c r="G53" i="34"/>
  <c r="G24" i="34"/>
  <c r="E36" i="32"/>
  <c r="F37" i="32" s="1"/>
  <c r="E24" i="32"/>
  <c r="F9" i="32"/>
  <c r="E34" i="30"/>
  <c r="E33" i="30"/>
  <c r="E32" i="30"/>
  <c r="E35" i="30" s="1"/>
  <c r="D21" i="30"/>
  <c r="E13" i="30"/>
  <c r="E8" i="30"/>
  <c r="E7" i="30"/>
  <c r="D18" i="30" s="1"/>
  <c r="E4" i="30"/>
  <c r="E3" i="30"/>
  <c r="F25" i="29"/>
  <c r="F33" i="29" s="1"/>
  <c r="F18" i="29"/>
  <c r="F7" i="29"/>
  <c r="G11" i="28"/>
  <c r="G12" i="27"/>
  <c r="F17" i="26"/>
  <c r="E13" i="26"/>
  <c r="F16" i="26" s="1"/>
  <c r="F18" i="26" s="1"/>
  <c r="F21" i="26" s="1"/>
  <c r="F34" i="26" s="1"/>
  <c r="I78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F60" i="25"/>
  <c r="F61" i="25" s="1"/>
  <c r="F62" i="25" s="1"/>
  <c r="F63" i="25" s="1"/>
  <c r="F64" i="25" s="1"/>
  <c r="F65" i="25" s="1"/>
  <c r="F66" i="25" s="1"/>
  <c r="F67" i="25" s="1"/>
  <c r="F68" i="25" s="1"/>
  <c r="F69" i="25" s="1"/>
  <c r="F70" i="25" s="1"/>
  <c r="F71" i="25" s="1"/>
  <c r="F72" i="25" s="1"/>
  <c r="F73" i="25" s="1"/>
  <c r="F74" i="25" s="1"/>
  <c r="F75" i="25" s="1"/>
  <c r="F76" i="25" s="1"/>
  <c r="F77" i="25" s="1"/>
  <c r="F78" i="25" s="1"/>
  <c r="H59" i="25"/>
  <c r="G59" i="25"/>
  <c r="E59" i="25" s="1"/>
  <c r="I59" i="25" s="1"/>
  <c r="F59" i="25"/>
  <c r="H58" i="25"/>
  <c r="G58" i="25"/>
  <c r="E58" i="25" s="1"/>
  <c r="F32" i="25"/>
  <c r="F33" i="25" s="1"/>
  <c r="F34" i="25" s="1"/>
  <c r="H32" i="25"/>
  <c r="H33" i="25"/>
  <c r="H34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F15" i="25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H14" i="25"/>
  <c r="G14" i="25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39" i="23"/>
  <c r="F39" i="23"/>
  <c r="F40" i="23" s="1"/>
  <c r="F41" i="23" s="1"/>
  <c r="F42" i="23" s="1"/>
  <c r="F43" i="23" s="1"/>
  <c r="F44" i="23" s="1"/>
  <c r="F45" i="23" s="1"/>
  <c r="F46" i="23" s="1"/>
  <c r="F47" i="23" s="1"/>
  <c r="F48" i="23" s="1"/>
  <c r="H38" i="23"/>
  <c r="G38" i="23"/>
  <c r="E39" i="23" s="1"/>
  <c r="H22" i="23"/>
  <c r="H21" i="23"/>
  <c r="H20" i="23"/>
  <c r="H19" i="23"/>
  <c r="H18" i="23"/>
  <c r="H17" i="23"/>
  <c r="H16" i="23"/>
  <c r="H15" i="23"/>
  <c r="F15" i="23"/>
  <c r="F16" i="23" s="1"/>
  <c r="F17" i="23" s="1"/>
  <c r="F18" i="23" s="1"/>
  <c r="F19" i="23" s="1"/>
  <c r="F20" i="23" s="1"/>
  <c r="F21" i="23" s="1"/>
  <c r="F22" i="23" s="1"/>
  <c r="H14" i="23"/>
  <c r="G14" i="23"/>
  <c r="E15" i="23" s="1"/>
  <c r="H51" i="1"/>
  <c r="F51" i="1"/>
  <c r="F52" i="1" s="1"/>
  <c r="F53" i="1" s="1"/>
  <c r="F54" i="1" s="1"/>
  <c r="F55" i="1" s="1"/>
  <c r="F56" i="1" s="1"/>
  <c r="F57" i="1" s="1"/>
  <c r="H50" i="1"/>
  <c r="G50" i="1"/>
  <c r="D51" i="1" s="1"/>
  <c r="H20" i="1"/>
  <c r="H21" i="1"/>
  <c r="H22" i="1"/>
  <c r="H18" i="1"/>
  <c r="H19" i="1"/>
  <c r="H17" i="1"/>
  <c r="H16" i="1"/>
  <c r="H15" i="1"/>
  <c r="H14" i="1"/>
  <c r="F15" i="1"/>
  <c r="F16" i="1" s="1"/>
  <c r="F17" i="1" s="1"/>
  <c r="G14" i="1"/>
  <c r="E15" i="1" s="1"/>
  <c r="F32" i="29" l="1"/>
  <c r="F34" i="29" s="1"/>
  <c r="D59" i="25"/>
  <c r="I58" i="25"/>
  <c r="G27" i="34"/>
  <c r="G28" i="34" s="1"/>
  <c r="H101" i="34" s="1"/>
  <c r="H110" i="34" s="1"/>
  <c r="G92" i="34"/>
  <c r="G54" i="34"/>
  <c r="E54" i="34"/>
  <c r="I54" i="34" s="1"/>
  <c r="D54" i="34"/>
  <c r="F38" i="32"/>
  <c r="F52" i="32" s="1"/>
  <c r="F24" i="32"/>
  <c r="F27" i="32" s="1"/>
  <c r="E10" i="30"/>
  <c r="E14" i="30" s="1"/>
  <c r="F21" i="29"/>
  <c r="F26" i="29" s="1"/>
  <c r="D60" i="25"/>
  <c r="G60" i="25"/>
  <c r="G15" i="25"/>
  <c r="I14" i="25"/>
  <c r="D15" i="25"/>
  <c r="E15" i="25"/>
  <c r="I15" i="25" s="1"/>
  <c r="D15" i="23"/>
  <c r="D39" i="23"/>
  <c r="I14" i="23"/>
  <c r="F49" i="23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F62" i="23" s="1"/>
  <c r="F63" i="23" s="1"/>
  <c r="F64" i="23" s="1"/>
  <c r="F65" i="23" s="1"/>
  <c r="F66" i="23" s="1"/>
  <c r="F67" i="23" s="1"/>
  <c r="F68" i="23" s="1"/>
  <c r="F69" i="23" s="1"/>
  <c r="F70" i="23" s="1"/>
  <c r="F71" i="23" s="1"/>
  <c r="F72" i="23" s="1"/>
  <c r="F73" i="23" s="1"/>
  <c r="F74" i="23" s="1"/>
  <c r="F75" i="23" s="1"/>
  <c r="F76" i="23" s="1"/>
  <c r="F77" i="23" s="1"/>
  <c r="F78" i="23" s="1"/>
  <c r="F79" i="23" s="1"/>
  <c r="F80" i="23" s="1"/>
  <c r="F81" i="23" s="1"/>
  <c r="F82" i="23" s="1"/>
  <c r="F83" i="23" s="1"/>
  <c r="F84" i="23" s="1"/>
  <c r="F85" i="23" s="1"/>
  <c r="F86" i="23" s="1"/>
  <c r="I39" i="23"/>
  <c r="I38" i="23"/>
  <c r="G15" i="23"/>
  <c r="G16" i="23" s="1"/>
  <c r="G39" i="23"/>
  <c r="I15" i="23"/>
  <c r="E51" i="1"/>
  <c r="I51" i="1" s="1"/>
  <c r="I50" i="1"/>
  <c r="F58" i="1"/>
  <c r="F59" i="1" s="1"/>
  <c r="F60" i="1" s="1"/>
  <c r="F61" i="1" s="1"/>
  <c r="G51" i="1"/>
  <c r="E52" i="1" s="1"/>
  <c r="I15" i="1"/>
  <c r="F18" i="1"/>
  <c r="F19" i="1" s="1"/>
  <c r="D15" i="1"/>
  <c r="I14" i="1"/>
  <c r="G15" i="1"/>
  <c r="F10" i="20"/>
  <c r="F11" i="20" s="1"/>
  <c r="F7" i="20"/>
  <c r="F15" i="18"/>
  <c r="F16" i="18"/>
  <c r="F7" i="18"/>
  <c r="F8" i="18"/>
  <c r="D4" i="17"/>
  <c r="G3" i="20"/>
  <c r="F17" i="18"/>
  <c r="F9" i="18"/>
  <c r="D8" i="17"/>
  <c r="D6" i="17"/>
  <c r="G25" i="16"/>
  <c r="G16" i="16"/>
  <c r="G20" i="16" s="1"/>
  <c r="G9" i="16"/>
  <c r="G14" i="16" s="1"/>
  <c r="D7" i="16"/>
  <c r="D14" i="20" l="1"/>
  <c r="H94" i="34"/>
  <c r="G94" i="34"/>
  <c r="F53" i="32"/>
  <c r="F54" i="32" s="1"/>
  <c r="F55" i="32" s="1"/>
  <c r="F56" i="32" s="1"/>
  <c r="F58" i="32" s="1"/>
  <c r="F14" i="20"/>
  <c r="F16" i="20" s="1"/>
  <c r="D19" i="18"/>
  <c r="E55" i="34"/>
  <c r="I55" i="34" s="1"/>
  <c r="G55" i="34"/>
  <c r="D55" i="34"/>
  <c r="F33" i="34"/>
  <c r="F34" i="34" s="1"/>
  <c r="F51" i="32"/>
  <c r="F59" i="32" s="1"/>
  <c r="F27" i="29"/>
  <c r="F30" i="29"/>
  <c r="E60" i="25"/>
  <c r="I60" i="25" s="1"/>
  <c r="D61" i="25"/>
  <c r="G61" i="25"/>
  <c r="E16" i="25"/>
  <c r="I16" i="25" s="1"/>
  <c r="D16" i="25"/>
  <c r="G16" i="25"/>
  <c r="E16" i="23"/>
  <c r="I16" i="23" s="1"/>
  <c r="D16" i="23"/>
  <c r="E17" i="23"/>
  <c r="I17" i="23" s="1"/>
  <c r="G17" i="23"/>
  <c r="D17" i="23"/>
  <c r="G40" i="23"/>
  <c r="D40" i="23"/>
  <c r="E40" i="23"/>
  <c r="I40" i="23" s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G52" i="1"/>
  <c r="E53" i="1" s="1"/>
  <c r="I52" i="1"/>
  <c r="D52" i="1"/>
  <c r="F20" i="1"/>
  <c r="F21" i="1" s="1"/>
  <c r="F22" i="1" s="1"/>
  <c r="E16" i="1"/>
  <c r="I16" i="1" s="1"/>
  <c r="G16" i="1"/>
  <c r="D16" i="1"/>
  <c r="F19" i="18"/>
  <c r="H95" i="34" l="1"/>
  <c r="F60" i="32"/>
  <c r="E56" i="34"/>
  <c r="I56" i="34" s="1"/>
  <c r="G56" i="34"/>
  <c r="D56" i="34"/>
  <c r="D62" i="25"/>
  <c r="G62" i="25"/>
  <c r="E61" i="25"/>
  <c r="I61" i="25" s="1"/>
  <c r="G17" i="25"/>
  <c r="E17" i="25"/>
  <c r="I17" i="25" s="1"/>
  <c r="D17" i="25"/>
  <c r="D18" i="23"/>
  <c r="G18" i="23"/>
  <c r="E18" i="23"/>
  <c r="I18" i="23" s="1"/>
  <c r="E41" i="23"/>
  <c r="I41" i="23" s="1"/>
  <c r="D41" i="23"/>
  <c r="G41" i="23"/>
  <c r="F73" i="1"/>
  <c r="F74" i="1" s="1"/>
  <c r="I53" i="1"/>
  <c r="D53" i="1"/>
  <c r="G53" i="1"/>
  <c r="E54" i="1" s="1"/>
  <c r="E17" i="1"/>
  <c r="I17" i="1" s="1"/>
  <c r="D17" i="1"/>
  <c r="G17" i="1"/>
  <c r="F116" i="34" l="1"/>
  <c r="F119" i="34" s="1"/>
  <c r="F121" i="34" s="1"/>
  <c r="H102" i="34"/>
  <c r="E57" i="34"/>
  <c r="I57" i="34" s="1"/>
  <c r="G57" i="34"/>
  <c r="D57" i="34"/>
  <c r="E62" i="25"/>
  <c r="I62" i="25" s="1"/>
  <c r="D63" i="25"/>
  <c r="G63" i="25"/>
  <c r="E18" i="25"/>
  <c r="I18" i="25" s="1"/>
  <c r="D18" i="25"/>
  <c r="G18" i="25"/>
  <c r="G42" i="23"/>
  <c r="E42" i="23"/>
  <c r="I42" i="23" s="1"/>
  <c r="D42" i="23"/>
  <c r="E19" i="23"/>
  <c r="I19" i="23" s="1"/>
  <c r="G19" i="23"/>
  <c r="D19" i="23"/>
  <c r="G54" i="1"/>
  <c r="E55" i="1" s="1"/>
  <c r="I54" i="1"/>
  <c r="D54" i="1"/>
  <c r="D18" i="1"/>
  <c r="E18" i="1"/>
  <c r="I18" i="1" s="1"/>
  <c r="G18" i="1"/>
  <c r="H103" i="34" l="1"/>
  <c r="H104" i="34" s="1"/>
  <c r="H105" i="34" s="1"/>
  <c r="H106" i="34" s="1"/>
  <c r="H108" i="34"/>
  <c r="H111" i="34" s="1"/>
  <c r="E58" i="34"/>
  <c r="I58" i="34" s="1"/>
  <c r="G58" i="34"/>
  <c r="D58" i="34"/>
  <c r="D64" i="25"/>
  <c r="G64" i="25"/>
  <c r="E63" i="25"/>
  <c r="I63" i="25" s="1"/>
  <c r="G19" i="25"/>
  <c r="E19" i="25"/>
  <c r="I19" i="25" s="1"/>
  <c r="D19" i="25"/>
  <c r="D20" i="23"/>
  <c r="G20" i="23"/>
  <c r="E20" i="23"/>
  <c r="I20" i="23" s="1"/>
  <c r="E43" i="23"/>
  <c r="I43" i="23" s="1"/>
  <c r="D43" i="23"/>
  <c r="G43" i="23"/>
  <c r="I55" i="1"/>
  <c r="D55" i="1"/>
  <c r="G55" i="1"/>
  <c r="E56" i="1" s="1"/>
  <c r="E19" i="1"/>
  <c r="I19" i="1" s="1"/>
  <c r="D19" i="1"/>
  <c r="G19" i="1"/>
  <c r="E59" i="34" l="1"/>
  <c r="I59" i="34" s="1"/>
  <c r="D59" i="34"/>
  <c r="G59" i="34"/>
  <c r="E64" i="25"/>
  <c r="I64" i="25" s="1"/>
  <c r="D65" i="25"/>
  <c r="G65" i="25"/>
  <c r="E20" i="25"/>
  <c r="I20" i="25" s="1"/>
  <c r="D20" i="25"/>
  <c r="G20" i="25"/>
  <c r="G44" i="23"/>
  <c r="E44" i="23"/>
  <c r="I44" i="23" s="1"/>
  <c r="D44" i="23"/>
  <c r="E21" i="23"/>
  <c r="I21" i="23" s="1"/>
  <c r="G21" i="23"/>
  <c r="D21" i="23"/>
  <c r="G56" i="1"/>
  <c r="E57" i="1" s="1"/>
  <c r="D56" i="1"/>
  <c r="I56" i="1"/>
  <c r="D20" i="1"/>
  <c r="E20" i="1"/>
  <c r="G20" i="1"/>
  <c r="E60" i="34" l="1"/>
  <c r="I60" i="34" s="1"/>
  <c r="G60" i="34"/>
  <c r="D60" i="34"/>
  <c r="D66" i="25"/>
  <c r="G66" i="25"/>
  <c r="E65" i="25"/>
  <c r="I65" i="25" s="1"/>
  <c r="G21" i="25"/>
  <c r="E21" i="25"/>
  <c r="I21" i="25" s="1"/>
  <c r="D21" i="25"/>
  <c r="E45" i="23"/>
  <c r="I45" i="23" s="1"/>
  <c r="G45" i="23"/>
  <c r="D45" i="23"/>
  <c r="D22" i="23"/>
  <c r="G22" i="23"/>
  <c r="E22" i="23"/>
  <c r="I22" i="23" s="1"/>
  <c r="I24" i="23" s="1"/>
  <c r="I25" i="23" s="1"/>
  <c r="G57" i="1"/>
  <c r="E58" i="1" s="1"/>
  <c r="I57" i="1"/>
  <c r="D57" i="1"/>
  <c r="I20" i="1"/>
  <c r="E21" i="1"/>
  <c r="D21" i="1"/>
  <c r="G21" i="1"/>
  <c r="E61" i="34" l="1"/>
  <c r="I61" i="34" s="1"/>
  <c r="D61" i="34"/>
  <c r="G61" i="34"/>
  <c r="E66" i="25"/>
  <c r="I66" i="25" s="1"/>
  <c r="D67" i="25"/>
  <c r="G67" i="25"/>
  <c r="E22" i="25"/>
  <c r="I22" i="25" s="1"/>
  <c r="D22" i="25"/>
  <c r="G22" i="25"/>
  <c r="D46" i="23"/>
  <c r="E46" i="23"/>
  <c r="I46" i="23" s="1"/>
  <c r="G46" i="23"/>
  <c r="D58" i="1"/>
  <c r="I58" i="1"/>
  <c r="G58" i="1"/>
  <c r="E59" i="1" s="1"/>
  <c r="I21" i="1"/>
  <c r="G22" i="1"/>
  <c r="D22" i="1"/>
  <c r="E22" i="1"/>
  <c r="E62" i="34" l="1"/>
  <c r="I62" i="34" s="1"/>
  <c r="G62" i="34"/>
  <c r="D62" i="34"/>
  <c r="D68" i="25"/>
  <c r="G68" i="25"/>
  <c r="E67" i="25"/>
  <c r="I67" i="25" s="1"/>
  <c r="G23" i="25"/>
  <c r="D23" i="25"/>
  <c r="E23" i="25"/>
  <c r="I23" i="25" s="1"/>
  <c r="D47" i="23"/>
  <c r="G47" i="23"/>
  <c r="E47" i="23"/>
  <c r="I47" i="23" s="1"/>
  <c r="D59" i="1"/>
  <c r="I59" i="1"/>
  <c r="G59" i="1"/>
  <c r="E60" i="1" s="1"/>
  <c r="I22" i="1"/>
  <c r="I24" i="1" l="1"/>
  <c r="I25" i="1" s="1"/>
  <c r="E63" i="34"/>
  <c r="I63" i="34" s="1"/>
  <c r="G63" i="34"/>
  <c r="D63" i="34"/>
  <c r="E68" i="25"/>
  <c r="I68" i="25" s="1"/>
  <c r="D69" i="25"/>
  <c r="G69" i="25"/>
  <c r="E24" i="25"/>
  <c r="I24" i="25" s="1"/>
  <c r="D24" i="25"/>
  <c r="G24" i="25"/>
  <c r="D48" i="23"/>
  <c r="E48" i="23"/>
  <c r="I48" i="23" s="1"/>
  <c r="G48" i="23"/>
  <c r="I60" i="1"/>
  <c r="G60" i="1"/>
  <c r="E61" i="1" s="1"/>
  <c r="D60" i="1"/>
  <c r="E64" i="34" l="1"/>
  <c r="I64" i="34" s="1"/>
  <c r="G64" i="34"/>
  <c r="D64" i="34"/>
  <c r="D70" i="25"/>
  <c r="G70" i="25"/>
  <c r="E69" i="25"/>
  <c r="I69" i="25" s="1"/>
  <c r="G25" i="25"/>
  <c r="E25" i="25"/>
  <c r="I25" i="25" s="1"/>
  <c r="D25" i="25"/>
  <c r="E49" i="23"/>
  <c r="I49" i="23" s="1"/>
  <c r="G49" i="23"/>
  <c r="D49" i="23"/>
  <c r="D61" i="1"/>
  <c r="I61" i="1"/>
  <c r="G61" i="1"/>
  <c r="E62" i="1" s="1"/>
  <c r="E65" i="34" l="1"/>
  <c r="I65" i="34" s="1"/>
  <c r="D65" i="34"/>
  <c r="G65" i="34"/>
  <c r="E70" i="25"/>
  <c r="I70" i="25" s="1"/>
  <c r="D71" i="25"/>
  <c r="G71" i="25"/>
  <c r="E26" i="25"/>
  <c r="I26" i="25" s="1"/>
  <c r="D26" i="25"/>
  <c r="G26" i="25"/>
  <c r="D50" i="23"/>
  <c r="E50" i="23"/>
  <c r="I50" i="23" s="1"/>
  <c r="G50" i="23"/>
  <c r="D62" i="1"/>
  <c r="I62" i="1"/>
  <c r="G62" i="1"/>
  <c r="E63" i="1" s="1"/>
  <c r="E66" i="34" l="1"/>
  <c r="I66" i="34" s="1"/>
  <c r="G66" i="34"/>
  <c r="D66" i="34"/>
  <c r="D72" i="25"/>
  <c r="G72" i="25"/>
  <c r="E71" i="25"/>
  <c r="I71" i="25" s="1"/>
  <c r="G27" i="25"/>
  <c r="E27" i="25"/>
  <c r="I27" i="25" s="1"/>
  <c r="D27" i="25"/>
  <c r="E51" i="23"/>
  <c r="I51" i="23" s="1"/>
  <c r="G51" i="23"/>
  <c r="D51" i="23"/>
  <c r="D63" i="1"/>
  <c r="I63" i="1"/>
  <c r="G63" i="1"/>
  <c r="E64" i="1" s="1"/>
  <c r="E67" i="34" l="1"/>
  <c r="I67" i="34" s="1"/>
  <c r="D67" i="34"/>
  <c r="G67" i="34"/>
  <c r="E72" i="25"/>
  <c r="I72" i="25" s="1"/>
  <c r="D73" i="25"/>
  <c r="G73" i="25"/>
  <c r="E28" i="25"/>
  <c r="I28" i="25" s="1"/>
  <c r="D28" i="25"/>
  <c r="G28" i="25"/>
  <c r="D52" i="23"/>
  <c r="E52" i="23"/>
  <c r="I52" i="23" s="1"/>
  <c r="G52" i="23"/>
  <c r="I64" i="1"/>
  <c r="D64" i="1"/>
  <c r="G64" i="1"/>
  <c r="E65" i="1" s="1"/>
  <c r="E68" i="34" l="1"/>
  <c r="I68" i="34" s="1"/>
  <c r="G68" i="34"/>
  <c r="D68" i="34"/>
  <c r="D74" i="25"/>
  <c r="G74" i="25"/>
  <c r="E73" i="25"/>
  <c r="I73" i="25" s="1"/>
  <c r="G29" i="25"/>
  <c r="E29" i="25"/>
  <c r="I29" i="25" s="1"/>
  <c r="D29" i="25"/>
  <c r="E53" i="23"/>
  <c r="I53" i="23" s="1"/>
  <c r="G53" i="23"/>
  <c r="D53" i="23"/>
  <c r="D65" i="1"/>
  <c r="I65" i="1"/>
  <c r="G65" i="1"/>
  <c r="E66" i="1" s="1"/>
  <c r="E69" i="34" l="1"/>
  <c r="I69" i="34" s="1"/>
  <c r="G69" i="34"/>
  <c r="D69" i="34"/>
  <c r="E74" i="25"/>
  <c r="I74" i="25" s="1"/>
  <c r="D75" i="25"/>
  <c r="G75" i="25"/>
  <c r="E30" i="25"/>
  <c r="I30" i="25" s="1"/>
  <c r="D30" i="25"/>
  <c r="G30" i="25"/>
  <c r="E54" i="23"/>
  <c r="I54" i="23" s="1"/>
  <c r="G54" i="23"/>
  <c r="D54" i="23"/>
  <c r="D66" i="1"/>
  <c r="G66" i="1"/>
  <c r="E67" i="1" s="1"/>
  <c r="I66" i="1"/>
  <c r="E70" i="34" l="1"/>
  <c r="I70" i="34" s="1"/>
  <c r="D70" i="34"/>
  <c r="G70" i="34"/>
  <c r="D76" i="25"/>
  <c r="G76" i="25"/>
  <c r="E75" i="25"/>
  <c r="I75" i="25" s="1"/>
  <c r="G31" i="25"/>
  <c r="D31" i="25"/>
  <c r="E31" i="25"/>
  <c r="I31" i="25" s="1"/>
  <c r="G55" i="23"/>
  <c r="D55" i="23"/>
  <c r="E55" i="23"/>
  <c r="I55" i="23" s="1"/>
  <c r="G67" i="1"/>
  <c r="E68" i="1" s="1"/>
  <c r="D67" i="1"/>
  <c r="I67" i="1"/>
  <c r="E32" i="25" l="1"/>
  <c r="I32" i="25" s="1"/>
  <c r="G32" i="25"/>
  <c r="D32" i="25"/>
  <c r="E71" i="34"/>
  <c r="I71" i="34" s="1"/>
  <c r="D71" i="34"/>
  <c r="G71" i="34"/>
  <c r="E76" i="25"/>
  <c r="I76" i="25" s="1"/>
  <c r="D77" i="25"/>
  <c r="G77" i="25"/>
  <c r="E56" i="23"/>
  <c r="I56" i="23" s="1"/>
  <c r="G56" i="23"/>
  <c r="D56" i="23"/>
  <c r="G68" i="1"/>
  <c r="E69" i="1" s="1"/>
  <c r="I68" i="1"/>
  <c r="D68" i="1"/>
  <c r="D33" i="25" l="1"/>
  <c r="E33" i="25"/>
  <c r="I33" i="25" s="1"/>
  <c r="G33" i="25"/>
  <c r="E72" i="34"/>
  <c r="I72" i="34" s="1"/>
  <c r="I74" i="34" s="1"/>
  <c r="I75" i="34" s="1"/>
  <c r="D72" i="34"/>
  <c r="G72" i="34"/>
  <c r="D78" i="25"/>
  <c r="G78" i="25"/>
  <c r="E77" i="25"/>
  <c r="G57" i="23"/>
  <c r="E57" i="23"/>
  <c r="I57" i="23" s="1"/>
  <c r="D57" i="23"/>
  <c r="D69" i="1"/>
  <c r="I69" i="1"/>
  <c r="G69" i="1"/>
  <c r="I77" i="25" l="1"/>
  <c r="I80" i="25" s="1"/>
  <c r="I81" i="25" s="1"/>
  <c r="E34" i="25"/>
  <c r="I34" i="25" s="1"/>
  <c r="D34" i="25"/>
  <c r="G34" i="25"/>
  <c r="E58" i="23"/>
  <c r="I58" i="23" s="1"/>
  <c r="D58" i="23"/>
  <c r="G58" i="23"/>
  <c r="E70" i="1"/>
  <c r="I70" i="1" s="1"/>
  <c r="D70" i="1"/>
  <c r="G70" i="1"/>
  <c r="G59" i="23" l="1"/>
  <c r="D59" i="23"/>
  <c r="E59" i="23"/>
  <c r="I59" i="23" s="1"/>
  <c r="G71" i="1"/>
  <c r="E71" i="1"/>
  <c r="I71" i="1" s="1"/>
  <c r="D71" i="1"/>
  <c r="E60" i="23" l="1"/>
  <c r="I60" i="23" s="1"/>
  <c r="G60" i="23"/>
  <c r="D60" i="23"/>
  <c r="E72" i="1"/>
  <c r="I72" i="1" s="1"/>
  <c r="D72" i="1"/>
  <c r="G72" i="1"/>
  <c r="G61" i="23" l="1"/>
  <c r="E61" i="23"/>
  <c r="I61" i="23" s="1"/>
  <c r="D61" i="23"/>
  <c r="E73" i="1"/>
  <c r="I73" i="1" s="1"/>
  <c r="D73" i="1"/>
  <c r="G73" i="1"/>
  <c r="I36" i="25" l="1"/>
  <c r="I37" i="25" s="1"/>
  <c r="E62" i="23"/>
  <c r="I62" i="23" s="1"/>
  <c r="G62" i="23"/>
  <c r="D62" i="23"/>
  <c r="E74" i="1"/>
  <c r="I74" i="1" s="1"/>
  <c r="G74" i="1"/>
  <c r="D74" i="1"/>
  <c r="I76" i="1" l="1"/>
  <c r="I77" i="1" s="1"/>
  <c r="G63" i="23"/>
  <c r="D63" i="23"/>
  <c r="E63" i="23"/>
  <c r="I63" i="23" s="1"/>
  <c r="G64" i="23" l="1"/>
  <c r="D64" i="23"/>
  <c r="E64" i="23"/>
  <c r="I64" i="23" s="1"/>
  <c r="G65" i="23" l="1"/>
  <c r="E65" i="23"/>
  <c r="I65" i="23" s="1"/>
  <c r="D65" i="23"/>
  <c r="E66" i="23" l="1"/>
  <c r="I66" i="23" s="1"/>
  <c r="D66" i="23"/>
  <c r="G66" i="23"/>
  <c r="G67" i="23" l="1"/>
  <c r="D67" i="23"/>
  <c r="E67" i="23"/>
  <c r="I67" i="23" s="1"/>
  <c r="E68" i="23" l="1"/>
  <c r="I68" i="23" s="1"/>
  <c r="D68" i="23"/>
  <c r="G68" i="23"/>
  <c r="G69" i="23" l="1"/>
  <c r="E69" i="23"/>
  <c r="I69" i="23" s="1"/>
  <c r="D69" i="23"/>
  <c r="E70" i="23" l="1"/>
  <c r="I70" i="23" s="1"/>
  <c r="D70" i="23"/>
  <c r="G70" i="23"/>
  <c r="G71" i="23" l="1"/>
  <c r="E71" i="23"/>
  <c r="I71" i="23" s="1"/>
  <c r="D71" i="23"/>
  <c r="E72" i="23" l="1"/>
  <c r="I72" i="23" s="1"/>
  <c r="G72" i="23"/>
  <c r="D72" i="23"/>
  <c r="G73" i="23" l="1"/>
  <c r="D73" i="23"/>
  <c r="E73" i="23"/>
  <c r="I73" i="23" s="1"/>
  <c r="E74" i="23" l="1"/>
  <c r="I74" i="23" s="1"/>
  <c r="G74" i="23"/>
  <c r="D74" i="23"/>
  <c r="G75" i="23" l="1"/>
  <c r="D75" i="23"/>
  <c r="E75" i="23"/>
  <c r="I75" i="23" s="1"/>
  <c r="E76" i="23" l="1"/>
  <c r="I76" i="23" s="1"/>
  <c r="D76" i="23"/>
  <c r="G76" i="23"/>
  <c r="E77" i="23" l="1"/>
  <c r="I77" i="23" s="1"/>
  <c r="G77" i="23"/>
  <c r="D77" i="23"/>
  <c r="E78" i="23" l="1"/>
  <c r="I78" i="23" s="1"/>
  <c r="G78" i="23"/>
  <c r="D78" i="23"/>
  <c r="E79" i="23" l="1"/>
  <c r="I79" i="23" s="1"/>
  <c r="G79" i="23"/>
  <c r="D79" i="23"/>
  <c r="E80" i="23" l="1"/>
  <c r="I80" i="23" s="1"/>
  <c r="D80" i="23"/>
  <c r="G80" i="23"/>
  <c r="E81" i="23" l="1"/>
  <c r="I81" i="23" s="1"/>
  <c r="D81" i="23"/>
  <c r="G81" i="23"/>
  <c r="G82" i="23" l="1"/>
  <c r="E82" i="23"/>
  <c r="I82" i="23" s="1"/>
  <c r="D82" i="23"/>
  <c r="G83" i="23" l="1"/>
  <c r="E83" i="23"/>
  <c r="I83" i="23" s="1"/>
  <c r="D83" i="23"/>
  <c r="G84" i="23" l="1"/>
  <c r="D84" i="23"/>
  <c r="E84" i="23"/>
  <c r="I84" i="23" s="1"/>
  <c r="D85" i="23" l="1"/>
  <c r="E85" i="23"/>
  <c r="I85" i="23" s="1"/>
  <c r="G85" i="23"/>
  <c r="G86" i="23" l="1"/>
  <c r="E86" i="23"/>
  <c r="I86" i="23" s="1"/>
  <c r="I88" i="23" s="1"/>
  <c r="I89" i="23" s="1"/>
  <c r="D86" i="23"/>
</calcChain>
</file>

<file path=xl/sharedStrings.xml><?xml version="1.0" encoding="utf-8"?>
<sst xmlns="http://schemas.openxmlformats.org/spreadsheetml/2006/main" count="615" uniqueCount="355">
  <si>
    <t>a)</t>
  </si>
  <si>
    <t>b)</t>
  </si>
  <si>
    <t>c)</t>
  </si>
  <si>
    <t>f)</t>
  </si>
  <si>
    <t xml:space="preserve">b) </t>
  </si>
  <si>
    <t xml:space="preserve">c) </t>
  </si>
  <si>
    <t>1 800 000 / 4 =</t>
  </si>
  <si>
    <t>Kapital bundet i varelager:</t>
  </si>
  <si>
    <t>Kapitalbindingen:</t>
  </si>
  <si>
    <t xml:space="preserve">d) </t>
  </si>
  <si>
    <t>Varekostnaden:</t>
  </si>
  <si>
    <t>1 800 000 / 10 =</t>
  </si>
  <si>
    <t xml:space="preserve">e) </t>
  </si>
  <si>
    <t>1 722 000 / 6 =</t>
  </si>
  <si>
    <t>Kapital bundet i kundefordringer:</t>
  </si>
  <si>
    <t>4 200 000 / 7 =</t>
  </si>
  <si>
    <t>Gjennomsnittlig kapitalbehov i</t>
  </si>
  <si>
    <t>varelager:</t>
  </si>
  <si>
    <t>kundefordringer:</t>
  </si>
  <si>
    <t>Sum</t>
  </si>
  <si>
    <t>Ikke besvart - se læreboka.</t>
  </si>
  <si>
    <t>Endringer i gjennomsnittlig kapitalbehov:</t>
  </si>
  <si>
    <t>a) kapitalbehovet øker</t>
  </si>
  <si>
    <t>b) kapitalbehovet øker</t>
  </si>
  <si>
    <t>c) kapitalbehovet minker</t>
  </si>
  <si>
    <t>d) kapitalbehovet minker</t>
  </si>
  <si>
    <t>e) kapitalbehovet minker</t>
  </si>
  <si>
    <t>leverandørgjeld:</t>
  </si>
  <si>
    <t xml:space="preserve">Budsjettert salg uten merverdiavgift for 20x2: </t>
  </si>
  <si>
    <t>Kundefordringer 20x2:</t>
  </si>
  <si>
    <t>Kundefordringer 20x1:</t>
  </si>
  <si>
    <t>Økning i kapitalbehovet</t>
  </si>
  <si>
    <t>Hvis bedriften øker kredittiden i 20x2, øker kapitalbehovet med</t>
  </si>
  <si>
    <t>Forutsatt at den effektive renten på kassekreditten er 9 %, koster dette</t>
  </si>
  <si>
    <t>Bjørg Aas mener det er bedre å beholde 15 dager kredittid, og heller bruke disse pengene til service og andre tiltak.</t>
  </si>
  <si>
    <t>De fleste bedriftsledere mener nok at det er fordelaktig med kortest mulig kredittider. Det reduserer kapitalbindingen</t>
  </si>
  <si>
    <t>og risikoen for tap på fordringer, og totalrentabiliteten blir høyere.</t>
  </si>
  <si>
    <t>Hovedmomenter:</t>
  </si>
  <si>
    <t>(varebeholdningen)</t>
  </si>
  <si>
    <t>- langsiktig kapital (egenkapital og langsiktig gjeld) bør finansiere anleggsmidlene og de minst likvide omløpsmidlene</t>
  </si>
  <si>
    <t>- resten av kapitalbehovet kan finansieres med kortsiktig gjeld</t>
  </si>
  <si>
    <t>Noen viktige faktorer:</t>
  </si>
  <si>
    <t>- behovet for varelager</t>
  </si>
  <si>
    <t>- kundenes behov/ønske om kreditt</t>
  </si>
  <si>
    <t>- behovet for inventar og annet utstyr</t>
  </si>
  <si>
    <t>- behovet for andre driftsmidler</t>
  </si>
  <si>
    <t>- hvor mye av dette behovet som kan finansieres ved leverandørgjeld</t>
  </si>
  <si>
    <t>Beregningene bygger på følgende:</t>
  </si>
  <si>
    <t>Lånebeløp</t>
  </si>
  <si>
    <t>Engangsgebyr</t>
  </si>
  <si>
    <t>Termingebyr</t>
  </si>
  <si>
    <t>Avdragstid (år)</t>
  </si>
  <si>
    <t>Antall terminer per år</t>
  </si>
  <si>
    <t xml:space="preserve">Nominell rente per år </t>
  </si>
  <si>
    <t>serielån</t>
  </si>
  <si>
    <t xml:space="preserve">Lånetype </t>
  </si>
  <si>
    <t>Vi kan sette opp denne kontantstrømmen</t>
  </si>
  <si>
    <t>År 1</t>
  </si>
  <si>
    <t>Renter</t>
  </si>
  <si>
    <t>Avdrag</t>
  </si>
  <si>
    <t>Lån i starten av perioden (IB)</t>
  </si>
  <si>
    <t>Gebyrer</t>
  </si>
  <si>
    <t>Lån i slutten av perioden (UB)</t>
  </si>
  <si>
    <t>Kontant-strøm</t>
  </si>
  <si>
    <t>År 2</t>
  </si>
  <si>
    <t>IR (I14:I22) =</t>
  </si>
  <si>
    <t>År</t>
  </si>
  <si>
    <t>Termin</t>
  </si>
  <si>
    <t>Den effektive lånerenten er per kvartal</t>
  </si>
  <si>
    <t>og omregnet per år</t>
  </si>
  <si>
    <t xml:space="preserve">a) </t>
  </si>
  <si>
    <t>IR (I39:I63) =</t>
  </si>
  <si>
    <t>Tilbud bank A</t>
  </si>
  <si>
    <t>År 3</t>
  </si>
  <si>
    <t>År 0</t>
  </si>
  <si>
    <t>År 4</t>
  </si>
  <si>
    <t>Tilbud fra bank B</t>
  </si>
  <si>
    <t>Lånet i bank A har den laveste effektive renten, og er derfor mest lønnsomt.</t>
  </si>
  <si>
    <t>År 5</t>
  </si>
  <si>
    <t>IR (I14:I34) =</t>
  </si>
  <si>
    <t>IR (I39:I87) =</t>
  </si>
  <si>
    <t>forskudd serielån</t>
  </si>
  <si>
    <t>IR (I51:I71) =</t>
  </si>
  <si>
    <t>annuitet</t>
  </si>
  <si>
    <t xml:space="preserve">Nominell rente per halvår </t>
  </si>
  <si>
    <t xml:space="preserve"> 6 % / 2 =</t>
  </si>
  <si>
    <t>For å finne den effektive renten per halvår, må vi legge inn den nominelle renten per halvår.</t>
  </si>
  <si>
    <t>Terminbeløp</t>
  </si>
  <si>
    <t>Sum å betale hvert halvår</t>
  </si>
  <si>
    <t>Den effektive renten per halvår</t>
  </si>
  <si>
    <t>Omregnet effektiv rente per år</t>
  </si>
  <si>
    <t>Kreditttid  i dager</t>
  </si>
  <si>
    <t>Rabatt</t>
  </si>
  <si>
    <t>Betalingsbetingelse - alternativ 1</t>
  </si>
  <si>
    <t>Betalingsbetingelse - alternativ 2</t>
  </si>
  <si>
    <t xml:space="preserve">Vi kan se på betalingsbetingelse slik at vi må betale leverandøren 2,5% rente for å "låne" </t>
  </si>
  <si>
    <t xml:space="preserve">betalingen i 45 dager. For å sammenligne dette med renten på kassekreditten, må vi </t>
  </si>
  <si>
    <t>gjøre om til årlig rente.</t>
  </si>
  <si>
    <t xml:space="preserve">Leverandørkreditten har en effektiv rente på 22 %. Bedriften bør velge kontant betaling, </t>
  </si>
  <si>
    <t>da kassekreditten har en effektiv rente på “bare” 13,4 %.</t>
  </si>
  <si>
    <t>Tips: det er også mulig å enkelt regne en tilnærmet rente ved</t>
  </si>
  <si>
    <t xml:space="preserve">Den lengre leverandørkreditten har en effektiv rente på 27 %. </t>
  </si>
  <si>
    <t>Investeringer i driftsmidler for oppstart</t>
  </si>
  <si>
    <t>Innredning av lokalene</t>
  </si>
  <si>
    <t>Inventar</t>
  </si>
  <si>
    <t>Varebil</t>
  </si>
  <si>
    <t>Direkte oppstartkostnder</t>
  </si>
  <si>
    <t>Oppstartkostnader</t>
  </si>
  <si>
    <t>Arbeidskapital</t>
  </si>
  <si>
    <t>Varelager</t>
  </si>
  <si>
    <t>Kundefordringer</t>
  </si>
  <si>
    <t>Leverandørgjeld</t>
  </si>
  <si>
    <t xml:space="preserve">  avgift og MVA</t>
  </si>
  <si>
    <t>Skylding skattetrekk, arb.g.</t>
  </si>
  <si>
    <t>Likviditetsreserve</t>
  </si>
  <si>
    <t>Total kapitalbehov</t>
  </si>
  <si>
    <t>Finansiering</t>
  </si>
  <si>
    <t>Aksjekapital</t>
  </si>
  <si>
    <t>Langsiktig lån</t>
  </si>
  <si>
    <t>Kassekreditt (her valgt lik likviditetsreserven)</t>
  </si>
  <si>
    <t>Total finansiering</t>
  </si>
  <si>
    <t>Rente langsiktig lån første året</t>
  </si>
  <si>
    <t>Rente kassekreditt</t>
  </si>
  <si>
    <t>Provisjon</t>
  </si>
  <si>
    <t>Rente *)</t>
  </si>
  <si>
    <t>Sum finansieringskostnader første året</t>
  </si>
  <si>
    <t xml:space="preserve">Økt omsetning:  </t>
  </si>
  <si>
    <t xml:space="preserve">Økt varekostnad:  </t>
  </si>
  <si>
    <t>Økningen i kapitalbehovet vil være</t>
  </si>
  <si>
    <t xml:space="preserve">Varelager: </t>
  </si>
  <si>
    <t xml:space="preserve">1 520 000 / 8 = </t>
  </si>
  <si>
    <t xml:space="preserve">Kundefordringer: </t>
  </si>
  <si>
    <t>Innredning og utstyr:</t>
  </si>
  <si>
    <t xml:space="preserve">Sum </t>
  </si>
  <si>
    <t>Leverandøren dekker</t>
  </si>
  <si>
    <t xml:space="preserve">Udekket kapitalbehov </t>
  </si>
  <si>
    <t>Anleggsmidler og varelager bør finansieres med langsiktig kapital. Den langsiktige kapitalen bør utgjøre</t>
  </si>
  <si>
    <t>Dermed er bedriften i en situasjon hvor den synes å være overfinansiert. Overfinansieringen utgjør</t>
  </si>
  <si>
    <t>kr (790 000 – 719 726) =</t>
  </si>
  <si>
    <t xml:space="preserve">kr (600 000 + 190 000) = </t>
  </si>
  <si>
    <t>Vi bør stille spørsmålet om bedriften har tatt med alle faktorene som øker kapitalbehovet. Blant annet er ikke</t>
  </si>
  <si>
    <t>behovet for økt likviditetsreserve med i kalkylen. En nærliggende løsning er dermed å slå seg til ro med at denne</t>
  </si>
  <si>
    <t>overfinansieringen er nødvendig for å dekke slike poster, samt å fange opp sesongvariasjoner i kapitalbehovet.</t>
  </si>
  <si>
    <t>Dersom bedriften likevel kommer frem til at økningen i kapitalbehovet er beregnet tilstrekkelig romslig, er det</t>
  </si>
  <si>
    <t>antagelig mest lønnsomt å avtale kontant betaling kombinert med rabattordninger med et par av de største leverandørene.</t>
  </si>
  <si>
    <t>Leverandørgjelden kan da reduseres. Vi forutsetter en egenkapitalandel på 40 %.</t>
  </si>
  <si>
    <t>Finansieringsplanen blir i tilfelle slik:</t>
  </si>
  <si>
    <t>Langsiktig gjeld</t>
  </si>
  <si>
    <t>Egenkapital</t>
  </si>
  <si>
    <t xml:space="preserve">Sum finansiering </t>
  </si>
  <si>
    <t>Direkte kostnder til flytting og oppstart</t>
  </si>
  <si>
    <t>Flyttekostnader</t>
  </si>
  <si>
    <t>Markedskampanje</t>
  </si>
  <si>
    <t>Innredning og utstyr</t>
  </si>
  <si>
    <t>Totalt kapitalbehov</t>
  </si>
  <si>
    <t xml:space="preserve">Økt dekningsbidrag </t>
  </si>
  <si>
    <t>Økt husleie</t>
  </si>
  <si>
    <t>Faste reduseres</t>
  </si>
  <si>
    <t>Variabel husleie</t>
  </si>
  <si>
    <t>Innbetalingsoverskudd</t>
  </si>
  <si>
    <t>Deretter bør vi undersøke hvor stor innbetalingsoverskudd prosjektet gir</t>
  </si>
  <si>
    <t>Til slutt bør vi undersøke om prosjektet er lønnsomt</t>
  </si>
  <si>
    <t>Investering</t>
  </si>
  <si>
    <t>Innbetalingsoverskudd og arbeidkapital *)</t>
  </si>
  <si>
    <t>Nåverdi av innbetalingsoverskuddene</t>
  </si>
  <si>
    <t>Investeringsutgiften</t>
  </si>
  <si>
    <t>Netto nårverdi fra prosjektet</t>
  </si>
  <si>
    <t>Nåverdien er postitiv med kr 303 696 og dermed er prosjektet lønnsomt.</t>
  </si>
  <si>
    <t>Lønner det seg å benytte kassekreditt til å betale leverandørene kontant?</t>
  </si>
  <si>
    <t xml:space="preserve">Det er en svakhet i oppgaven at kredittiden til leverandørene ikke er oppgitt. </t>
  </si>
  <si>
    <t>Vi har forutsatt like lang kredittid som kundene får, altså 45 +15 dager</t>
  </si>
  <si>
    <t>Kapitalbehov</t>
  </si>
  <si>
    <t>Gjennomsnittlig kapitalbehov i arbeidskapital</t>
  </si>
  <si>
    <t>Finansieringsplan</t>
  </si>
  <si>
    <t>Vi anbefaler at minimum 20 % og anbefalt 40 % bør komme fra egenkapital</t>
  </si>
  <si>
    <t>"Lettvint å ha stor kassekreditt"</t>
  </si>
  <si>
    <t>osv.</t>
  </si>
  <si>
    <t>Lønner det seg å benytte leverandørkreditten:</t>
  </si>
  <si>
    <t>Forenklet beregning:</t>
  </si>
  <si>
    <t>Endring arbeidskapital</t>
  </si>
  <si>
    <t xml:space="preserve">Varelager fast utstilling </t>
  </si>
  <si>
    <t>Vi bør beregne om langsiktig lån eller kassekreditten har lavest effektiv rente</t>
  </si>
  <si>
    <t>Kassekreditt (tilnærmet beregning)</t>
  </si>
  <si>
    <t>Lånebehov</t>
  </si>
  <si>
    <t>Salgsinntekter</t>
  </si>
  <si>
    <t>Bruttofortjeneste (20 %)</t>
  </si>
  <si>
    <t>Overtid</t>
  </si>
  <si>
    <t>Feriepenger av overtid (70 000*12 %)</t>
  </si>
  <si>
    <t>Arbeidsgiveravgiftav sum lønn (220 000 + 70 000 + 8 400)* 14,1 %</t>
  </si>
  <si>
    <t>Øvrige kostnader</t>
  </si>
  <si>
    <t>Sum lønnskostnader</t>
  </si>
  <si>
    <t>Sum utbetalinger</t>
  </si>
  <si>
    <t>Internrente (= totalrentabiliteten)</t>
  </si>
  <si>
    <t>Nåverdien er postitiv med kr 54 305 og dermed er prosjektet lønnsomt.</t>
  </si>
  <si>
    <t>Budsjettert regnskapsmessig resultat</t>
  </si>
  <si>
    <t>Avskrivning av investeringene</t>
  </si>
  <si>
    <t>300 000/ 5 år</t>
  </si>
  <si>
    <t>Driftsresultat</t>
  </si>
  <si>
    <t>Oppgaven legger opp til å simulere på tallene. Det overlates til deg!</t>
  </si>
  <si>
    <r>
      <t xml:space="preserve">1 300 000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55 / 100 =</t>
    </r>
  </si>
  <si>
    <r>
      <t xml:space="preserve">2 400 000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75 / 100 =</t>
    </r>
  </si>
  <si>
    <r>
      <t xml:space="preserve">(2 400 000 </t>
    </r>
    <r>
      <rPr>
        <sz val="11"/>
        <color theme="1"/>
        <rFont val="Calibri"/>
        <family val="2"/>
      </rPr>
      <t>· 45)</t>
    </r>
    <r>
      <rPr>
        <sz val="11"/>
        <color theme="1"/>
        <rFont val="Calibri"/>
        <family val="2"/>
        <scheme val="minor"/>
      </rPr>
      <t>/ 365</t>
    </r>
    <r>
      <rPr>
        <sz val="11"/>
        <color theme="1"/>
        <rFont val="Calibri"/>
        <family val="2"/>
        <scheme val="minor"/>
      </rPr>
      <t xml:space="preserve"> =</t>
    </r>
  </si>
  <si>
    <r>
      <t xml:space="preserve">6 000 000 </t>
    </r>
    <r>
      <rPr>
        <sz val="11"/>
        <color theme="1"/>
        <rFont val="Calibri"/>
        <family val="2"/>
      </rPr>
      <t>· 3</t>
    </r>
    <r>
      <rPr>
        <sz val="11"/>
        <color theme="1"/>
        <rFont val="Calibri"/>
        <family val="2"/>
        <scheme val="minor"/>
      </rPr>
      <t xml:space="preserve"> /12 =</t>
    </r>
  </si>
  <si>
    <r>
      <t xml:space="preserve">715 000 </t>
    </r>
    <r>
      <rPr>
        <sz val="11"/>
        <color theme="1"/>
        <rFont val="Calibri"/>
        <family val="2"/>
      </rPr>
      <t>· 40</t>
    </r>
    <r>
      <rPr>
        <sz val="11"/>
        <color theme="1"/>
        <rFont val="Calibri"/>
        <family val="2"/>
        <scheme val="minor"/>
      </rPr>
      <t xml:space="preserve"> / 365 </t>
    </r>
    <r>
      <rPr>
        <sz val="11"/>
        <color theme="1"/>
        <rFont val="Calibri"/>
        <family val="2"/>
        <scheme val="minor"/>
      </rPr>
      <t>=</t>
    </r>
  </si>
  <si>
    <t>Når bruttofortjenesten er 45 %, vil varekostnaden utgjøre 55 % av varesalget</t>
  </si>
  <si>
    <t>ekskl. mververdiavgift.</t>
  </si>
  <si>
    <t>Her utgjør varekostnaden 75 % av varesalget.</t>
  </si>
  <si>
    <t>Varesalget ekskl. merverdiavgift: 3 075 000 : 1,25 =</t>
  </si>
  <si>
    <r>
      <t>(2 460 000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70) /</t>
    </r>
    <r>
      <rPr>
        <sz val="11"/>
        <color theme="1"/>
        <rFont val="Calibri"/>
        <family val="2"/>
        <scheme val="minor"/>
      </rPr>
      <t xml:space="preserve"> 100 =</t>
    </r>
  </si>
  <si>
    <t>Varekostnaden utgjør 70 % av salget.</t>
  </si>
  <si>
    <r>
      <t xml:space="preserve">900 000 </t>
    </r>
    <r>
      <rPr>
        <sz val="11"/>
        <color theme="1"/>
        <rFont val="Calibri"/>
        <family val="2"/>
      </rPr>
      <t>· 20</t>
    </r>
    <r>
      <rPr>
        <sz val="11"/>
        <color theme="1"/>
        <rFont val="Calibri"/>
        <family val="2"/>
        <scheme val="minor"/>
      </rPr>
      <t xml:space="preserve"> / 365 =</t>
    </r>
  </si>
  <si>
    <r>
      <t xml:space="preserve">4 800 000 </t>
    </r>
    <r>
      <rPr>
        <sz val="11"/>
        <color theme="1"/>
        <rFont val="Calibri"/>
        <family val="2"/>
      </rPr>
      <t>· 1</t>
    </r>
    <r>
      <rPr>
        <sz val="11"/>
        <color theme="1"/>
        <rFont val="Calibri"/>
        <family val="2"/>
        <scheme val="minor"/>
      </rPr>
      <t xml:space="preserve"> /12 =</t>
    </r>
  </si>
  <si>
    <r>
      <t xml:space="preserve">3 000 000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0,8 </t>
    </r>
    <r>
      <rPr>
        <sz val="11"/>
        <color theme="1"/>
        <rFont val="Calibri"/>
        <family val="2"/>
      </rPr>
      <t xml:space="preserve">· 36 </t>
    </r>
    <r>
      <rPr>
        <sz val="11"/>
        <color theme="1"/>
        <rFont val="Calibri"/>
        <family val="2"/>
        <scheme val="minor"/>
      </rPr>
      <t>/ 365 =</t>
    </r>
  </si>
  <si>
    <t>e)</t>
  </si>
  <si>
    <t>Kredittsalg ekskl. mva.: 5 485 000 / 1,25 =</t>
  </si>
  <si>
    <r>
      <t xml:space="preserve">Kapitalbinding: 4 388 000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2 / 12 =</t>
    </r>
  </si>
  <si>
    <t>Salg ekskl. mva.: 5 000 000 / 1,25 =</t>
  </si>
  <si>
    <r>
      <t xml:space="preserve">Kredittsalg ekskl. mva.: 4 000 000 </t>
    </r>
    <r>
      <rPr>
        <sz val="11"/>
        <color theme="1"/>
        <rFont val="Calibri"/>
        <family val="2"/>
      </rPr>
      <t>· 60 / 100 =</t>
    </r>
  </si>
  <si>
    <r>
      <t xml:space="preserve">Kapitalbinding: 2 400 000 </t>
    </r>
    <r>
      <rPr>
        <sz val="11"/>
        <color theme="1"/>
        <rFont val="Calibri"/>
        <family val="2"/>
      </rPr>
      <t>· 50</t>
    </r>
    <r>
      <rPr>
        <sz val="11"/>
        <color theme="1"/>
        <rFont val="Calibri"/>
        <family val="2"/>
        <scheme val="minor"/>
      </rPr>
      <t>/ 365 =</t>
    </r>
  </si>
  <si>
    <t>g)</t>
  </si>
  <si>
    <t>Varekostnaden utgjør 70 % av varesalget ekskl. mva.</t>
  </si>
  <si>
    <r>
      <t xml:space="preserve">Varesalget uten mva. blir  4 200 000 </t>
    </r>
    <r>
      <rPr>
        <sz val="11"/>
        <color theme="1"/>
        <rFont val="Calibri"/>
        <family val="2"/>
      </rPr>
      <t>· 100 / 70 =</t>
    </r>
  </si>
  <si>
    <r>
      <t xml:space="preserve">Kredittsalg ekskl. mva. 6 000 000 </t>
    </r>
    <r>
      <rPr>
        <sz val="11"/>
        <color theme="1"/>
        <rFont val="Calibri"/>
        <family val="2"/>
      </rPr>
      <t>· 70 / 100 =</t>
    </r>
  </si>
  <si>
    <r>
      <t xml:space="preserve">Kapital bundet i kundefordringer: 4 200 000 </t>
    </r>
    <r>
      <rPr>
        <sz val="11"/>
        <color theme="1"/>
        <rFont val="Calibri"/>
        <family val="2"/>
      </rPr>
      <t>· 1 / 12 =</t>
    </r>
  </si>
  <si>
    <r>
      <t xml:space="preserve">Varekostnad: 1 500 000 </t>
    </r>
    <r>
      <rPr>
        <sz val="11"/>
        <color theme="1"/>
        <rFont val="Calibri"/>
        <family val="2"/>
      </rPr>
      <t>· 66,67 / 100 =</t>
    </r>
  </si>
  <si>
    <r>
      <t xml:space="preserve">1 000 000 </t>
    </r>
    <r>
      <rPr>
        <sz val="11"/>
        <color theme="1"/>
        <rFont val="Calibri"/>
        <family val="2"/>
      </rPr>
      <t>· 2 / 12 =</t>
    </r>
  </si>
  <si>
    <r>
      <t xml:space="preserve">1 500 000 </t>
    </r>
    <r>
      <rPr>
        <sz val="11"/>
        <color theme="1"/>
        <rFont val="Calibri"/>
        <family val="2"/>
      </rPr>
      <t xml:space="preserve">· 36 </t>
    </r>
    <r>
      <rPr>
        <sz val="11"/>
        <color theme="1"/>
        <rFont val="Calibri"/>
        <family val="2"/>
        <scheme val="minor"/>
      </rPr>
      <t>/ 365 =</t>
    </r>
  </si>
  <si>
    <r>
      <t xml:space="preserve">1 500 000 </t>
    </r>
    <r>
      <rPr>
        <sz val="11"/>
        <color theme="1"/>
        <rFont val="Calibri"/>
        <family val="2"/>
      </rPr>
      <t>· 20</t>
    </r>
    <r>
      <rPr>
        <sz val="11"/>
        <color theme="1"/>
        <rFont val="Calibri"/>
        <family val="2"/>
        <scheme val="minor"/>
      </rPr>
      <t xml:space="preserve"> / 365 =</t>
    </r>
  </si>
  <si>
    <r>
      <t xml:space="preserve">1 000 000 </t>
    </r>
    <r>
      <rPr>
        <sz val="11"/>
        <color theme="1"/>
        <rFont val="Calibri"/>
        <family val="2"/>
      </rPr>
      <t>· 1 / 12 =</t>
    </r>
  </si>
  <si>
    <r>
      <t xml:space="preserve">1 500 000 </t>
    </r>
    <r>
      <rPr>
        <sz val="11"/>
        <color theme="1"/>
        <rFont val="Calibri"/>
        <family val="2"/>
      </rPr>
      <t>· 20</t>
    </r>
    <r>
      <rPr>
        <sz val="11"/>
        <color theme="1"/>
        <rFont val="Calibri"/>
        <family val="2"/>
        <scheme val="minor"/>
      </rPr>
      <t xml:space="preserve"> / 360 =</t>
    </r>
  </si>
  <si>
    <t>Nedgang i kapitalbehovet:</t>
  </si>
  <si>
    <r>
      <t xml:space="preserve">kr 28 000 000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1,2 = </t>
    </r>
  </si>
  <si>
    <r>
      <t xml:space="preserve">33 600 000 </t>
    </r>
    <r>
      <rPr>
        <sz val="11"/>
        <color theme="1"/>
        <rFont val="Calibri"/>
        <family val="2"/>
      </rPr>
      <t xml:space="preserve">· 25 </t>
    </r>
    <r>
      <rPr>
        <sz val="11"/>
        <color theme="1"/>
        <rFont val="Calibri"/>
        <family val="2"/>
        <scheme val="minor"/>
      </rPr>
      <t>/ 365 =</t>
    </r>
  </si>
  <si>
    <r>
      <t xml:space="preserve">28 000 000 </t>
    </r>
    <r>
      <rPr>
        <sz val="11"/>
        <color theme="1"/>
        <rFont val="Calibri"/>
        <family val="2"/>
      </rPr>
      <t>· 25</t>
    </r>
    <r>
      <rPr>
        <sz val="11"/>
        <color theme="1"/>
        <rFont val="Calibri"/>
        <family val="2"/>
        <scheme val="minor"/>
      </rPr>
      <t xml:space="preserve"> / 365 =</t>
    </r>
  </si>
  <si>
    <r>
      <t xml:space="preserve">33 600 000 </t>
    </r>
    <r>
      <rPr>
        <sz val="11"/>
        <color theme="1"/>
        <rFont val="Calibri"/>
        <family val="2"/>
      </rPr>
      <t>· 35</t>
    </r>
    <r>
      <rPr>
        <sz val="11"/>
        <color theme="1"/>
        <rFont val="Calibri"/>
        <family val="2"/>
        <scheme val="minor"/>
      </rPr>
      <t xml:space="preserve"> / 365 =</t>
    </r>
  </si>
  <si>
    <r>
      <t xml:space="preserve">920 548 </t>
    </r>
    <r>
      <rPr>
        <sz val="11"/>
        <color theme="1"/>
        <rFont val="Calibri"/>
        <family val="2"/>
      </rPr>
      <t>· 0,09 =</t>
    </r>
  </si>
  <si>
    <t>- egenkapitalen bør være robust. Dersom viksomheten er noe risikofylt, bør den være minst 30 %</t>
  </si>
  <si>
    <r>
      <t>(1+4,7%)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- 1 =</t>
    </r>
  </si>
  <si>
    <t>Den effektive lånerenten er per halvår</t>
  </si>
  <si>
    <r>
      <t>+RENTE((10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2);-20210;(300 000-1000))=</t>
    </r>
  </si>
  <si>
    <r>
      <t>-AVDRAG(3,0% ;(10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2); 300 000) =</t>
    </r>
  </si>
  <si>
    <r>
      <t>(1+2,5%)</t>
    </r>
    <r>
      <rPr>
        <vertAlign val="superscript"/>
        <sz val="11"/>
        <color theme="1"/>
        <rFont val="Calibri"/>
        <family val="2"/>
        <scheme val="minor"/>
      </rPr>
      <t>(365/45)</t>
    </r>
    <r>
      <rPr>
        <sz val="11"/>
        <color theme="1"/>
        <rFont val="Calibri"/>
        <family val="2"/>
        <scheme val="minor"/>
      </rPr>
      <t xml:space="preserve"> - 1 =</t>
    </r>
  </si>
  <si>
    <t>Årlig renteeffekt av 2,5 % i 45 dager</t>
  </si>
  <si>
    <r>
      <t xml:space="preserve">2,5 % i 45 dager blir 0,6 % per dag (2,5 %/45) og  20 % per år (0,6 %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365)</t>
    </r>
  </si>
  <si>
    <t>Årlig renteeffekt av 3 % i 45 dager</t>
  </si>
  <si>
    <r>
      <t>(1+3%)</t>
    </r>
    <r>
      <rPr>
        <vertAlign val="superscript"/>
        <sz val="11"/>
        <color theme="1"/>
        <rFont val="Calibri"/>
        <family val="2"/>
        <scheme val="minor"/>
      </rPr>
      <t>(365/(60-15))</t>
    </r>
    <r>
      <rPr>
        <sz val="11"/>
        <color theme="1"/>
        <rFont val="Calibri"/>
        <family val="2"/>
        <scheme val="minor"/>
      </rPr>
      <t xml:space="preserve"> - 1 =</t>
    </r>
  </si>
  <si>
    <r>
      <t xml:space="preserve">3 % i 45 dager blir 0,7 % per dag (3 %/45) og  24 % per år (0,7%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365)</t>
    </r>
  </si>
  <si>
    <t xml:space="preserve">Vi kan se på betalingsbetingelse alternativ 1 slik at vi må betale leverandøren 3 % rente for å "låne" </t>
  </si>
  <si>
    <t xml:space="preserve">betalingen i 45 dager (60 – 15). </t>
  </si>
  <si>
    <t>1 005 000 – 300 000 – 120 000 =</t>
  </si>
  <si>
    <r>
      <t xml:space="preserve">585 000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8 % =</t>
    </r>
  </si>
  <si>
    <r>
      <t xml:space="preserve">120 000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0,5 % =</t>
    </r>
  </si>
  <si>
    <r>
      <t xml:space="preserve">60 000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9 % =</t>
    </r>
  </si>
  <si>
    <r>
      <t xml:space="preserve">kr 7 600 000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0,25 =</t>
    </r>
  </si>
  <si>
    <r>
      <t xml:space="preserve">kr 1 900 000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100/125 =</t>
    </r>
  </si>
  <si>
    <r>
      <t xml:space="preserve">1 900 000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0,3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35/365 =</t>
    </r>
  </si>
  <si>
    <r>
      <t xml:space="preserve">1 520 000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30/365 =</t>
    </r>
  </si>
  <si>
    <r>
      <t xml:space="preserve">844 658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40 % =</t>
    </r>
  </si>
  <si>
    <t>790 000 – 337 863 =</t>
  </si>
  <si>
    <t>124 932 – 70 274 =</t>
  </si>
  <si>
    <t>Når dekningsgraden er 25 %, vil varekostnaden</t>
  </si>
  <si>
    <t>Omløpshastighet på 6 betyr en lagringstid på tilnærmet 60 dager.</t>
  </si>
  <si>
    <t>Omsetningsøkning: 50 % av 2 400 000 = kr 1 200 000</t>
  </si>
  <si>
    <t>øke med 75 % kr 1 200 000 = kr 900 000.</t>
  </si>
  <si>
    <r>
      <t xml:space="preserve">900 000 </t>
    </r>
    <r>
      <rPr>
        <sz val="11"/>
        <color theme="1"/>
        <rFont val="Calibri"/>
        <family val="2"/>
      </rPr>
      <t xml:space="preserve">· 60 / 365 </t>
    </r>
  </si>
  <si>
    <t>Økning i kredittsalg: 15 % av 1 200 000 = kr 180 000</t>
  </si>
  <si>
    <r>
      <t xml:space="preserve">180 000 </t>
    </r>
    <r>
      <rPr>
        <sz val="11"/>
        <color theme="1"/>
        <rFont val="Calibri"/>
        <family val="2"/>
      </rPr>
      <t>· 30 / 365</t>
    </r>
  </si>
  <si>
    <t>25 % av kr 1 200 000 =</t>
  </si>
  <si>
    <r>
      <t xml:space="preserve">2 400 000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6% =</t>
    </r>
  </si>
  <si>
    <t>Netto nåverdi fra prosjektet</t>
  </si>
  <si>
    <r>
      <t>(1 + 2%)</t>
    </r>
    <r>
      <rPr>
        <vertAlign val="superscript"/>
        <sz val="11"/>
        <color theme="1"/>
        <rFont val="Calibri"/>
        <family val="2"/>
        <scheme val="minor"/>
      </rPr>
      <t>(365/60)</t>
    </r>
    <r>
      <rPr>
        <sz val="11"/>
        <color theme="1"/>
        <rFont val="Calibri"/>
        <family val="2"/>
        <scheme val="minor"/>
      </rPr>
      <t xml:space="preserve"> – 1 =</t>
    </r>
  </si>
  <si>
    <t>Årlig renteeffekt av 2 % i 60 dager</t>
  </si>
  <si>
    <r>
      <t xml:space="preserve">2 % i 60 dager blir 0,033 % per dag (2 %/60) og  12 % per år (0,033 %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365)</t>
    </r>
  </si>
  <si>
    <t>Vi bør velge kassekredittlån til å betale leverandørgjelden kontant.</t>
  </si>
  <si>
    <t>En bruttofortjeneste på 25 % betyr at varekostnaden kan beregnes</t>
  </si>
  <si>
    <t>slik: 75 % av kr 960 000 = kr 720 000</t>
  </si>
  <si>
    <r>
      <t xml:space="preserve">720 000 </t>
    </r>
    <r>
      <rPr>
        <sz val="11"/>
        <color theme="1"/>
        <rFont val="Calibri"/>
        <family val="2"/>
      </rPr>
      <t xml:space="preserve">· </t>
    </r>
    <r>
      <rPr>
        <sz val="11"/>
        <color theme="1"/>
        <rFont val="Calibri"/>
        <family val="2"/>
        <scheme val="minor"/>
      </rPr>
      <t>45/365 =</t>
    </r>
  </si>
  <si>
    <t>Kredittsalg: 10 % av kr 960 000 = kr 96 000</t>
  </si>
  <si>
    <r>
      <t xml:space="preserve">96 000 </t>
    </r>
    <r>
      <rPr>
        <sz val="11"/>
        <color theme="1"/>
        <rFont val="Calibri"/>
        <family val="2"/>
      </rPr>
      <t>· 1,5 / 12</t>
    </r>
  </si>
  <si>
    <r>
      <t xml:space="preserve">18 % per år (0,05 %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365). </t>
    </r>
  </si>
  <si>
    <t xml:space="preserve">Kontant – 1,5 % rabatt eller 30 dagers kreditt vil si 0,05 % per dag (1,5 %/30)  eller </t>
  </si>
  <si>
    <t>Direkte kostnader til flytting og oppstart</t>
  </si>
  <si>
    <t>Sum kapitalbehov</t>
  </si>
  <si>
    <t>Vi avrunder beløpet til hele tusen</t>
  </si>
  <si>
    <t>Varekostnad: 80 % av kr 3 400 000 = kr 2 720 000</t>
  </si>
  <si>
    <r>
      <t xml:space="preserve">2 720 000 </t>
    </r>
    <r>
      <rPr>
        <sz val="11"/>
        <color theme="1"/>
        <rFont val="Calibri"/>
        <family val="2"/>
      </rPr>
      <t>· 10 / 365</t>
    </r>
  </si>
  <si>
    <r>
      <t xml:space="preserve">3 400 000 </t>
    </r>
    <r>
      <rPr>
        <sz val="11"/>
        <color theme="1"/>
        <rFont val="Calibri"/>
        <family val="2"/>
      </rPr>
      <t xml:space="preserve">· </t>
    </r>
    <r>
      <rPr>
        <sz val="11"/>
        <color theme="1"/>
        <rFont val="Calibri"/>
        <family val="2"/>
        <scheme val="minor"/>
      </rPr>
      <t>(20+10) / 365 =</t>
    </r>
  </si>
  <si>
    <r>
      <t xml:space="preserve">Likviditetsreserve: 3 400 000 </t>
    </r>
    <r>
      <rPr>
        <sz val="11"/>
        <color theme="1"/>
        <rFont val="Calibri"/>
        <family val="2"/>
      </rPr>
      <t>· 15 / 365 =</t>
    </r>
  </si>
  <si>
    <r>
      <t xml:space="preserve">35 %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794 000</t>
    </r>
  </si>
  <si>
    <r>
      <t xml:space="preserve">8 % + 0,5 % </t>
    </r>
    <r>
      <rPr>
        <sz val="11"/>
        <color theme="1"/>
        <rFont val="Calibri"/>
        <family val="2"/>
      </rPr>
      <t xml:space="preserve">· </t>
    </r>
    <r>
      <rPr>
        <sz val="11"/>
        <color theme="1"/>
        <rFont val="Calibri"/>
        <family val="2"/>
        <scheme val="minor"/>
      </rPr>
      <t>4 / 70 % =</t>
    </r>
  </si>
  <si>
    <r>
      <t>(1 + 2,2 %)</t>
    </r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– 1 =</t>
    </r>
  </si>
  <si>
    <r>
      <t xml:space="preserve">Varekostnader (80 %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3 400 000)</t>
    </r>
  </si>
  <si>
    <t>ikke å benytte leverandørkreditten.</t>
  </si>
  <si>
    <t>Vi kan kjapt fastslå at bankfinansieringen er lavere enn dette og det lønner seg</t>
  </si>
  <si>
    <t>faktisk er.</t>
  </si>
  <si>
    <t>Det er viktig at vi ikke gir inntrykk av at beregningene er mer nøyaktig enn det de</t>
  </si>
  <si>
    <t>i normalperioder bare delvis behøver å bli utnyttet</t>
  </si>
  <si>
    <t>Vi vurderer at 400 000 vil være maks langsiktig gjeld, fordi Likviditetsreserven vil</t>
  </si>
  <si>
    <t xml:space="preserve">Totalrentabiliteten (119 526 / 793 699) </t>
  </si>
  <si>
    <t xml:space="preserve">3 % rente for å utsette betalingen i 45 dager (60 – 15). </t>
  </si>
  <si>
    <t xml:space="preserve">Vi kan se på betalingsbetingelse alternativ 1 slik at vi må betale leverandøren </t>
  </si>
  <si>
    <t>kassekredittrenten på 10 % (Merk at kassekredittrenten på 10 % av effektiv rente)</t>
  </si>
  <si>
    <t>Den lengre leverandørkreditten har en effektiv rente på 13 % som er høyere enn</t>
  </si>
  <si>
    <t>ha en egenkapitalfinansiering.</t>
  </si>
  <si>
    <t xml:space="preserve">Selv om banken har tilbudt å finansiere hele med kassekreditt bør utvidelsen </t>
  </si>
  <si>
    <t>Ja, på kort sikt kan det oppleves slik, men det er større risiko ved kassekreditt</t>
  </si>
  <si>
    <t xml:space="preserve">enn avtalt langsiktig lån. Banken foretar minst en gang i året en fornyet </t>
  </si>
  <si>
    <t>kort varsel.</t>
  </si>
  <si>
    <t>vurdering av kassekreditt. Kreditten kan da trekkes tilbake med meget</t>
  </si>
  <si>
    <t>kredittramme. Vi må betale denne provisjonen, selv om vi ikke benytter lånet.</t>
  </si>
  <si>
    <t xml:space="preserve">Renten på kassekreditt blir av banken vurdert til å ha høyere risiko og skal derfor </t>
  </si>
  <si>
    <t xml:space="preserve">ha høyere rente. Kassekreditt til næringslivet vil ha en provisjon av tildelt </t>
  </si>
  <si>
    <t>forutsetninger.</t>
  </si>
  <si>
    <t xml:space="preserve">Alle parametre er i utgangspunktet usikre og kan simuleres med andre </t>
  </si>
  <si>
    <t>- Kredittsalget blir mer enn 10 %.</t>
  </si>
  <si>
    <t xml:space="preserve">For eksempel: </t>
  </si>
  <si>
    <t>- Omsetningen blir lavere enn 960 000</t>
  </si>
  <si>
    <t>- Investeringen blir dyrere</t>
  </si>
  <si>
    <t>av tilgjengelig låneramme.</t>
  </si>
  <si>
    <t xml:space="preserve">*) Vi  forutsetter at gjennomsnittlig utnyttelse på lånet er 1/2 parten av </t>
  </si>
  <si>
    <r>
      <t>(1 + 3,1 %)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-1 =</t>
    </r>
  </si>
  <si>
    <t>rente.</t>
  </si>
  <si>
    <t>Forskuddsrenter betyr at rentene må betales på et tidligere tidspunkt. Det gir høyere effektiv</t>
  </si>
  <si>
    <r>
      <t xml:space="preserve">(1 + 2,2 %) 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– 1 =</t>
    </r>
  </si>
  <si>
    <r>
      <t>(1 + 0,9 %)</t>
    </r>
    <r>
      <rPr>
        <vertAlign val="superscript"/>
        <sz val="11"/>
        <color theme="1"/>
        <rFont val="Calibri"/>
        <family val="2"/>
        <scheme val="minor"/>
      </rPr>
      <t xml:space="preserve">12 </t>
    </r>
    <r>
      <rPr>
        <sz val="11"/>
        <color theme="1"/>
        <rFont val="Calibri"/>
        <family val="2"/>
        <scheme val="minor"/>
      </rPr>
      <t xml:space="preserve"> – 1 =</t>
    </r>
  </si>
  <si>
    <r>
      <t>(1 + 2,4 %)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– 1 =</t>
    </r>
  </si>
  <si>
    <r>
      <t>(1 + 0,9 %)</t>
    </r>
    <r>
      <rPr>
        <vertAlign val="superscript"/>
        <sz val="11"/>
        <color theme="1"/>
        <rFont val="Calibri"/>
        <family val="2"/>
        <scheme val="minor"/>
      </rPr>
      <t xml:space="preserve">12 </t>
    </r>
    <r>
      <rPr>
        <sz val="11"/>
        <color theme="1"/>
        <rFont val="Calibri"/>
        <family val="2"/>
        <scheme val="minor"/>
      </rPr>
      <t>– 1 =</t>
    </r>
  </si>
  <si>
    <t>Det langsiktige lånet er mye billigere enn kassekreditten og forskjellen i effektiv rente fra 6,9 % i</t>
  </si>
  <si>
    <t xml:space="preserve"> finansieres ved langsiktig gjeld.</t>
  </si>
  <si>
    <t>motsetning til 10,9 % er så stor at mest mulig av løpende finansieringsbehov bør</t>
  </si>
  <si>
    <t>Lønn årslønn (vi forutsetter er inklusiv feriepenger)</t>
  </si>
  <si>
    <t>d) Budsjett</t>
  </si>
  <si>
    <t>Simulering</t>
  </si>
  <si>
    <t>(se vedlegg for funksjonsargumenter for NNV)</t>
  </si>
  <si>
    <t>Nåverdi av innbetalingsoverskuddene (avrundet)</t>
  </si>
  <si>
    <t>Funksjonsargumenter for NNV</t>
  </si>
  <si>
    <t>Funksjonsargumenter for AVRUND</t>
  </si>
  <si>
    <t>Vedlegg: funksjonsargumenter</t>
  </si>
  <si>
    <t>Løsning oppgave 12.5</t>
  </si>
  <si>
    <t>Løsning oppgave 12.2</t>
  </si>
  <si>
    <t>Løsning oppgave 12.3</t>
  </si>
  <si>
    <t>Løsning oppgave 12.4</t>
  </si>
  <si>
    <t>Løsning oppgave 12.6</t>
  </si>
  <si>
    <t>Løsning oppgave 12.7</t>
  </si>
  <si>
    <t>Løsning oppgave 12.8</t>
  </si>
  <si>
    <t>Løsning oppgave 12.9</t>
  </si>
  <si>
    <t>Løsning oppgave 12.10</t>
  </si>
  <si>
    <t>Løsning oppgave 12.11</t>
  </si>
  <si>
    <t>Løsning oppgave 12.12</t>
  </si>
  <si>
    <t>Løsning oppgave 12.13</t>
  </si>
  <si>
    <t>Løsning oppgave 12.14</t>
  </si>
  <si>
    <t>Løsning oppgave 12.15</t>
  </si>
  <si>
    <t>Løsning oppgave 12.16</t>
  </si>
  <si>
    <t>Løsning oppgave 12.17</t>
  </si>
  <si>
    <t>Løsning oppgave 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</si>
</sst>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kr&quot;\ #,##0;[Red]&quot;kr&quot;\ \-#,##0"/>
    <numFmt numFmtId="165" formatCode="&quot;kr&quot;\ #,##0.00;[Red]&quot;kr&quot;\ \-#,##0.00"/>
    <numFmt numFmtId="166" formatCode="_ &quot;kr&quot;\ * #,##0_ ;_ &quot;kr&quot;\ * \-#,##0_ ;_ &quot;kr&quot;\ * &quot;-&quot;_ ;_ @_ "/>
    <numFmt numFmtId="167" formatCode="_ &quot;kr&quot;\ * #,##0.00_ ;_ &quot;kr&quot;\ * \-#,##0.00_ ;_ &quot;kr&quot;\ * &quot;-&quot;??_ ;_ @_ "/>
    <numFmt numFmtId="168" formatCode="_ * #,##0.00_ ;_ * \-#,##0.00_ ;_ * &quot;-&quot;??_ ;_ @_ "/>
    <numFmt numFmtId="169" formatCode="_(* #,##0.00_);_(* \(#,##0.00\);_(* &quot;-&quot;??_);_(@_)"/>
    <numFmt numFmtId="170" formatCode="0.0\ 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.5"/>
      <color theme="1"/>
      <name val="Frutiger 45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4" fillId="0" borderId="0"/>
    <xf numFmtId="167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3" fontId="0" fillId="0" borderId="0" xfId="0" applyNumberFormat="1"/>
    <xf numFmtId="0" fontId="8" fillId="0" borderId="0" xfId="0" applyFont="1"/>
    <xf numFmtId="3" fontId="0" fillId="0" borderId="0" xfId="0" quotePrefix="1" applyNumberFormat="1"/>
    <xf numFmtId="0" fontId="0" fillId="0" borderId="0" xfId="0" quotePrefix="1"/>
    <xf numFmtId="3" fontId="0" fillId="0" borderId="3" xfId="0" quotePrefix="1" applyNumberFormat="1" applyBorder="1"/>
    <xf numFmtId="3" fontId="0" fillId="0" borderId="1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166" fontId="0" fillId="0" borderId="3" xfId="0" quotePrefix="1" applyNumberFormat="1" applyBorder="1"/>
    <xf numFmtId="166" fontId="0" fillId="0" borderId="0" xfId="0" applyNumberFormat="1"/>
    <xf numFmtId="0" fontId="0" fillId="3" borderId="0" xfId="0" applyFill="1"/>
    <xf numFmtId="3" fontId="0" fillId="2" borderId="0" xfId="0" applyNumberFormat="1" applyFill="1"/>
    <xf numFmtId="166" fontId="0" fillId="2" borderId="0" xfId="0" applyNumberFormat="1" applyFill="1"/>
    <xf numFmtId="170" fontId="0" fillId="2" borderId="0" xfId="0" applyNumberFormat="1" applyFill="1"/>
    <xf numFmtId="9" fontId="0" fillId="0" borderId="0" xfId="0" applyNumberFormat="1"/>
    <xf numFmtId="0" fontId="0" fillId="3" borderId="0" xfId="0" applyFill="1" applyAlignment="1">
      <alignment wrapText="1"/>
    </xf>
    <xf numFmtId="10" fontId="0" fillId="0" borderId="0" xfId="0" applyNumberFormat="1"/>
    <xf numFmtId="0" fontId="0" fillId="3" borderId="0" xfId="0" applyFill="1"/>
    <xf numFmtId="170" fontId="0" fillId="0" borderId="0" xfId="0" applyNumberFormat="1"/>
    <xf numFmtId="0" fontId="7" fillId="0" borderId="0" xfId="0" applyFont="1"/>
    <xf numFmtId="3" fontId="0" fillId="2" borderId="0" xfId="0" applyNumberFormat="1" applyFill="1"/>
    <xf numFmtId="165" fontId="0" fillId="0" borderId="0" xfId="0" applyNumberFormat="1"/>
    <xf numFmtId="166" fontId="0" fillId="0" borderId="2" xfId="0" applyNumberFormat="1" applyBorder="1"/>
    <xf numFmtId="170" fontId="0" fillId="0" borderId="3" xfId="0" applyNumberFormat="1" applyBorder="1"/>
    <xf numFmtId="0" fontId="0" fillId="2" borderId="0" xfId="0" applyNumberFormat="1" applyFill="1"/>
    <xf numFmtId="9" fontId="0" fillId="2" borderId="0" xfId="0" applyNumberFormat="1" applyFill="1"/>
    <xf numFmtId="0" fontId="9" fillId="0" borderId="0" xfId="0" applyFont="1" applyAlignment="1">
      <alignment vertical="center" wrapText="1"/>
    </xf>
    <xf numFmtId="164" fontId="0" fillId="0" borderId="0" xfId="0" applyNumberFormat="1" applyBorder="1"/>
    <xf numFmtId="3" fontId="0" fillId="0" borderId="0" xfId="0" quotePrefix="1" applyNumberFormat="1" applyBorder="1"/>
    <xf numFmtId="166" fontId="0" fillId="0" borderId="0" xfId="0" quotePrefix="1" applyNumberFormat="1" applyBorder="1"/>
    <xf numFmtId="170" fontId="0" fillId="0" borderId="0" xfId="0" quotePrefix="1" applyNumberFormat="1"/>
    <xf numFmtId="166" fontId="0" fillId="0" borderId="3" xfId="0" applyNumberFormat="1" applyBorder="1"/>
    <xf numFmtId="0" fontId="0" fillId="3" borderId="0" xfId="0" applyFill="1" applyAlignment="1">
      <alignment horizontal="center" wrapText="1"/>
    </xf>
    <xf numFmtId="0" fontId="0" fillId="0" borderId="0" xfId="0" applyFill="1"/>
    <xf numFmtId="3" fontId="0" fillId="0" borderId="0" xfId="0" applyNumberFormat="1" applyFill="1"/>
    <xf numFmtId="0" fontId="0" fillId="4" borderId="0" xfId="0" quotePrefix="1" applyFill="1"/>
    <xf numFmtId="0" fontId="12" fillId="0" borderId="0" xfId="0" applyFont="1"/>
    <xf numFmtId="0" fontId="0" fillId="0" borderId="0" xfId="0" applyFont="1"/>
    <xf numFmtId="0" fontId="0" fillId="0" borderId="0" xfId="0" quotePrefix="1" applyFont="1"/>
    <xf numFmtId="166" fontId="0" fillId="0" borderId="0" xfId="0" applyNumberFormat="1" applyFont="1" applyBorder="1"/>
    <xf numFmtId="166" fontId="0" fillId="0" borderId="3" xfId="0" applyNumberFormat="1" applyFont="1" applyBorder="1"/>
    <xf numFmtId="166" fontId="0" fillId="0" borderId="0" xfId="0" applyNumberFormat="1" applyFont="1"/>
    <xf numFmtId="3" fontId="0" fillId="0" borderId="1" xfId="0" quotePrefix="1" applyNumberFormat="1" applyFont="1" applyBorder="1"/>
    <xf numFmtId="3" fontId="0" fillId="0" borderId="3" xfId="0" quotePrefix="1" applyNumberFormat="1" applyFont="1" applyBorder="1"/>
    <xf numFmtId="166" fontId="0" fillId="0" borderId="3" xfId="0" quotePrefix="1" applyNumberFormat="1" applyFont="1" applyBorder="1"/>
    <xf numFmtId="0" fontId="13" fillId="0" borderId="0" xfId="0" applyFont="1"/>
    <xf numFmtId="166" fontId="13" fillId="0" borderId="0" xfId="0" applyNumberFormat="1" applyFont="1"/>
    <xf numFmtId="0" fontId="0" fillId="0" borderId="0" xfId="0" quotePrefix="1" applyFill="1"/>
    <xf numFmtId="9" fontId="0" fillId="0" borderId="0" xfId="0" applyNumberFormat="1" applyFill="1"/>
    <xf numFmtId="170" fontId="0" fillId="0" borderId="0" xfId="0" applyNumberFormat="1" applyFill="1"/>
    <xf numFmtId="166" fontId="0" fillId="0" borderId="0" xfId="0" applyNumberFormat="1" applyFill="1" applyBorder="1"/>
    <xf numFmtId="0" fontId="9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0" xfId="0" quotePrefix="1" applyFont="1" applyFill="1"/>
    <xf numFmtId="166" fontId="0" fillId="0" borderId="3" xfId="0" applyNumberFormat="1" applyFont="1" applyFill="1" applyBorder="1"/>
    <xf numFmtId="3" fontId="0" fillId="0" borderId="0" xfId="0" quotePrefix="1" applyNumberFormat="1" applyFill="1"/>
    <xf numFmtId="3" fontId="0" fillId="0" borderId="3" xfId="0" applyNumberFormat="1" applyFont="1" applyFill="1" applyBorder="1"/>
    <xf numFmtId="165" fontId="0" fillId="0" borderId="0" xfId="0" applyNumberFormat="1" applyBorder="1"/>
    <xf numFmtId="0" fontId="0" fillId="3" borderId="0" xfId="0" applyFill="1"/>
    <xf numFmtId="3" fontId="0" fillId="2" borderId="0" xfId="0" applyNumberFormat="1" applyFill="1"/>
  </cellXfs>
  <cellStyles count="14">
    <cellStyle name="Komma 2" xfId="2" xr:uid="{00000000-0005-0000-0000-000000000000}"/>
    <cellStyle name="Normal" xfId="0" builtinId="0"/>
    <cellStyle name="Normal 2" xfId="3" xr:uid="{00000000-0005-0000-0000-000002000000}"/>
    <cellStyle name="Normal 3" xfId="5" xr:uid="{00000000-0005-0000-0000-000003000000}"/>
    <cellStyle name="Normal 4" xfId="7" xr:uid="{00000000-0005-0000-0000-000004000000}"/>
    <cellStyle name="Normal 5" xfId="9" xr:uid="{00000000-0005-0000-0000-000005000000}"/>
    <cellStyle name="Normal 6" xfId="11" xr:uid="{00000000-0005-0000-0000-000006000000}"/>
    <cellStyle name="Normal 6 2" xfId="12" xr:uid="{00000000-0005-0000-0000-000007000000}"/>
    <cellStyle name="Normal 7" xfId="1" xr:uid="{00000000-0005-0000-0000-000008000000}"/>
    <cellStyle name="Normal 7 2" xfId="13" xr:uid="{00000000-0005-0000-0000-000009000000}"/>
    <cellStyle name="Prosent 2" xfId="10" xr:uid="{00000000-0005-0000-0000-00000A000000}"/>
    <cellStyle name="Prosent 3" xfId="4" xr:uid="{00000000-0005-0000-0000-00000B000000}"/>
    <cellStyle name="Tusenskille 2" xfId="6" xr:uid="{00000000-0005-0000-0000-00000C000000}"/>
    <cellStyle name="Valuta 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36</xdr:row>
      <xdr:rowOff>116174</xdr:rowOff>
    </xdr:from>
    <xdr:to>
      <xdr:col>6</xdr:col>
      <xdr:colOff>723901</xdr:colOff>
      <xdr:row>46</xdr:row>
      <xdr:rowOff>75923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6" y="7021799"/>
          <a:ext cx="4838700" cy="18647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22</xdr:row>
      <xdr:rowOff>57150</xdr:rowOff>
    </xdr:from>
    <xdr:to>
      <xdr:col>6</xdr:col>
      <xdr:colOff>717739</xdr:colOff>
      <xdr:row>31</xdr:row>
      <xdr:rowOff>133093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6" y="4267200"/>
          <a:ext cx="4832538" cy="179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62</xdr:row>
      <xdr:rowOff>124264</xdr:rowOff>
    </xdr:from>
    <xdr:to>
      <xdr:col>5</xdr:col>
      <xdr:colOff>762000</xdr:colOff>
      <xdr:row>72</xdr:row>
      <xdr:rowOff>28299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2249589"/>
          <a:ext cx="4800599" cy="1809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128</xdr:row>
      <xdr:rowOff>85725</xdr:rowOff>
    </xdr:from>
    <xdr:to>
      <xdr:col>8</xdr:col>
      <xdr:colOff>685068</xdr:colOff>
      <xdr:row>142</xdr:row>
      <xdr:rowOff>104439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5403175"/>
          <a:ext cx="5857143" cy="26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145</xdr:row>
      <xdr:rowOff>28574</xdr:rowOff>
    </xdr:from>
    <xdr:to>
      <xdr:col>8</xdr:col>
      <xdr:colOff>703808</xdr:colOff>
      <xdr:row>163</xdr:row>
      <xdr:rowOff>56713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6" y="28775024"/>
          <a:ext cx="5799682" cy="3457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J27"/>
  <sheetViews>
    <sheetView tabSelected="1" zoomScale="150" workbookViewId="0">
      <selection sqref="A1:XFD1"/>
    </sheetView>
  </sheetViews>
  <sheetFormatPr baseColWidth="10" defaultRowHeight="15"/>
  <cols>
    <col min="1" max="1" width="4.1640625" customWidth="1"/>
  </cols>
  <sheetData>
    <row r="1" spans="1:10" s="4" customFormat="1" ht="16">
      <c r="A1" s="6"/>
    </row>
    <row r="2" spans="1:10" s="4" customFormat="1">
      <c r="A2" s="4" t="s">
        <v>7</v>
      </c>
    </row>
    <row r="3" spans="1:10">
      <c r="A3" t="s">
        <v>0</v>
      </c>
      <c r="B3" s="7" t="s">
        <v>201</v>
      </c>
      <c r="D3" s="7">
        <f>2400000*45/365</f>
        <v>295890.41095890413</v>
      </c>
    </row>
    <row r="4" spans="1:10">
      <c r="J4" s="4"/>
    </row>
    <row r="5" spans="1:10">
      <c r="A5" t="s">
        <v>4</v>
      </c>
      <c r="B5" s="8" t="s">
        <v>202</v>
      </c>
      <c r="D5" s="7">
        <f>6000000*3/12</f>
        <v>1500000</v>
      </c>
    </row>
    <row r="7" spans="1:10">
      <c r="A7" t="s">
        <v>5</v>
      </c>
      <c r="B7" s="8" t="s">
        <v>6</v>
      </c>
      <c r="D7" s="7">
        <f>1800000/4</f>
        <v>450000</v>
      </c>
    </row>
    <row r="9" spans="1:10">
      <c r="A9" t="s">
        <v>9</v>
      </c>
      <c r="B9" t="s">
        <v>10</v>
      </c>
      <c r="D9" s="8" t="s">
        <v>199</v>
      </c>
      <c r="G9" s="7">
        <f>1300000*55/100</f>
        <v>715000</v>
      </c>
    </row>
    <row r="10" spans="1:10" s="4" customFormat="1">
      <c r="D10" s="8"/>
      <c r="G10" s="7"/>
      <c r="J10"/>
    </row>
    <row r="11" spans="1:10" s="4" customFormat="1">
      <c r="B11" s="4" t="s">
        <v>204</v>
      </c>
      <c r="D11" s="8"/>
      <c r="G11" s="7"/>
    </row>
    <row r="12" spans="1:10" s="4" customFormat="1">
      <c r="B12" s="4" t="s">
        <v>205</v>
      </c>
      <c r="D12" s="8"/>
      <c r="G12" s="7"/>
    </row>
    <row r="13" spans="1:10" s="4" customFormat="1">
      <c r="D13" s="8"/>
      <c r="G13" s="7"/>
    </row>
    <row r="14" spans="1:10">
      <c r="B14" t="s">
        <v>8</v>
      </c>
      <c r="D14" s="8" t="s">
        <v>203</v>
      </c>
      <c r="G14" s="7">
        <f>+G9/365*40</f>
        <v>78356.164383561641</v>
      </c>
      <c r="J14" s="4"/>
    </row>
    <row r="15" spans="1:10">
      <c r="G15" s="5"/>
    </row>
    <row r="16" spans="1:10">
      <c r="A16" s="4" t="s">
        <v>12</v>
      </c>
      <c r="B16" s="4" t="s">
        <v>10</v>
      </c>
      <c r="C16" s="4"/>
      <c r="D16" s="8" t="s">
        <v>200</v>
      </c>
      <c r="E16" s="4"/>
      <c r="G16" s="7">
        <f>2400000*75/100</f>
        <v>1800000</v>
      </c>
    </row>
    <row r="17" spans="1:10" s="4" customFormat="1">
      <c r="D17" s="8"/>
      <c r="G17" s="7"/>
      <c r="J17"/>
    </row>
    <row r="18" spans="1:10" s="4" customFormat="1">
      <c r="B18" s="4" t="s">
        <v>206</v>
      </c>
      <c r="D18" s="8"/>
      <c r="G18" s="7"/>
    </row>
    <row r="19" spans="1:10" s="4" customFormat="1">
      <c r="D19" s="8"/>
      <c r="G19" s="7"/>
    </row>
    <row r="20" spans="1:10">
      <c r="A20" s="4"/>
      <c r="B20" s="4" t="s">
        <v>8</v>
      </c>
      <c r="C20" s="4"/>
      <c r="D20" s="8" t="s">
        <v>11</v>
      </c>
      <c r="E20" s="4"/>
      <c r="G20" s="7">
        <f>+G16/10</f>
        <v>180000</v>
      </c>
      <c r="J20" s="4"/>
    </row>
    <row r="21" spans="1:10">
      <c r="G21" s="5"/>
    </row>
    <row r="22" spans="1:10">
      <c r="A22" t="s">
        <v>3</v>
      </c>
      <c r="B22" t="s">
        <v>207</v>
      </c>
      <c r="F22" s="5">
        <f>3075000/1.25</f>
        <v>2460000</v>
      </c>
    </row>
    <row r="24" spans="1:10">
      <c r="B24" s="4" t="s">
        <v>10</v>
      </c>
      <c r="C24" s="4"/>
      <c r="D24" s="8" t="s">
        <v>208</v>
      </c>
      <c r="E24" s="4"/>
      <c r="G24" s="7">
        <f>2460000*70/100</f>
        <v>1722000</v>
      </c>
    </row>
    <row r="25" spans="1:10">
      <c r="B25" s="4" t="s">
        <v>8</v>
      </c>
      <c r="C25" s="4"/>
      <c r="D25" s="8" t="s">
        <v>13</v>
      </c>
      <c r="E25" s="4"/>
      <c r="G25" s="5">
        <f>+G24/6</f>
        <v>287000</v>
      </c>
    </row>
    <row r="27" spans="1:10">
      <c r="B27" t="s">
        <v>209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zoomScaleNormal="100" workbookViewId="0">
      <selection activeCell="L19" sqref="L18:L19"/>
    </sheetView>
  </sheetViews>
  <sheetFormatPr baseColWidth="10" defaultColWidth="11.5" defaultRowHeight="15"/>
  <cols>
    <col min="1" max="1" width="4.1640625" style="4" customWidth="1"/>
    <col min="2" max="2" width="4.6640625" style="4" customWidth="1"/>
    <col min="3" max="3" width="9.33203125" style="4" customWidth="1"/>
    <col min="4" max="4" width="21.1640625" style="4" customWidth="1"/>
    <col min="5" max="5" width="14.6640625" style="4" customWidth="1"/>
    <col min="6" max="6" width="11.83203125" style="4" customWidth="1"/>
    <col min="7" max="16384" width="11.5" style="4"/>
  </cols>
  <sheetData>
    <row r="1" spans="1:6" ht="16">
      <c r="A1" s="6" t="s">
        <v>347</v>
      </c>
    </row>
    <row r="2" spans="1:6" ht="16">
      <c r="A2" s="6"/>
    </row>
    <row r="3" spans="1:6">
      <c r="A3" s="4" t="s">
        <v>70</v>
      </c>
      <c r="B3" s="4" t="s">
        <v>47</v>
      </c>
    </row>
    <row r="4" spans="1:6">
      <c r="B4" s="63" t="s">
        <v>48</v>
      </c>
      <c r="C4" s="63"/>
      <c r="D4" s="63"/>
      <c r="E4" s="17">
        <v>300000</v>
      </c>
    </row>
    <row r="5" spans="1:6">
      <c r="B5" s="63" t="s">
        <v>49</v>
      </c>
      <c r="C5" s="63"/>
      <c r="D5" s="63"/>
      <c r="E5" s="17">
        <v>1000</v>
      </c>
    </row>
    <row r="6" spans="1:6">
      <c r="B6" s="63" t="s">
        <v>51</v>
      </c>
      <c r="C6" s="63"/>
      <c r="D6" s="63"/>
      <c r="E6" s="16">
        <v>10</v>
      </c>
    </row>
    <row r="7" spans="1:6">
      <c r="B7" s="63" t="s">
        <v>52</v>
      </c>
      <c r="C7" s="63"/>
      <c r="D7" s="63"/>
      <c r="E7" s="16">
        <v>2</v>
      </c>
    </row>
    <row r="8" spans="1:6">
      <c r="B8" s="63" t="s">
        <v>50</v>
      </c>
      <c r="C8" s="63"/>
      <c r="D8" s="63"/>
      <c r="E8" s="17">
        <v>45</v>
      </c>
    </row>
    <row r="9" spans="1:6">
      <c r="B9" s="63" t="s">
        <v>53</v>
      </c>
      <c r="C9" s="63"/>
      <c r="D9" s="63"/>
      <c r="E9" s="18">
        <v>0.06</v>
      </c>
    </row>
    <row r="10" spans="1:6">
      <c r="B10" s="63" t="s">
        <v>55</v>
      </c>
      <c r="C10" s="63"/>
      <c r="D10" s="63"/>
      <c r="E10" s="16" t="s">
        <v>83</v>
      </c>
    </row>
    <row r="12" spans="1:6">
      <c r="B12" s="4" t="s">
        <v>86</v>
      </c>
    </row>
    <row r="13" spans="1:6">
      <c r="B13" s="63" t="s">
        <v>84</v>
      </c>
      <c r="C13" s="63"/>
      <c r="D13" s="63"/>
      <c r="E13" s="18">
        <f>+E9/E7</f>
        <v>0.03</v>
      </c>
      <c r="F13" s="8" t="s">
        <v>85</v>
      </c>
    </row>
    <row r="16" spans="1:6">
      <c r="B16" s="4" t="s">
        <v>87</v>
      </c>
      <c r="D16" s="52" t="s">
        <v>240</v>
      </c>
      <c r="F16" s="14">
        <f>-PMT(E13,E6*E7,E4)</f>
        <v>20164.712279057738</v>
      </c>
    </row>
    <row r="17" spans="2:6">
      <c r="B17" s="4" t="s">
        <v>50</v>
      </c>
      <c r="D17" s="26"/>
      <c r="F17" s="14">
        <f>+E8</f>
        <v>45</v>
      </c>
    </row>
    <row r="18" spans="2:6">
      <c r="B18" s="4" t="s">
        <v>88</v>
      </c>
      <c r="F18" s="27">
        <f>SUM(F16:F17)</f>
        <v>20209.712279057738</v>
      </c>
    </row>
    <row r="19" spans="2:6">
      <c r="E19" s="26"/>
    </row>
    <row r="20" spans="2:6">
      <c r="E20" s="23"/>
    </row>
    <row r="21" spans="2:6">
      <c r="B21" s="4" t="s">
        <v>89</v>
      </c>
      <c r="F21" s="28">
        <f>+RATE(E6*E7,-F18,E4-E5)</f>
        <v>3.0603024710889819E-2</v>
      </c>
    </row>
    <row r="22" spans="2:6">
      <c r="D22" s="52" t="s">
        <v>239</v>
      </c>
      <c r="E22" s="54"/>
    </row>
    <row r="23" spans="2:6">
      <c r="E23" s="23"/>
    </row>
    <row r="24" spans="2:6">
      <c r="E24" s="23"/>
    </row>
    <row r="25" spans="2:6">
      <c r="E25" s="23"/>
    </row>
    <row r="34" spans="1:6" ht="17">
      <c r="A34" s="4" t="s">
        <v>1</v>
      </c>
      <c r="B34" s="4" t="s">
        <v>90</v>
      </c>
      <c r="E34" s="52" t="s">
        <v>320</v>
      </c>
      <c r="F34" s="28">
        <f>+(1+F21)^E7-1</f>
        <v>6.2142594543234786E-2</v>
      </c>
    </row>
  </sheetData>
  <mergeCells count="8">
    <mergeCell ref="B9:D9"/>
    <mergeCell ref="B10:D10"/>
    <mergeCell ref="B13:D13"/>
    <mergeCell ref="B4:D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&amp;A</oddHeader>
    <oddFooter>&amp;CSide &amp;P av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/>
  <dimension ref="A1:G18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3" width="4.83203125" style="4" customWidth="1"/>
    <col min="4" max="4" width="13.1640625" style="4" customWidth="1"/>
    <col min="5" max="5" width="10.33203125" style="4" customWidth="1"/>
    <col min="6" max="6" width="12.1640625" style="4" customWidth="1"/>
    <col min="7" max="7" width="12.83203125" style="4" bestFit="1" customWidth="1"/>
    <col min="8" max="16384" width="11.5" style="4"/>
  </cols>
  <sheetData>
    <row r="1" spans="1:7" ht="16">
      <c r="A1" s="6" t="s">
        <v>348</v>
      </c>
    </row>
    <row r="2" spans="1:7" ht="16">
      <c r="A2" s="6"/>
    </row>
    <row r="3" spans="1:7">
      <c r="A3" s="4" t="s">
        <v>70</v>
      </c>
      <c r="B3" s="4" t="s">
        <v>47</v>
      </c>
    </row>
    <row r="4" spans="1:7" ht="32">
      <c r="E4" s="20" t="s">
        <v>91</v>
      </c>
      <c r="F4" s="20" t="s">
        <v>92</v>
      </c>
    </row>
    <row r="5" spans="1:7">
      <c r="B5" s="63" t="s">
        <v>93</v>
      </c>
      <c r="C5" s="63"/>
      <c r="D5" s="63"/>
      <c r="E5" s="29">
        <v>0</v>
      </c>
      <c r="F5" s="18">
        <v>2.5000000000000001E-2</v>
      </c>
    </row>
    <row r="6" spans="1:7">
      <c r="B6" s="63" t="s">
        <v>94</v>
      </c>
      <c r="C6" s="63"/>
      <c r="D6" s="63"/>
      <c r="E6" s="29">
        <v>45</v>
      </c>
      <c r="F6" s="18">
        <v>0</v>
      </c>
    </row>
    <row r="8" spans="1:7">
      <c r="B8" s="4" t="s">
        <v>95</v>
      </c>
    </row>
    <row r="9" spans="1:7">
      <c r="B9" s="4" t="s">
        <v>96</v>
      </c>
    </row>
    <row r="10" spans="1:7">
      <c r="B10" s="4" t="s">
        <v>97</v>
      </c>
    </row>
    <row r="12" spans="1:7" ht="17">
      <c r="B12" s="4" t="s">
        <v>242</v>
      </c>
      <c r="E12" s="52" t="s">
        <v>241</v>
      </c>
      <c r="F12" s="38"/>
      <c r="G12" s="28">
        <f>+(1+F5)^(365/E6)-1</f>
        <v>0.22175032642231729</v>
      </c>
    </row>
    <row r="13" spans="1:7">
      <c r="D13" s="8"/>
    </row>
    <row r="14" spans="1:7">
      <c r="B14" s="4" t="s">
        <v>98</v>
      </c>
    </row>
    <row r="15" spans="1:7">
      <c r="B15" s="4" t="s">
        <v>99</v>
      </c>
    </row>
    <row r="17" spans="2:2">
      <c r="B17" s="4" t="s">
        <v>100</v>
      </c>
    </row>
    <row r="18" spans="2:2">
      <c r="B18" s="4" t="s">
        <v>243</v>
      </c>
    </row>
  </sheetData>
  <mergeCells count="2"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/>
  <dimension ref="A1:G16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3" width="4.83203125" style="4" customWidth="1"/>
    <col min="4" max="4" width="13.1640625" style="4" customWidth="1"/>
    <col min="5" max="5" width="10.33203125" style="4" customWidth="1"/>
    <col min="6" max="6" width="14" style="4" customWidth="1"/>
    <col min="7" max="7" width="12.83203125" style="4" bestFit="1" customWidth="1"/>
    <col min="8" max="16384" width="11.5" style="4"/>
  </cols>
  <sheetData>
    <row r="1" spans="1:7" ht="16">
      <c r="A1" s="6" t="s">
        <v>349</v>
      </c>
    </row>
    <row r="2" spans="1:7" ht="16">
      <c r="A2" s="6"/>
    </row>
    <row r="3" spans="1:7">
      <c r="A3" s="4" t="s">
        <v>70</v>
      </c>
      <c r="B3" s="4" t="s">
        <v>47</v>
      </c>
    </row>
    <row r="4" spans="1:7" ht="32">
      <c r="E4" s="20" t="s">
        <v>91</v>
      </c>
      <c r="F4" s="20" t="s">
        <v>92</v>
      </c>
    </row>
    <row r="5" spans="1:7">
      <c r="B5" s="63" t="s">
        <v>93</v>
      </c>
      <c r="C5" s="63"/>
      <c r="D5" s="63"/>
      <c r="E5" s="29">
        <v>60</v>
      </c>
      <c r="F5" s="18">
        <v>0</v>
      </c>
    </row>
    <row r="6" spans="1:7">
      <c r="B6" s="63" t="s">
        <v>94</v>
      </c>
      <c r="C6" s="63"/>
      <c r="D6" s="63"/>
      <c r="E6" s="29">
        <v>15</v>
      </c>
      <c r="F6" s="18">
        <v>0.03</v>
      </c>
    </row>
    <row r="8" spans="1:7">
      <c r="B8" s="4" t="s">
        <v>247</v>
      </c>
    </row>
    <row r="9" spans="1:7">
      <c r="B9" s="4" t="s">
        <v>248</v>
      </c>
    </row>
    <row r="11" spans="1:7" ht="17">
      <c r="B11" s="4" t="s">
        <v>244</v>
      </c>
      <c r="E11" s="52" t="s">
        <v>245</v>
      </c>
      <c r="F11" s="38"/>
      <c r="G11" s="28">
        <f>+(1+F6)^(365/(E5-E6))-1</f>
        <v>0.27093738837753012</v>
      </c>
    </row>
    <row r="12" spans="1:7">
      <c r="D12" s="8"/>
    </row>
    <row r="13" spans="1:7">
      <c r="B13" s="4" t="s">
        <v>101</v>
      </c>
    </row>
    <row r="15" spans="1:7">
      <c r="B15" s="4" t="s">
        <v>100</v>
      </c>
    </row>
    <row r="16" spans="1:7">
      <c r="B16" s="4" t="s">
        <v>246</v>
      </c>
    </row>
  </sheetData>
  <mergeCells count="2"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/>
  <dimension ref="A1:K37"/>
  <sheetViews>
    <sheetView workbookViewId="0">
      <selection activeCell="A2" sqref="A2"/>
    </sheetView>
  </sheetViews>
  <sheetFormatPr baseColWidth="10" defaultColWidth="11.5" defaultRowHeight="15"/>
  <cols>
    <col min="1" max="1" width="3" style="4" customWidth="1"/>
    <col min="2" max="2" width="3.6640625" style="4" customWidth="1"/>
    <col min="3" max="3" width="14" style="4" customWidth="1"/>
    <col min="4" max="4" width="14.83203125" style="4" customWidth="1"/>
    <col min="5" max="5" width="15.5" style="4" customWidth="1"/>
    <col min="6" max="6" width="12.5" style="4" customWidth="1"/>
    <col min="7" max="7" width="12.83203125" style="4" bestFit="1" customWidth="1"/>
    <col min="8" max="16384" width="11.5" style="4"/>
  </cols>
  <sheetData>
    <row r="1" spans="1:10" ht="16">
      <c r="A1" s="6" t="s">
        <v>350</v>
      </c>
    </row>
    <row r="2" spans="1:10" ht="16">
      <c r="A2" s="6"/>
    </row>
    <row r="3" spans="1:10">
      <c r="A3" s="4" t="s">
        <v>0</v>
      </c>
      <c r="B3" s="4" t="s">
        <v>102</v>
      </c>
      <c r="D3" s="8"/>
      <c r="F3" s="12"/>
    </row>
    <row r="4" spans="1:10">
      <c r="C4" s="4" t="s">
        <v>103</v>
      </c>
      <c r="D4" s="8"/>
      <c r="E4" s="12">
        <v>110000</v>
      </c>
      <c r="F4" s="12"/>
    </row>
    <row r="5" spans="1:10">
      <c r="C5" s="4" t="s">
        <v>104</v>
      </c>
      <c r="D5" s="8"/>
      <c r="E5" s="12">
        <v>150000</v>
      </c>
      <c r="F5" s="12"/>
    </row>
    <row r="6" spans="1:10">
      <c r="C6" s="4" t="s">
        <v>105</v>
      </c>
      <c r="D6" s="8"/>
      <c r="E6" s="11">
        <v>200000</v>
      </c>
      <c r="F6" s="12"/>
    </row>
    <row r="7" spans="1:10" s="41" customFormat="1" ht="21">
      <c r="A7" s="42"/>
      <c r="B7" s="42"/>
      <c r="C7" s="42" t="s">
        <v>19</v>
      </c>
      <c r="D7" s="43"/>
      <c r="E7" s="45">
        <f>SUM(E4:E6)</f>
        <v>460000</v>
      </c>
      <c r="F7" s="44">
        <f>SUM(E4:E6)</f>
        <v>460000</v>
      </c>
      <c r="G7" s="42"/>
      <c r="H7" s="42"/>
      <c r="I7" s="42"/>
      <c r="J7" s="42"/>
    </row>
    <row r="8" spans="1:10">
      <c r="D8" s="8"/>
      <c r="F8" s="12"/>
    </row>
    <row r="9" spans="1:10">
      <c r="B9" s="4" t="s">
        <v>106</v>
      </c>
      <c r="D9" s="8"/>
      <c r="F9" s="12"/>
    </row>
    <row r="10" spans="1:10">
      <c r="C10" s="4" t="s">
        <v>107</v>
      </c>
      <c r="D10" s="8"/>
      <c r="F10" s="12">
        <v>50000</v>
      </c>
    </row>
    <row r="11" spans="1:10">
      <c r="D11" s="8"/>
      <c r="E11" s="12"/>
      <c r="F11" s="12"/>
    </row>
    <row r="12" spans="1:10">
      <c r="B12" s="4" t="s">
        <v>108</v>
      </c>
      <c r="D12" s="8"/>
      <c r="E12" s="12"/>
      <c r="F12" s="12"/>
    </row>
    <row r="13" spans="1:10">
      <c r="C13" s="4" t="s">
        <v>109</v>
      </c>
      <c r="D13" s="31"/>
      <c r="E13" s="12">
        <v>550000</v>
      </c>
      <c r="F13" s="12"/>
    </row>
    <row r="14" spans="1:10">
      <c r="C14" s="4" t="s">
        <v>110</v>
      </c>
      <c r="D14" s="31"/>
      <c r="E14" s="12">
        <v>70000</v>
      </c>
      <c r="F14" s="12"/>
    </row>
    <row r="15" spans="1:10">
      <c r="C15" s="4" t="s">
        <v>111</v>
      </c>
      <c r="D15" s="8"/>
      <c r="E15" s="12">
        <v>-180000</v>
      </c>
      <c r="F15" s="12"/>
    </row>
    <row r="16" spans="1:10">
      <c r="C16" s="4" t="s">
        <v>113</v>
      </c>
      <c r="D16" s="8"/>
      <c r="E16" s="12"/>
      <c r="F16" s="12"/>
    </row>
    <row r="17" spans="1:11">
      <c r="C17" s="4" t="s">
        <v>112</v>
      </c>
      <c r="D17" s="8"/>
      <c r="E17" s="12">
        <v>-65000</v>
      </c>
      <c r="F17" s="12"/>
    </row>
    <row r="18" spans="1:11" s="41" customFormat="1" ht="21">
      <c r="A18" s="42"/>
      <c r="B18" s="42"/>
      <c r="C18" s="42" t="s">
        <v>19</v>
      </c>
      <c r="D18" s="43"/>
      <c r="E18" s="45">
        <f>SUM(E13:E17)</f>
        <v>375000</v>
      </c>
      <c r="F18" s="44">
        <f>SUM(E13:E17)</f>
        <v>375000</v>
      </c>
      <c r="G18" s="42"/>
      <c r="H18" s="42"/>
      <c r="I18" s="42"/>
      <c r="J18" s="42"/>
      <c r="K18" s="42"/>
    </row>
    <row r="19" spans="1:11">
      <c r="D19" s="8"/>
      <c r="F19" s="12"/>
    </row>
    <row r="20" spans="1:11">
      <c r="B20" s="4" t="s">
        <v>114</v>
      </c>
      <c r="D20" s="8"/>
      <c r="F20" s="12">
        <v>120000</v>
      </c>
    </row>
    <row r="21" spans="1:11" ht="23.25" customHeight="1">
      <c r="B21" s="4" t="s">
        <v>115</v>
      </c>
      <c r="F21" s="13">
        <f>SUM(F4:F20)</f>
        <v>1005000</v>
      </c>
    </row>
    <row r="22" spans="1:11">
      <c r="D22" s="8"/>
      <c r="F22" s="12"/>
    </row>
    <row r="23" spans="1:11">
      <c r="B23" s="4" t="s">
        <v>116</v>
      </c>
      <c r="D23" s="8"/>
      <c r="F23" s="12"/>
    </row>
    <row r="24" spans="1:11">
      <c r="C24" s="4" t="s">
        <v>117</v>
      </c>
      <c r="D24" s="8"/>
      <c r="F24" s="12">
        <v>300000</v>
      </c>
    </row>
    <row r="25" spans="1:11">
      <c r="C25" s="4" t="s">
        <v>119</v>
      </c>
      <c r="D25" s="8"/>
      <c r="F25" s="12">
        <f>+F20</f>
        <v>120000</v>
      </c>
    </row>
    <row r="26" spans="1:11">
      <c r="C26" s="4" t="s">
        <v>118</v>
      </c>
      <c r="D26" s="8" t="s">
        <v>249</v>
      </c>
      <c r="F26" s="12">
        <f>+F21-F24-F25</f>
        <v>585000</v>
      </c>
    </row>
    <row r="27" spans="1:11" ht="23.25" customHeight="1">
      <c r="B27" s="4" t="s">
        <v>120</v>
      </c>
      <c r="F27" s="13">
        <f>SUM(F24:F26)</f>
        <v>1005000</v>
      </c>
    </row>
    <row r="28" spans="1:11">
      <c r="D28" s="8"/>
      <c r="F28" s="12"/>
    </row>
    <row r="29" spans="1:11">
      <c r="D29" s="8"/>
      <c r="F29" s="12"/>
    </row>
    <row r="30" spans="1:11">
      <c r="A30" s="4" t="s">
        <v>1</v>
      </c>
      <c r="B30" s="4" t="s">
        <v>121</v>
      </c>
      <c r="E30" s="8" t="s">
        <v>250</v>
      </c>
      <c r="F30" s="12">
        <f>+F26*8%</f>
        <v>46800</v>
      </c>
    </row>
    <row r="31" spans="1:11">
      <c r="B31" s="4" t="s">
        <v>122</v>
      </c>
    </row>
    <row r="32" spans="1:11">
      <c r="C32" s="4" t="s">
        <v>123</v>
      </c>
      <c r="E32" s="8" t="s">
        <v>251</v>
      </c>
      <c r="F32" s="12">
        <f>+F25*0.005</f>
        <v>600</v>
      </c>
    </row>
    <row r="33" spans="2:6">
      <c r="C33" s="4" t="s">
        <v>124</v>
      </c>
      <c r="E33" s="8" t="s">
        <v>252</v>
      </c>
      <c r="F33" s="12">
        <f>+F25/2*0.09</f>
        <v>5400</v>
      </c>
    </row>
    <row r="34" spans="2:6" ht="23.25" customHeight="1">
      <c r="B34" s="4" t="s">
        <v>125</v>
      </c>
      <c r="F34" s="13">
        <f>SUM(F32:F33)</f>
        <v>6000</v>
      </c>
    </row>
    <row r="35" spans="2:6">
      <c r="E35" s="8"/>
      <c r="F35" s="12"/>
    </row>
    <row r="36" spans="2:6">
      <c r="C36" s="4" t="s">
        <v>319</v>
      </c>
    </row>
    <row r="37" spans="2:6">
      <c r="C37" s="4" t="s">
        <v>318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/>
  <dimension ref="A1:E36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3" width="11.5" style="4"/>
    <col min="4" max="4" width="13.1640625" style="4" customWidth="1"/>
    <col min="5" max="5" width="13.6640625" style="4" customWidth="1"/>
    <col min="6" max="6" width="12.1640625" style="4" customWidth="1"/>
    <col min="7" max="7" width="12.83203125" style="4" bestFit="1" customWidth="1"/>
    <col min="8" max="16384" width="11.5" style="4"/>
  </cols>
  <sheetData>
    <row r="1" spans="1:5" ht="16">
      <c r="A1" s="6" t="s">
        <v>351</v>
      </c>
    </row>
    <row r="2" spans="1:5" ht="16">
      <c r="A2" s="6"/>
    </row>
    <row r="3" spans="1:5" ht="16">
      <c r="A3" s="6"/>
      <c r="B3" s="4" t="s">
        <v>126</v>
      </c>
      <c r="C3" s="8" t="s">
        <v>253</v>
      </c>
      <c r="E3" s="12">
        <f>7600000*0.25</f>
        <v>1900000</v>
      </c>
    </row>
    <row r="4" spans="1:5" ht="16">
      <c r="A4" s="6"/>
      <c r="B4" s="4" t="s">
        <v>127</v>
      </c>
      <c r="C4" s="8" t="s">
        <v>254</v>
      </c>
      <c r="E4" s="12">
        <f>1900000*100/125</f>
        <v>1520000</v>
      </c>
    </row>
    <row r="5" spans="1:5" ht="16">
      <c r="A5" s="6"/>
    </row>
    <row r="6" spans="1:5" ht="16">
      <c r="A6" s="6" t="s">
        <v>0</v>
      </c>
      <c r="B6" s="4" t="s">
        <v>128</v>
      </c>
    </row>
    <row r="7" spans="1:5" ht="16">
      <c r="A7" s="6"/>
      <c r="B7" s="4" t="s">
        <v>129</v>
      </c>
      <c r="C7" s="8" t="s">
        <v>130</v>
      </c>
      <c r="E7" s="12">
        <f>1520000/8</f>
        <v>190000</v>
      </c>
    </row>
    <row r="8" spans="1:5" ht="16">
      <c r="A8" s="6"/>
      <c r="B8" s="4" t="s">
        <v>131</v>
      </c>
      <c r="C8" s="4" t="s">
        <v>255</v>
      </c>
      <c r="E8" s="12">
        <f>1900000*0.3*35/365</f>
        <v>54657.534246575342</v>
      </c>
    </row>
    <row r="9" spans="1:5" ht="16">
      <c r="A9" s="6"/>
      <c r="B9" s="4" t="s">
        <v>132</v>
      </c>
      <c r="E9" s="12">
        <v>600000</v>
      </c>
    </row>
    <row r="10" spans="1:5" ht="23.25" customHeight="1">
      <c r="B10" s="4" t="s">
        <v>133</v>
      </c>
      <c r="E10" s="13">
        <f>SUM(E7:E9)</f>
        <v>844657.53424657532</v>
      </c>
    </row>
    <row r="11" spans="1:5" ht="16">
      <c r="A11" s="6"/>
      <c r="E11" s="32"/>
    </row>
    <row r="12" spans="1:5" ht="16">
      <c r="A12" s="6" t="s">
        <v>1</v>
      </c>
      <c r="B12" s="4" t="s">
        <v>134</v>
      </c>
      <c r="E12" s="32"/>
    </row>
    <row r="13" spans="1:5" ht="16">
      <c r="A13" s="6"/>
      <c r="C13" s="4" t="s">
        <v>256</v>
      </c>
      <c r="E13" s="12">
        <f>1520000*30/365</f>
        <v>124931.50684931508</v>
      </c>
    </row>
    <row r="14" spans="1:5" ht="23.25" customHeight="1">
      <c r="B14" s="4" t="s">
        <v>135</v>
      </c>
      <c r="E14" s="13">
        <f>+E10-E13</f>
        <v>719726.0273972603</v>
      </c>
    </row>
    <row r="15" spans="1:5" ht="16">
      <c r="A15" s="6"/>
    </row>
    <row r="16" spans="1:5" ht="16">
      <c r="A16" s="6" t="s">
        <v>2</v>
      </c>
    </row>
    <row r="17" spans="1:5" ht="16">
      <c r="A17" s="6"/>
      <c r="B17" s="4" t="s">
        <v>136</v>
      </c>
    </row>
    <row r="18" spans="1:5" ht="16">
      <c r="A18" s="6"/>
      <c r="B18" s="4" t="s">
        <v>139</v>
      </c>
      <c r="D18" s="14">
        <f>+E9+E7</f>
        <v>790000</v>
      </c>
    </row>
    <row r="19" spans="1:5" ht="16">
      <c r="A19" s="6"/>
    </row>
    <row r="20" spans="1:5" ht="16">
      <c r="A20" s="6"/>
      <c r="B20" s="4" t="s">
        <v>137</v>
      </c>
    </row>
    <row r="21" spans="1:5" ht="16">
      <c r="A21" s="6"/>
      <c r="B21" s="4" t="s">
        <v>138</v>
      </c>
      <c r="D21" s="12">
        <f>+(790000-719726)</f>
        <v>70274</v>
      </c>
    </row>
    <row r="22" spans="1:5" ht="16">
      <c r="A22" s="6"/>
    </row>
    <row r="23" spans="1:5" ht="16">
      <c r="A23" s="6"/>
      <c r="B23" s="4" t="s">
        <v>140</v>
      </c>
    </row>
    <row r="24" spans="1:5" ht="16">
      <c r="A24" s="6"/>
      <c r="B24" s="4" t="s">
        <v>141</v>
      </c>
    </row>
    <row r="25" spans="1:5" ht="16">
      <c r="A25" s="6"/>
      <c r="B25" s="4" t="s">
        <v>142</v>
      </c>
    </row>
    <row r="26" spans="1:5" ht="16">
      <c r="A26" s="6"/>
    </row>
    <row r="27" spans="1:5" ht="16">
      <c r="A27" s="6"/>
      <c r="B27" s="4" t="s">
        <v>143</v>
      </c>
    </row>
    <row r="28" spans="1:5" ht="16">
      <c r="A28" s="6"/>
      <c r="B28" s="4" t="s">
        <v>144</v>
      </c>
    </row>
    <row r="29" spans="1:5" ht="16">
      <c r="A29" s="6"/>
      <c r="B29" s="4" t="s">
        <v>145</v>
      </c>
    </row>
    <row r="30" spans="1:5" ht="16">
      <c r="A30" s="6"/>
    </row>
    <row r="31" spans="1:5" ht="16">
      <c r="A31" s="6"/>
      <c r="B31" s="4" t="s">
        <v>146</v>
      </c>
    </row>
    <row r="32" spans="1:5" ht="16">
      <c r="A32" s="6"/>
      <c r="B32" s="4" t="s">
        <v>148</v>
      </c>
      <c r="C32" s="8" t="s">
        <v>257</v>
      </c>
      <c r="E32" s="12">
        <f>844658*40%</f>
        <v>337863.2</v>
      </c>
    </row>
    <row r="33" spans="1:5" ht="16">
      <c r="A33" s="6"/>
      <c r="B33" s="4" t="s">
        <v>147</v>
      </c>
      <c r="C33" s="8" t="s">
        <v>258</v>
      </c>
      <c r="E33" s="12">
        <f>790000-337863</f>
        <v>452137</v>
      </c>
    </row>
    <row r="34" spans="1:5" ht="16">
      <c r="A34" s="6"/>
      <c r="B34" s="4" t="s">
        <v>111</v>
      </c>
      <c r="C34" s="8" t="s">
        <v>259</v>
      </c>
      <c r="E34" s="12">
        <f>124932-70274</f>
        <v>54658</v>
      </c>
    </row>
    <row r="35" spans="1:5" ht="23.25" customHeight="1">
      <c r="B35" s="4" t="s">
        <v>149</v>
      </c>
      <c r="E35" s="13">
        <f>SUM(E32:E34)</f>
        <v>844658.2</v>
      </c>
    </row>
    <row r="36" spans="1:5" ht="16">
      <c r="A36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/>
  <dimension ref="A1:K62"/>
  <sheetViews>
    <sheetView workbookViewId="0">
      <selection activeCell="A2" sqref="A2"/>
    </sheetView>
  </sheetViews>
  <sheetFormatPr baseColWidth="10" defaultColWidth="11.5" defaultRowHeight="15"/>
  <cols>
    <col min="1" max="1" width="3" style="4" customWidth="1"/>
    <col min="2" max="2" width="3.6640625" style="4" customWidth="1"/>
    <col min="3" max="3" width="7.33203125" style="4" customWidth="1"/>
    <col min="4" max="4" width="34.33203125" style="4" customWidth="1"/>
    <col min="5" max="5" width="15.5" style="4" customWidth="1"/>
    <col min="6" max="6" width="12.5" style="4" customWidth="1"/>
    <col min="7" max="7" width="12.83203125" style="4" bestFit="1" customWidth="1"/>
    <col min="8" max="16384" width="11.5" style="4"/>
  </cols>
  <sheetData>
    <row r="1" spans="1:11" ht="16">
      <c r="A1" s="6" t="s">
        <v>352</v>
      </c>
    </row>
    <row r="2" spans="1:11" ht="16">
      <c r="A2" s="6"/>
    </row>
    <row r="3" spans="1:11">
      <c r="B3" s="4" t="s">
        <v>102</v>
      </c>
      <c r="D3" s="8"/>
      <c r="F3" s="12"/>
    </row>
    <row r="4" spans="1:11">
      <c r="C4" s="4" t="s">
        <v>153</v>
      </c>
      <c r="D4" s="8"/>
      <c r="F4" s="12">
        <v>170000</v>
      </c>
    </row>
    <row r="5" spans="1:11">
      <c r="D5" s="8"/>
      <c r="F5" s="12"/>
    </row>
    <row r="6" spans="1:11">
      <c r="B6" s="4" t="s">
        <v>150</v>
      </c>
      <c r="D6" s="8"/>
      <c r="F6" s="12"/>
    </row>
    <row r="7" spans="1:11">
      <c r="C7" s="4" t="s">
        <v>151</v>
      </c>
      <c r="D7" s="8"/>
      <c r="E7" s="12">
        <v>20000</v>
      </c>
      <c r="F7" s="12"/>
    </row>
    <row r="8" spans="1:11">
      <c r="C8" s="4" t="s">
        <v>152</v>
      </c>
      <c r="D8" s="8"/>
      <c r="E8" s="12">
        <v>60000</v>
      </c>
    </row>
    <row r="9" spans="1:11" s="41" customFormat="1" ht="21">
      <c r="A9" s="42"/>
      <c r="B9" s="42"/>
      <c r="C9" s="42" t="s">
        <v>19</v>
      </c>
      <c r="D9" s="43"/>
      <c r="E9" s="45">
        <f>SUM(E7:E8)</f>
        <v>80000</v>
      </c>
      <c r="F9" s="46">
        <f>SUM(E7:E8)</f>
        <v>80000</v>
      </c>
      <c r="G9" s="42"/>
      <c r="H9" s="42"/>
      <c r="I9" s="42"/>
      <c r="J9" s="42"/>
      <c r="K9" s="42"/>
    </row>
    <row r="10" spans="1:11">
      <c r="D10" s="8"/>
      <c r="E10" s="12"/>
      <c r="F10" s="12"/>
    </row>
    <row r="11" spans="1:11">
      <c r="B11" s="38" t="s">
        <v>108</v>
      </c>
      <c r="C11" s="38"/>
      <c r="D11" s="52"/>
      <c r="E11" s="55"/>
      <c r="F11" s="12"/>
    </row>
    <row r="12" spans="1:11">
      <c r="B12" s="38" t="s">
        <v>262</v>
      </c>
      <c r="C12" s="38"/>
      <c r="D12" s="52"/>
      <c r="E12" s="55"/>
      <c r="F12" s="12"/>
    </row>
    <row r="13" spans="1:11">
      <c r="B13" s="38" t="s">
        <v>260</v>
      </c>
      <c r="C13" s="38"/>
      <c r="D13" s="52"/>
      <c r="E13" s="55"/>
      <c r="F13" s="12"/>
    </row>
    <row r="14" spans="1:11">
      <c r="B14" s="38" t="s">
        <v>263</v>
      </c>
      <c r="C14" s="38"/>
      <c r="D14" s="52"/>
      <c r="E14" s="55"/>
      <c r="F14" s="12"/>
    </row>
    <row r="15" spans="1:11" ht="8.25" customHeight="1">
      <c r="B15" s="38"/>
      <c r="C15" s="38"/>
      <c r="D15" s="52"/>
      <c r="E15" s="55"/>
      <c r="F15" s="12"/>
    </row>
    <row r="16" spans="1:11">
      <c r="B16" s="38" t="s">
        <v>261</v>
      </c>
      <c r="C16" s="38"/>
      <c r="D16" s="52"/>
      <c r="E16" s="55"/>
      <c r="F16" s="12"/>
    </row>
    <row r="17" spans="1:10" ht="8.25" customHeight="1">
      <c r="B17" s="38"/>
      <c r="C17" s="38"/>
      <c r="D17" s="52"/>
      <c r="E17" s="55"/>
      <c r="F17" s="12"/>
    </row>
    <row r="18" spans="1:10">
      <c r="B18" s="38" t="s">
        <v>265</v>
      </c>
      <c r="C18" s="38"/>
      <c r="D18" s="52"/>
      <c r="E18" s="55"/>
      <c r="F18" s="12"/>
    </row>
    <row r="19" spans="1:10">
      <c r="B19" s="38"/>
      <c r="C19" s="38"/>
      <c r="D19" s="52"/>
      <c r="E19" s="55"/>
      <c r="F19" s="12"/>
    </row>
    <row r="20" spans="1:10">
      <c r="B20" s="38"/>
      <c r="C20" s="38" t="s">
        <v>109</v>
      </c>
      <c r="D20" s="38"/>
      <c r="E20" s="38"/>
      <c r="F20" s="12"/>
    </row>
    <row r="21" spans="1:10">
      <c r="B21" s="38"/>
      <c r="C21" s="38"/>
      <c r="D21" s="38" t="s">
        <v>264</v>
      </c>
      <c r="E21" s="55">
        <f>900000*60/365</f>
        <v>147945.20547945207</v>
      </c>
      <c r="F21" s="12"/>
    </row>
    <row r="22" spans="1:10">
      <c r="B22" s="38"/>
      <c r="C22" s="38" t="s">
        <v>110</v>
      </c>
      <c r="D22" s="56"/>
      <c r="E22" s="55"/>
      <c r="F22" s="12"/>
    </row>
    <row r="23" spans="1:10">
      <c r="B23" s="38"/>
      <c r="C23" s="38"/>
      <c r="D23" s="38" t="s">
        <v>266</v>
      </c>
      <c r="E23" s="55">
        <f>180000*30/365</f>
        <v>14794.520547945205</v>
      </c>
      <c r="F23" s="12"/>
    </row>
    <row r="24" spans="1:10" s="41" customFormat="1" ht="21">
      <c r="A24" s="42"/>
      <c r="B24" s="57"/>
      <c r="C24" s="57" t="s">
        <v>19</v>
      </c>
      <c r="D24" s="58"/>
      <c r="E24" s="59">
        <f>SUM(E21:E23)</f>
        <v>162739.72602739726</v>
      </c>
      <c r="F24" s="44">
        <f>SUM(E21:E23)</f>
        <v>162739.72602739726</v>
      </c>
      <c r="G24" s="42"/>
      <c r="H24" s="42"/>
      <c r="I24" s="42"/>
      <c r="J24" s="42"/>
    </row>
    <row r="25" spans="1:10">
      <c r="B25" s="38"/>
      <c r="C25" s="38"/>
      <c r="D25" s="52"/>
      <c r="E25" s="38"/>
      <c r="F25" s="12"/>
    </row>
    <row r="26" spans="1:10">
      <c r="B26" s="4" t="s">
        <v>114</v>
      </c>
      <c r="D26" s="8"/>
      <c r="F26" s="12">
        <v>50000</v>
      </c>
    </row>
    <row r="27" spans="1:10" ht="23.25" customHeight="1">
      <c r="B27" s="4" t="s">
        <v>154</v>
      </c>
      <c r="F27" s="13">
        <f>SUM(F4:F26)</f>
        <v>462739.72602739726</v>
      </c>
    </row>
    <row r="28" spans="1:10">
      <c r="D28" s="8"/>
      <c r="F28" s="12"/>
    </row>
    <row r="29" spans="1:10">
      <c r="D29" s="8"/>
      <c r="F29" s="12"/>
    </row>
    <row r="30" spans="1:10">
      <c r="B30" s="4" t="s">
        <v>160</v>
      </c>
      <c r="D30" s="8"/>
      <c r="F30" s="12"/>
    </row>
    <row r="31" spans="1:10">
      <c r="C31" s="4" t="s">
        <v>155</v>
      </c>
      <c r="D31" s="8"/>
    </row>
    <row r="32" spans="1:10">
      <c r="D32" s="52" t="s">
        <v>267</v>
      </c>
      <c r="F32" s="12">
        <f>1200000*0.25</f>
        <v>300000</v>
      </c>
    </row>
    <row r="33" spans="2:6">
      <c r="C33" s="4" t="s">
        <v>156</v>
      </c>
      <c r="D33" s="8"/>
      <c r="F33" s="12"/>
    </row>
    <row r="34" spans="2:6">
      <c r="D34" s="8" t="s">
        <v>157</v>
      </c>
      <c r="E34" s="12">
        <v>-31000</v>
      </c>
    </row>
    <row r="35" spans="2:6">
      <c r="D35" s="8" t="s">
        <v>158</v>
      </c>
      <c r="F35" s="12"/>
    </row>
    <row r="36" spans="2:6">
      <c r="D36" s="8" t="s">
        <v>268</v>
      </c>
      <c r="E36" s="12">
        <f>+(2400000*6%)</f>
        <v>144000</v>
      </c>
    </row>
    <row r="37" spans="2:6">
      <c r="D37" s="8" t="s">
        <v>19</v>
      </c>
      <c r="F37" s="12">
        <f>SUM(E34:E36)</f>
        <v>113000</v>
      </c>
    </row>
    <row r="38" spans="2:6" ht="23.25" customHeight="1">
      <c r="C38" s="4" t="s">
        <v>159</v>
      </c>
      <c r="F38" s="13">
        <f>+F32-F37</f>
        <v>187000</v>
      </c>
    </row>
    <row r="39" spans="2:6">
      <c r="D39" s="8"/>
      <c r="F39" s="12"/>
    </row>
    <row r="40" spans="2:6">
      <c r="D40" s="8"/>
      <c r="F40" s="12"/>
    </row>
    <row r="41" spans="2:6">
      <c r="B41" s="4" t="s">
        <v>161</v>
      </c>
      <c r="D41" s="8"/>
      <c r="F41" s="12"/>
    </row>
    <row r="42" spans="2:6">
      <c r="D42" s="8"/>
      <c r="F42" s="12"/>
    </row>
    <row r="43" spans="2:6">
      <c r="D43" s="8"/>
      <c r="F43" s="12"/>
    </row>
    <row r="44" spans="2:6">
      <c r="D44" s="8"/>
      <c r="F44" s="12"/>
    </row>
    <row r="45" spans="2:6">
      <c r="D45" s="8"/>
      <c r="F45" s="12"/>
    </row>
    <row r="46" spans="2:6">
      <c r="D46" s="8"/>
      <c r="F46" s="12"/>
    </row>
    <row r="47" spans="2:6">
      <c r="D47" s="8"/>
      <c r="F47" s="12"/>
    </row>
    <row r="48" spans="2:6">
      <c r="C48" s="4" t="s">
        <v>47</v>
      </c>
    </row>
    <row r="49" spans="3:6">
      <c r="C49" s="15" t="s">
        <v>48</v>
      </c>
      <c r="D49" s="15"/>
      <c r="E49" s="30">
        <v>0.12</v>
      </c>
    </row>
    <row r="51" spans="3:6">
      <c r="C51" s="4" t="s">
        <v>74</v>
      </c>
      <c r="D51" s="8" t="s">
        <v>162</v>
      </c>
      <c r="F51" s="12">
        <f>-F27</f>
        <v>-462739.72602739726</v>
      </c>
    </row>
    <row r="52" spans="3:6">
      <c r="C52" s="4" t="s">
        <v>57</v>
      </c>
      <c r="D52" s="8" t="s">
        <v>159</v>
      </c>
      <c r="F52" s="12">
        <f>+F38</f>
        <v>187000</v>
      </c>
    </row>
    <row r="53" spans="3:6">
      <c r="C53" s="4" t="s">
        <v>64</v>
      </c>
      <c r="D53" s="8" t="s">
        <v>159</v>
      </c>
      <c r="F53" s="12">
        <f>+F52</f>
        <v>187000</v>
      </c>
    </row>
    <row r="54" spans="3:6">
      <c r="C54" s="4" t="s">
        <v>73</v>
      </c>
      <c r="D54" s="8" t="s">
        <v>159</v>
      </c>
      <c r="F54" s="12">
        <f t="shared" ref="F54:F55" si="0">+F53</f>
        <v>187000</v>
      </c>
    </row>
    <row r="55" spans="3:6">
      <c r="C55" s="4" t="s">
        <v>75</v>
      </c>
      <c r="D55" s="8" t="s">
        <v>159</v>
      </c>
      <c r="F55" s="12">
        <f t="shared" si="0"/>
        <v>187000</v>
      </c>
    </row>
    <row r="56" spans="3:6">
      <c r="C56" s="4" t="s">
        <v>78</v>
      </c>
      <c r="D56" s="8" t="s">
        <v>163</v>
      </c>
      <c r="E56" s="12"/>
      <c r="F56" s="14">
        <f>+F55+F24</f>
        <v>349739.72602739726</v>
      </c>
    </row>
    <row r="57" spans="3:6">
      <c r="D57" s="8"/>
      <c r="E57" s="14"/>
      <c r="F57" s="12"/>
    </row>
    <row r="58" spans="3:6">
      <c r="C58" s="4" t="s">
        <v>164</v>
      </c>
      <c r="D58" s="8"/>
      <c r="E58" s="14"/>
      <c r="F58" s="12">
        <f>NPV(E49,F52,F53,F54,F55,F56)</f>
        <v>766436.04087874806</v>
      </c>
    </row>
    <row r="59" spans="3:6">
      <c r="C59" s="4" t="s">
        <v>165</v>
      </c>
      <c r="D59" s="8"/>
      <c r="E59" s="14"/>
      <c r="F59" s="12">
        <f>+F51</f>
        <v>-462739.72602739726</v>
      </c>
    </row>
    <row r="60" spans="3:6" ht="23.25" customHeight="1">
      <c r="C60" s="38" t="s">
        <v>269</v>
      </c>
      <c r="D60" s="38"/>
      <c r="F60" s="13">
        <f>SUM(F58:F59)</f>
        <v>303696.31485135079</v>
      </c>
    </row>
    <row r="62" spans="3:6">
      <c r="C62" s="4" t="s">
        <v>167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/>
  <dimension ref="A1:K59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3" width="4.83203125" style="4" customWidth="1"/>
    <col min="4" max="4" width="13.1640625" style="4" customWidth="1"/>
    <col min="5" max="5" width="10.33203125" style="4" customWidth="1"/>
    <col min="6" max="6" width="14" style="4" customWidth="1"/>
    <col min="7" max="7" width="12.83203125" style="4" bestFit="1" customWidth="1"/>
    <col min="8" max="16384" width="11.5" style="4"/>
  </cols>
  <sheetData>
    <row r="1" spans="1:7" ht="16">
      <c r="A1" s="6" t="s">
        <v>353</v>
      </c>
    </row>
    <row r="2" spans="1:7" ht="16">
      <c r="A2" s="6"/>
    </row>
    <row r="3" spans="1:7">
      <c r="B3" s="4" t="s">
        <v>47</v>
      </c>
    </row>
    <row r="4" spans="1:7">
      <c r="A4" s="4" t="s">
        <v>0</v>
      </c>
      <c r="B4" s="4" t="s">
        <v>168</v>
      </c>
    </row>
    <row r="5" spans="1:7" ht="32">
      <c r="E5" s="20" t="s">
        <v>91</v>
      </c>
      <c r="F5" s="20" t="s">
        <v>92</v>
      </c>
    </row>
    <row r="6" spans="1:7">
      <c r="B6" s="63" t="s">
        <v>93</v>
      </c>
      <c r="C6" s="63"/>
      <c r="D6" s="63"/>
      <c r="E6" s="29">
        <v>0</v>
      </c>
      <c r="F6" s="18">
        <v>0.02</v>
      </c>
    </row>
    <row r="7" spans="1:7">
      <c r="B7" s="63" t="s">
        <v>94</v>
      </c>
      <c r="C7" s="63"/>
      <c r="D7" s="63"/>
      <c r="E7" s="29">
        <v>60</v>
      </c>
      <c r="F7" s="18">
        <v>0</v>
      </c>
    </row>
    <row r="8" spans="1:7">
      <c r="B8" s="4" t="s">
        <v>169</v>
      </c>
    </row>
    <row r="9" spans="1:7">
      <c r="B9" s="4" t="s">
        <v>170</v>
      </c>
    </row>
    <row r="10" spans="1:7">
      <c r="B10" s="4" t="s">
        <v>300</v>
      </c>
    </row>
    <row r="11" spans="1:7">
      <c r="B11" s="4" t="s">
        <v>299</v>
      </c>
    </row>
    <row r="13" spans="1:7" ht="17">
      <c r="B13" s="4" t="s">
        <v>271</v>
      </c>
      <c r="E13" s="52" t="s">
        <v>270</v>
      </c>
      <c r="F13" s="38"/>
      <c r="G13" s="28">
        <f>+(1+F6)^(365/E7)-1</f>
        <v>0.12802236805858169</v>
      </c>
    </row>
    <row r="14" spans="1:7">
      <c r="D14" s="8"/>
    </row>
    <row r="15" spans="1:7">
      <c r="B15" s="4" t="s">
        <v>302</v>
      </c>
    </row>
    <row r="16" spans="1:7">
      <c r="B16" s="38" t="s">
        <v>301</v>
      </c>
      <c r="C16" s="38"/>
      <c r="D16" s="38"/>
      <c r="E16" s="38"/>
      <c r="F16" s="38"/>
    </row>
    <row r="18" spans="1:7">
      <c r="B18" s="4" t="s">
        <v>100</v>
      </c>
    </row>
    <row r="19" spans="1:7">
      <c r="B19" s="4" t="s">
        <v>272</v>
      </c>
    </row>
    <row r="21" spans="1:7">
      <c r="B21" s="4" t="s">
        <v>273</v>
      </c>
    </row>
    <row r="23" spans="1:7">
      <c r="A23" s="4" t="s">
        <v>4</v>
      </c>
      <c r="B23" s="4" t="s">
        <v>171</v>
      </c>
    </row>
    <row r="24" spans="1:7">
      <c r="B24" s="4" t="s">
        <v>162</v>
      </c>
      <c r="G24" s="33">
        <v>150000</v>
      </c>
    </row>
    <row r="25" spans="1:7">
      <c r="G25" s="33"/>
    </row>
    <row r="26" spans="1:7">
      <c r="B26" s="4" t="s">
        <v>274</v>
      </c>
      <c r="G26" s="33"/>
    </row>
    <row r="27" spans="1:7">
      <c r="B27" s="4" t="s">
        <v>275</v>
      </c>
      <c r="G27" s="33"/>
    </row>
    <row r="28" spans="1:7">
      <c r="G28" s="33"/>
    </row>
    <row r="29" spans="1:7">
      <c r="B29" s="4" t="s">
        <v>277</v>
      </c>
      <c r="G29" s="33"/>
    </row>
    <row r="30" spans="1:7">
      <c r="G30" s="33"/>
    </row>
    <row r="32" spans="1:7">
      <c r="B32" s="4" t="s">
        <v>172</v>
      </c>
    </row>
    <row r="33" spans="1:11">
      <c r="B33" s="4" t="s">
        <v>17</v>
      </c>
      <c r="C33" s="52" t="s">
        <v>276</v>
      </c>
      <c r="D33" s="38"/>
      <c r="E33" s="38"/>
      <c r="F33" s="60">
        <f>720000*45/365</f>
        <v>88767.123287671231</v>
      </c>
    </row>
    <row r="34" spans="1:11">
      <c r="B34" s="4" t="s">
        <v>18</v>
      </c>
      <c r="C34" s="52" t="s">
        <v>278</v>
      </c>
      <c r="D34" s="38"/>
      <c r="E34" s="38"/>
      <c r="F34" s="60">
        <f>96000*1.5/12</f>
        <v>12000</v>
      </c>
    </row>
    <row r="35" spans="1:11">
      <c r="B35" s="4" t="s">
        <v>27</v>
      </c>
      <c r="C35" s="52"/>
      <c r="D35" s="38"/>
      <c r="E35" s="38"/>
      <c r="F35" s="60">
        <v>0</v>
      </c>
    </row>
    <row r="36" spans="1:11" s="41" customFormat="1" ht="21">
      <c r="A36" s="42"/>
      <c r="B36" s="42" t="s">
        <v>19</v>
      </c>
      <c r="C36" s="57"/>
      <c r="D36" s="57"/>
      <c r="E36" s="57"/>
      <c r="F36" s="61">
        <f>SUM(F33:F35)</f>
        <v>100767.12328767123</v>
      </c>
      <c r="G36" s="47">
        <f>SUM(F33:F35)</f>
        <v>100767.12328767123</v>
      </c>
      <c r="H36" s="42"/>
      <c r="I36" s="42"/>
      <c r="J36" s="42"/>
    </row>
    <row r="37" spans="1:11" s="41" customFormat="1" ht="21">
      <c r="A37" s="42"/>
      <c r="B37" s="42" t="s">
        <v>154</v>
      </c>
      <c r="C37" s="42"/>
      <c r="D37" s="42"/>
      <c r="E37" s="42"/>
      <c r="F37" s="42"/>
      <c r="G37" s="48">
        <f>SUM(G24:G36)</f>
        <v>250767.12328767125</v>
      </c>
      <c r="H37" s="42"/>
      <c r="I37" s="42"/>
      <c r="J37" s="42"/>
      <c r="K37" s="42"/>
    </row>
    <row r="39" spans="1:11">
      <c r="A39" s="4" t="s">
        <v>2</v>
      </c>
      <c r="B39" s="4" t="s">
        <v>173</v>
      </c>
    </row>
    <row r="40" spans="1:11">
      <c r="B40" s="4" t="s">
        <v>304</v>
      </c>
    </row>
    <row r="41" spans="1:11">
      <c r="B41" s="4" t="s">
        <v>303</v>
      </c>
    </row>
    <row r="42" spans="1:11">
      <c r="B42" s="4" t="s">
        <v>174</v>
      </c>
    </row>
    <row r="44" spans="1:11">
      <c r="A44" s="4" t="s">
        <v>9</v>
      </c>
      <c r="B44" s="4" t="s">
        <v>175</v>
      </c>
    </row>
    <row r="45" spans="1:11">
      <c r="B45" s="4" t="s">
        <v>305</v>
      </c>
    </row>
    <row r="46" spans="1:11">
      <c r="B46" s="4" t="s">
        <v>306</v>
      </c>
    </row>
    <row r="47" spans="1:11">
      <c r="B47" s="4" t="s">
        <v>308</v>
      </c>
    </row>
    <row r="48" spans="1:11">
      <c r="B48" s="4" t="s">
        <v>307</v>
      </c>
    </row>
    <row r="49" spans="1:2">
      <c r="B49" s="4" t="s">
        <v>310</v>
      </c>
    </row>
    <row r="50" spans="1:2">
      <c r="B50" s="4" t="s">
        <v>311</v>
      </c>
    </row>
    <row r="51" spans="1:2">
      <c r="B51" s="4" t="s">
        <v>309</v>
      </c>
    </row>
    <row r="53" spans="1:2">
      <c r="A53" s="4" t="s">
        <v>12</v>
      </c>
      <c r="B53" s="4" t="s">
        <v>313</v>
      </c>
    </row>
    <row r="54" spans="1:2">
      <c r="B54" s="4" t="s">
        <v>312</v>
      </c>
    </row>
    <row r="55" spans="1:2">
      <c r="B55" s="4" t="s">
        <v>315</v>
      </c>
    </row>
    <row r="56" spans="1:2">
      <c r="B56" s="8" t="s">
        <v>314</v>
      </c>
    </row>
    <row r="57" spans="1:2">
      <c r="B57" s="8" t="s">
        <v>316</v>
      </c>
    </row>
    <row r="58" spans="1:2">
      <c r="B58" s="8" t="s">
        <v>317</v>
      </c>
    </row>
    <row r="59" spans="1:2">
      <c r="B59" s="4" t="s">
        <v>176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/>
  <dimension ref="A1:K145"/>
  <sheetViews>
    <sheetView workbookViewId="0">
      <selection activeCell="A2" sqref="A2"/>
    </sheetView>
  </sheetViews>
  <sheetFormatPr baseColWidth="10" defaultColWidth="11.5" defaultRowHeight="15"/>
  <cols>
    <col min="1" max="1" width="3" style="4" customWidth="1"/>
    <col min="2" max="2" width="3.6640625" style="4" customWidth="1"/>
    <col min="3" max="3" width="11.33203125" style="4" customWidth="1"/>
    <col min="4" max="4" width="14.1640625" style="4" customWidth="1"/>
    <col min="5" max="5" width="11.5" style="4" customWidth="1"/>
    <col min="6" max="6" width="10.6640625" style="4" customWidth="1"/>
    <col min="7" max="7" width="12.83203125" style="4" bestFit="1" customWidth="1"/>
    <col min="8" max="8" width="12.33203125" style="4" customWidth="1"/>
    <col min="9" max="16384" width="11.5" style="4"/>
  </cols>
  <sheetData>
    <row r="1" spans="1:11" ht="16">
      <c r="A1" s="6" t="s">
        <v>354</v>
      </c>
    </row>
    <row r="2" spans="1:11" ht="16">
      <c r="A2" s="6"/>
    </row>
    <row r="3" spans="1:11" ht="16">
      <c r="A3" s="6" t="s">
        <v>70</v>
      </c>
      <c r="B3" s="4" t="s">
        <v>177</v>
      </c>
    </row>
    <row r="4" spans="1:11" ht="16">
      <c r="A4" s="6"/>
      <c r="B4" s="4" t="s">
        <v>178</v>
      </c>
    </row>
    <row r="5" spans="1:11" ht="16">
      <c r="A5" s="6"/>
      <c r="C5" s="4" t="s">
        <v>280</v>
      </c>
    </row>
    <row r="6" spans="1:11" ht="16">
      <c r="A6" s="6"/>
      <c r="C6" s="4" t="s">
        <v>279</v>
      </c>
    </row>
    <row r="7" spans="1:11" ht="16">
      <c r="A7" s="6"/>
      <c r="C7" s="4" t="s">
        <v>293</v>
      </c>
    </row>
    <row r="8" spans="1:11" ht="16">
      <c r="A8" s="6"/>
      <c r="C8" s="4" t="s">
        <v>292</v>
      </c>
    </row>
    <row r="9" spans="1:11" ht="16">
      <c r="A9" s="6"/>
    </row>
    <row r="10" spans="1:11" ht="16">
      <c r="A10" s="6" t="s">
        <v>1</v>
      </c>
      <c r="B10" s="24" t="s">
        <v>171</v>
      </c>
    </row>
    <row r="11" spans="1:11">
      <c r="B11" s="4" t="s">
        <v>102</v>
      </c>
      <c r="D11" s="8"/>
      <c r="F11" s="12"/>
    </row>
    <row r="12" spans="1:11">
      <c r="C12" s="4" t="s">
        <v>153</v>
      </c>
      <c r="D12" s="8"/>
      <c r="G12" s="12">
        <v>180000</v>
      </c>
    </row>
    <row r="13" spans="1:11">
      <c r="C13" s="4" t="s">
        <v>180</v>
      </c>
      <c r="G13" s="11">
        <v>120000</v>
      </c>
    </row>
    <row r="14" spans="1:11" s="41" customFormat="1" ht="21">
      <c r="B14" s="42"/>
      <c r="C14" s="42"/>
      <c r="D14" s="43"/>
      <c r="F14" s="42"/>
      <c r="G14" s="44">
        <f>SUM(G12:G13)</f>
        <v>300000</v>
      </c>
      <c r="H14" s="42"/>
      <c r="I14" s="42"/>
      <c r="J14" s="42"/>
      <c r="K14" s="42"/>
    </row>
    <row r="15" spans="1:11">
      <c r="B15" s="4" t="s">
        <v>281</v>
      </c>
      <c r="D15" s="8"/>
      <c r="G15" s="12"/>
    </row>
    <row r="16" spans="1:11">
      <c r="D16" s="8"/>
      <c r="G16" s="12"/>
    </row>
    <row r="17" spans="1:9">
      <c r="B17" s="4" t="s">
        <v>284</v>
      </c>
      <c r="D17" s="8"/>
      <c r="G17" s="12"/>
    </row>
    <row r="18" spans="1:9">
      <c r="D18" s="8"/>
      <c r="F18" s="12"/>
      <c r="G18" s="12"/>
    </row>
    <row r="19" spans="1:9">
      <c r="B19" s="4" t="s">
        <v>179</v>
      </c>
      <c r="D19" s="8"/>
      <c r="F19" s="12"/>
      <c r="G19" s="12"/>
    </row>
    <row r="20" spans="1:9">
      <c r="C20" s="4" t="s">
        <v>109</v>
      </c>
      <c r="D20" s="4" t="s">
        <v>285</v>
      </c>
      <c r="F20" s="12">
        <f>2720000*10/365</f>
        <v>74520.547945205486</v>
      </c>
      <c r="G20" s="12"/>
    </row>
    <row r="21" spans="1:9">
      <c r="C21" s="4" t="s">
        <v>110</v>
      </c>
      <c r="D21" s="31"/>
      <c r="F21" s="12"/>
      <c r="G21" s="12"/>
    </row>
    <row r="22" spans="1:9">
      <c r="D22" s="34" t="s">
        <v>286</v>
      </c>
      <c r="F22" s="12">
        <f>3400000*(20+10)/365</f>
        <v>279452.05479452055</v>
      </c>
      <c r="G22" s="12"/>
    </row>
    <row r="23" spans="1:9">
      <c r="C23" s="4" t="s">
        <v>111</v>
      </c>
      <c r="D23" s="34"/>
      <c r="F23" s="12">
        <v>0</v>
      </c>
      <c r="G23" s="12"/>
    </row>
    <row r="24" spans="1:9" s="41" customFormat="1" ht="21">
      <c r="A24" s="42"/>
      <c r="B24" s="42"/>
      <c r="C24" s="42" t="s">
        <v>19</v>
      </c>
      <c r="D24" s="43"/>
      <c r="F24" s="45">
        <f>SUM(F20:F23)</f>
        <v>353972.60273972602</v>
      </c>
      <c r="G24" s="44">
        <f>SUM(F20:F22)</f>
        <v>353972.60273972602</v>
      </c>
      <c r="H24" s="42"/>
      <c r="I24" s="42"/>
    </row>
    <row r="25" spans="1:9">
      <c r="D25" s="8"/>
      <c r="G25" s="12"/>
    </row>
    <row r="26" spans="1:9">
      <c r="B26" s="4" t="s">
        <v>287</v>
      </c>
      <c r="D26" s="8"/>
      <c r="G26" s="11">
        <f>3400000*15/365</f>
        <v>139726.02739726027</v>
      </c>
    </row>
    <row r="27" spans="1:9" s="41" customFormat="1" ht="21">
      <c r="B27" s="42" t="s">
        <v>282</v>
      </c>
      <c r="C27" s="42"/>
      <c r="D27" s="43"/>
      <c r="F27" s="42"/>
      <c r="G27" s="44">
        <f>SUM(G14:G26)</f>
        <v>793698.63013698626</v>
      </c>
      <c r="H27" s="42"/>
      <c r="I27" s="42"/>
    </row>
    <row r="28" spans="1:9" s="41" customFormat="1" ht="21">
      <c r="A28" s="42"/>
      <c r="B28" s="42"/>
      <c r="C28" s="42"/>
      <c r="D28" s="43" t="s">
        <v>283</v>
      </c>
      <c r="F28" s="42"/>
      <c r="G28" s="49">
        <f>ROUND(G27,-3)</f>
        <v>794000</v>
      </c>
      <c r="H28" s="42"/>
      <c r="I28" s="42"/>
    </row>
    <row r="29" spans="1:9">
      <c r="C29" s="8" t="s">
        <v>295</v>
      </c>
      <c r="F29" s="12"/>
    </row>
    <row r="30" spans="1:9">
      <c r="C30" s="4" t="s">
        <v>294</v>
      </c>
      <c r="D30" s="8"/>
      <c r="F30" s="12"/>
    </row>
    <row r="31" spans="1:9">
      <c r="D31" s="8"/>
      <c r="F31" s="12"/>
    </row>
    <row r="32" spans="1:9">
      <c r="A32" s="24" t="s">
        <v>2</v>
      </c>
      <c r="B32" s="24" t="s">
        <v>173</v>
      </c>
      <c r="D32" s="8"/>
      <c r="F32" s="12"/>
    </row>
    <row r="33" spans="2:6">
      <c r="B33" s="4" t="s">
        <v>148</v>
      </c>
      <c r="D33" s="8" t="s">
        <v>288</v>
      </c>
      <c r="F33" s="12">
        <f>35%*G28</f>
        <v>277900</v>
      </c>
    </row>
    <row r="34" spans="2:6">
      <c r="B34" s="4" t="s">
        <v>183</v>
      </c>
      <c r="D34" s="8"/>
      <c r="F34" s="12">
        <f>+G28-F33</f>
        <v>516100</v>
      </c>
    </row>
    <row r="35" spans="2:6">
      <c r="D35" s="8"/>
      <c r="F35" s="12"/>
    </row>
    <row r="36" spans="2:6">
      <c r="B36" s="4" t="s">
        <v>181</v>
      </c>
      <c r="D36" s="8"/>
      <c r="F36" s="12"/>
    </row>
    <row r="37" spans="2:6">
      <c r="B37" s="4" t="s">
        <v>182</v>
      </c>
      <c r="D37" s="8"/>
      <c r="F37" s="12"/>
    </row>
    <row r="38" spans="2:6">
      <c r="D38" s="8" t="s">
        <v>289</v>
      </c>
      <c r="F38" s="35">
        <f>8 % + 0.5 %*4 / 0.7</f>
        <v>0.10857142857142857</v>
      </c>
    </row>
    <row r="39" spans="2:6">
      <c r="B39" s="4" t="s">
        <v>147</v>
      </c>
      <c r="D39" s="8"/>
      <c r="F39" s="35"/>
    </row>
    <row r="40" spans="2:6">
      <c r="B40" s="4" t="s">
        <v>297</v>
      </c>
      <c r="D40" s="8"/>
      <c r="F40" s="35"/>
    </row>
    <row r="41" spans="2:6">
      <c r="B41" s="4" t="s">
        <v>296</v>
      </c>
      <c r="D41" s="8"/>
      <c r="F41" s="35"/>
    </row>
    <row r="42" spans="2:6">
      <c r="B42" s="63" t="s">
        <v>48</v>
      </c>
      <c r="C42" s="63"/>
      <c r="D42" s="63"/>
      <c r="E42" s="17">
        <v>450000</v>
      </c>
    </row>
    <row r="43" spans="2:6">
      <c r="B43" s="63" t="s">
        <v>49</v>
      </c>
      <c r="C43" s="63"/>
      <c r="D43" s="63"/>
      <c r="E43" s="17">
        <v>1500</v>
      </c>
    </row>
    <row r="44" spans="2:6">
      <c r="B44" s="63" t="s">
        <v>51</v>
      </c>
      <c r="C44" s="63"/>
      <c r="D44" s="63"/>
      <c r="E44" s="25">
        <v>5</v>
      </c>
    </row>
    <row r="45" spans="2:6">
      <c r="B45" s="63" t="s">
        <v>52</v>
      </c>
      <c r="C45" s="63"/>
      <c r="D45" s="63"/>
      <c r="E45" s="25">
        <v>4</v>
      </c>
    </row>
    <row r="46" spans="2:6">
      <c r="B46" s="63" t="s">
        <v>50</v>
      </c>
      <c r="C46" s="63"/>
      <c r="D46" s="63"/>
      <c r="E46" s="17">
        <v>50</v>
      </c>
    </row>
    <row r="47" spans="2:6">
      <c r="B47" s="63" t="s">
        <v>53</v>
      </c>
      <c r="C47" s="63"/>
      <c r="D47" s="63"/>
      <c r="E47" s="18">
        <v>6.5000000000000002E-2</v>
      </c>
    </row>
    <row r="48" spans="2:6">
      <c r="B48" s="63" t="s">
        <v>55</v>
      </c>
      <c r="C48" s="63"/>
      <c r="D48" s="63"/>
      <c r="E48" s="25" t="s">
        <v>54</v>
      </c>
    </row>
    <row r="50" spans="1:9">
      <c r="B50" s="4" t="s">
        <v>56</v>
      </c>
    </row>
    <row r="51" spans="1:9" ht="32">
      <c r="B51" s="20" t="s">
        <v>66</v>
      </c>
      <c r="C51" s="20" t="s">
        <v>67</v>
      </c>
      <c r="D51" s="20" t="s">
        <v>60</v>
      </c>
      <c r="E51" s="20" t="s">
        <v>58</v>
      </c>
      <c r="F51" s="20" t="s">
        <v>59</v>
      </c>
      <c r="G51" s="20" t="s">
        <v>62</v>
      </c>
      <c r="H51" s="20" t="s">
        <v>61</v>
      </c>
      <c r="I51" s="20" t="s">
        <v>63</v>
      </c>
    </row>
    <row r="52" spans="1:9">
      <c r="B52" s="4" t="s">
        <v>57</v>
      </c>
      <c r="D52" s="5"/>
      <c r="E52" s="5"/>
      <c r="F52" s="5"/>
      <c r="G52" s="5">
        <f>+E42</f>
        <v>450000</v>
      </c>
      <c r="H52" s="5">
        <f>+E43</f>
        <v>1500</v>
      </c>
      <c r="I52" s="14">
        <f>+G52-H52</f>
        <v>448500</v>
      </c>
    </row>
    <row r="53" spans="1:9" s="3" customFormat="1" ht="16">
      <c r="A53" s="4"/>
      <c r="B53" s="4"/>
      <c r="C53" s="4">
        <v>1</v>
      </c>
      <c r="D53" s="5">
        <f>+G52</f>
        <v>450000</v>
      </c>
      <c r="E53" s="5">
        <f>+G52*$E$47/$E$45</f>
        <v>7312.5</v>
      </c>
      <c r="F53" s="5">
        <f>+E42/(E44*E45)</f>
        <v>22500</v>
      </c>
      <c r="G53" s="5">
        <f>+G52-F53</f>
        <v>427500</v>
      </c>
      <c r="H53" s="5">
        <f>+$E$46</f>
        <v>50</v>
      </c>
      <c r="I53" s="14">
        <f>-E53-F53-H53</f>
        <v>-29862.5</v>
      </c>
    </row>
    <row r="54" spans="1:9" s="3" customFormat="1" ht="16">
      <c r="A54" s="4"/>
      <c r="B54" s="4"/>
      <c r="C54" s="4">
        <v>2</v>
      </c>
      <c r="D54" s="5">
        <f t="shared" ref="D54:D72" si="0">+G53</f>
        <v>427500</v>
      </c>
      <c r="E54" s="5">
        <f t="shared" ref="E54:E72" si="1">+G53*$E$47/$E$45</f>
        <v>6946.875</v>
      </c>
      <c r="F54" s="5">
        <f>+F53</f>
        <v>22500</v>
      </c>
      <c r="G54" s="5">
        <f t="shared" ref="G54:G72" si="2">+G53-F54</f>
        <v>405000</v>
      </c>
      <c r="H54" s="5">
        <f t="shared" ref="H54:H72" si="3">+$E$46</f>
        <v>50</v>
      </c>
      <c r="I54" s="14">
        <f t="shared" ref="I54:I72" si="4">-E54-F54-H54</f>
        <v>-29496.875</v>
      </c>
    </row>
    <row r="55" spans="1:9" s="3" customFormat="1" ht="16">
      <c r="A55" s="4"/>
      <c r="B55" s="4"/>
      <c r="C55" s="4">
        <v>3</v>
      </c>
      <c r="D55" s="5">
        <f t="shared" si="0"/>
        <v>405000</v>
      </c>
      <c r="E55" s="5">
        <f t="shared" si="1"/>
        <v>6581.25</v>
      </c>
      <c r="F55" s="5">
        <f>+F54</f>
        <v>22500</v>
      </c>
      <c r="G55" s="5">
        <f t="shared" si="2"/>
        <v>382500</v>
      </c>
      <c r="H55" s="5">
        <f t="shared" si="3"/>
        <v>50</v>
      </c>
      <c r="I55" s="14">
        <f t="shared" si="4"/>
        <v>-29131.25</v>
      </c>
    </row>
    <row r="56" spans="1:9" s="3" customFormat="1" ht="16">
      <c r="A56" s="4"/>
      <c r="B56" s="4"/>
      <c r="C56" s="4">
        <v>4</v>
      </c>
      <c r="D56" s="5">
        <f t="shared" si="0"/>
        <v>382500</v>
      </c>
      <c r="E56" s="5">
        <f t="shared" si="1"/>
        <v>6215.625</v>
      </c>
      <c r="F56" s="5">
        <f t="shared" ref="F56:F72" si="5">+F55</f>
        <v>22500</v>
      </c>
      <c r="G56" s="5">
        <f t="shared" si="2"/>
        <v>360000</v>
      </c>
      <c r="H56" s="5">
        <f t="shared" si="3"/>
        <v>50</v>
      </c>
      <c r="I56" s="14">
        <f t="shared" si="4"/>
        <v>-28765.625</v>
      </c>
    </row>
    <row r="57" spans="1:9" s="3" customFormat="1" ht="16">
      <c r="A57" s="4"/>
      <c r="B57" s="4" t="s">
        <v>64</v>
      </c>
      <c r="C57" s="4">
        <v>5</v>
      </c>
      <c r="D57" s="5">
        <f t="shared" si="0"/>
        <v>360000</v>
      </c>
      <c r="E57" s="5">
        <f t="shared" si="1"/>
        <v>5850</v>
      </c>
      <c r="F57" s="5">
        <f t="shared" si="5"/>
        <v>22500</v>
      </c>
      <c r="G57" s="5">
        <f t="shared" si="2"/>
        <v>337500</v>
      </c>
      <c r="H57" s="5">
        <f t="shared" si="3"/>
        <v>50</v>
      </c>
      <c r="I57" s="14">
        <f t="shared" si="4"/>
        <v>-28400</v>
      </c>
    </row>
    <row r="58" spans="1:9" s="3" customFormat="1" ht="16">
      <c r="A58" s="4"/>
      <c r="B58" s="4"/>
      <c r="C58" s="4">
        <v>6</v>
      </c>
      <c r="D58" s="5">
        <f t="shared" si="0"/>
        <v>337500</v>
      </c>
      <c r="E58" s="5">
        <f t="shared" si="1"/>
        <v>5484.375</v>
      </c>
      <c r="F58" s="5">
        <f t="shared" si="5"/>
        <v>22500</v>
      </c>
      <c r="G58" s="5">
        <f t="shared" si="2"/>
        <v>315000</v>
      </c>
      <c r="H58" s="5">
        <f t="shared" si="3"/>
        <v>50</v>
      </c>
      <c r="I58" s="14">
        <f t="shared" si="4"/>
        <v>-28034.375</v>
      </c>
    </row>
    <row r="59" spans="1:9" s="3" customFormat="1" ht="16">
      <c r="A59" s="4"/>
      <c r="B59" s="4"/>
      <c r="C59" s="4">
        <v>7</v>
      </c>
      <c r="D59" s="5">
        <f t="shared" si="0"/>
        <v>315000</v>
      </c>
      <c r="E59" s="5">
        <f t="shared" si="1"/>
        <v>5118.75</v>
      </c>
      <c r="F59" s="5">
        <f t="shared" si="5"/>
        <v>22500</v>
      </c>
      <c r="G59" s="5">
        <f t="shared" si="2"/>
        <v>292500</v>
      </c>
      <c r="H59" s="5">
        <f t="shared" si="3"/>
        <v>50</v>
      </c>
      <c r="I59" s="14">
        <f t="shared" si="4"/>
        <v>-27668.75</v>
      </c>
    </row>
    <row r="60" spans="1:9" s="3" customFormat="1" ht="16">
      <c r="A60" s="4"/>
      <c r="B60" s="4"/>
      <c r="C60" s="4">
        <v>8</v>
      </c>
      <c r="D60" s="5">
        <f t="shared" si="0"/>
        <v>292500</v>
      </c>
      <c r="E60" s="5">
        <f t="shared" si="1"/>
        <v>4753.125</v>
      </c>
      <c r="F60" s="5">
        <f t="shared" si="5"/>
        <v>22500</v>
      </c>
      <c r="G60" s="5">
        <f t="shared" si="2"/>
        <v>270000</v>
      </c>
      <c r="H60" s="5">
        <f t="shared" si="3"/>
        <v>50</v>
      </c>
      <c r="I60" s="14">
        <f t="shared" si="4"/>
        <v>-27303.125</v>
      </c>
    </row>
    <row r="61" spans="1:9" s="3" customFormat="1" ht="16">
      <c r="A61" s="4"/>
      <c r="B61" s="4" t="s">
        <v>73</v>
      </c>
      <c r="C61" s="4">
        <v>9</v>
      </c>
      <c r="D61" s="5">
        <f t="shared" si="0"/>
        <v>270000</v>
      </c>
      <c r="E61" s="5">
        <f t="shared" si="1"/>
        <v>4387.5</v>
      </c>
      <c r="F61" s="5">
        <f t="shared" si="5"/>
        <v>22500</v>
      </c>
      <c r="G61" s="5">
        <f t="shared" si="2"/>
        <v>247500</v>
      </c>
      <c r="H61" s="5">
        <f t="shared" si="3"/>
        <v>50</v>
      </c>
      <c r="I61" s="14">
        <f t="shared" si="4"/>
        <v>-26937.5</v>
      </c>
    </row>
    <row r="62" spans="1:9" s="3" customFormat="1" ht="16">
      <c r="A62" s="4"/>
      <c r="B62" s="4"/>
      <c r="C62" s="4">
        <v>10</v>
      </c>
      <c r="D62" s="5">
        <f t="shared" si="0"/>
        <v>247500</v>
      </c>
      <c r="E62" s="5">
        <f t="shared" si="1"/>
        <v>4021.875</v>
      </c>
      <c r="F62" s="5">
        <f t="shared" si="5"/>
        <v>22500</v>
      </c>
      <c r="G62" s="5">
        <f t="shared" si="2"/>
        <v>225000</v>
      </c>
      <c r="H62" s="5">
        <f t="shared" si="3"/>
        <v>50</v>
      </c>
      <c r="I62" s="14">
        <f t="shared" si="4"/>
        <v>-26571.875</v>
      </c>
    </row>
    <row r="63" spans="1:9" s="3" customFormat="1" ht="16">
      <c r="A63" s="4"/>
      <c r="B63" s="4"/>
      <c r="C63" s="4">
        <v>11</v>
      </c>
      <c r="D63" s="5">
        <f t="shared" si="0"/>
        <v>225000</v>
      </c>
      <c r="E63" s="5">
        <f t="shared" si="1"/>
        <v>3656.25</v>
      </c>
      <c r="F63" s="5">
        <f t="shared" si="5"/>
        <v>22500</v>
      </c>
      <c r="G63" s="5">
        <f t="shared" si="2"/>
        <v>202500</v>
      </c>
      <c r="H63" s="5">
        <f t="shared" si="3"/>
        <v>50</v>
      </c>
      <c r="I63" s="14">
        <f t="shared" si="4"/>
        <v>-26206.25</v>
      </c>
    </row>
    <row r="64" spans="1:9" s="3" customFormat="1" ht="16">
      <c r="A64" s="4"/>
      <c r="B64" s="4"/>
      <c r="C64" s="4">
        <v>12</v>
      </c>
      <c r="D64" s="5">
        <f t="shared" si="0"/>
        <v>202500</v>
      </c>
      <c r="E64" s="5">
        <f t="shared" si="1"/>
        <v>3290.625</v>
      </c>
      <c r="F64" s="5">
        <f t="shared" si="5"/>
        <v>22500</v>
      </c>
      <c r="G64" s="5">
        <f t="shared" si="2"/>
        <v>180000</v>
      </c>
      <c r="H64" s="5">
        <f t="shared" si="3"/>
        <v>50</v>
      </c>
      <c r="I64" s="14">
        <f t="shared" si="4"/>
        <v>-25840.625</v>
      </c>
    </row>
    <row r="65" spans="1:9" s="3" customFormat="1" ht="16">
      <c r="A65" s="4"/>
      <c r="B65" s="4" t="s">
        <v>75</v>
      </c>
      <c r="C65" s="4">
        <v>13</v>
      </c>
      <c r="D65" s="5">
        <f t="shared" si="0"/>
        <v>180000</v>
      </c>
      <c r="E65" s="5">
        <f t="shared" si="1"/>
        <v>2925</v>
      </c>
      <c r="F65" s="5">
        <f t="shared" si="5"/>
        <v>22500</v>
      </c>
      <c r="G65" s="5">
        <f t="shared" si="2"/>
        <v>157500</v>
      </c>
      <c r="H65" s="5">
        <f t="shared" si="3"/>
        <v>50</v>
      </c>
      <c r="I65" s="14">
        <f t="shared" si="4"/>
        <v>-25475</v>
      </c>
    </row>
    <row r="66" spans="1:9" s="3" customFormat="1" ht="16">
      <c r="A66" s="4"/>
      <c r="B66" s="4"/>
      <c r="C66" s="4">
        <v>14</v>
      </c>
      <c r="D66" s="5">
        <f t="shared" si="0"/>
        <v>157500</v>
      </c>
      <c r="E66" s="5">
        <f t="shared" si="1"/>
        <v>2559.375</v>
      </c>
      <c r="F66" s="5">
        <f t="shared" si="5"/>
        <v>22500</v>
      </c>
      <c r="G66" s="5">
        <f t="shared" si="2"/>
        <v>135000</v>
      </c>
      <c r="H66" s="5">
        <f t="shared" si="3"/>
        <v>50</v>
      </c>
      <c r="I66" s="14">
        <f t="shared" si="4"/>
        <v>-25109.375</v>
      </c>
    </row>
    <row r="67" spans="1:9" s="3" customFormat="1" ht="16">
      <c r="A67" s="4"/>
      <c r="B67" s="4"/>
      <c r="C67" s="4">
        <v>15</v>
      </c>
      <c r="D67" s="5">
        <f t="shared" si="0"/>
        <v>135000</v>
      </c>
      <c r="E67" s="5">
        <f t="shared" si="1"/>
        <v>2193.75</v>
      </c>
      <c r="F67" s="5">
        <f t="shared" si="5"/>
        <v>22500</v>
      </c>
      <c r="G67" s="5">
        <f t="shared" si="2"/>
        <v>112500</v>
      </c>
      <c r="H67" s="5">
        <f t="shared" si="3"/>
        <v>50</v>
      </c>
      <c r="I67" s="14">
        <f t="shared" si="4"/>
        <v>-24743.75</v>
      </c>
    </row>
    <row r="68" spans="1:9" s="3" customFormat="1" ht="16">
      <c r="A68" s="4"/>
      <c r="B68" s="4"/>
      <c r="C68" s="4">
        <v>16</v>
      </c>
      <c r="D68" s="5">
        <f t="shared" si="0"/>
        <v>112500</v>
      </c>
      <c r="E68" s="5">
        <f t="shared" si="1"/>
        <v>1828.125</v>
      </c>
      <c r="F68" s="5">
        <f t="shared" si="5"/>
        <v>22500</v>
      </c>
      <c r="G68" s="5">
        <f t="shared" si="2"/>
        <v>90000</v>
      </c>
      <c r="H68" s="5">
        <f t="shared" si="3"/>
        <v>50</v>
      </c>
      <c r="I68" s="14">
        <f t="shared" si="4"/>
        <v>-24378.125</v>
      </c>
    </row>
    <row r="69" spans="1:9" s="3" customFormat="1" ht="16">
      <c r="A69" s="4"/>
      <c r="B69" s="4" t="s">
        <v>78</v>
      </c>
      <c r="C69" s="4">
        <v>17</v>
      </c>
      <c r="D69" s="5">
        <f t="shared" si="0"/>
        <v>90000</v>
      </c>
      <c r="E69" s="5">
        <f t="shared" si="1"/>
        <v>1462.5</v>
      </c>
      <c r="F69" s="5">
        <f t="shared" si="5"/>
        <v>22500</v>
      </c>
      <c r="G69" s="5">
        <f t="shared" si="2"/>
        <v>67500</v>
      </c>
      <c r="H69" s="5">
        <f t="shared" si="3"/>
        <v>50</v>
      </c>
      <c r="I69" s="14">
        <f t="shared" si="4"/>
        <v>-24012.5</v>
      </c>
    </row>
    <row r="70" spans="1:9" s="3" customFormat="1" ht="16">
      <c r="A70" s="4"/>
      <c r="B70" s="4"/>
      <c r="C70" s="4">
        <v>18</v>
      </c>
      <c r="D70" s="5">
        <f t="shared" si="0"/>
        <v>67500</v>
      </c>
      <c r="E70" s="5">
        <f t="shared" si="1"/>
        <v>1096.875</v>
      </c>
      <c r="F70" s="5">
        <f t="shared" si="5"/>
        <v>22500</v>
      </c>
      <c r="G70" s="5">
        <f t="shared" si="2"/>
        <v>45000</v>
      </c>
      <c r="H70" s="5">
        <f t="shared" si="3"/>
        <v>50</v>
      </c>
      <c r="I70" s="14">
        <f t="shared" si="4"/>
        <v>-23646.875</v>
      </c>
    </row>
    <row r="71" spans="1:9" s="3" customFormat="1" ht="16">
      <c r="A71" s="4"/>
      <c r="B71" s="4"/>
      <c r="C71" s="4">
        <v>19</v>
      </c>
      <c r="D71" s="5">
        <f t="shared" si="0"/>
        <v>45000</v>
      </c>
      <c r="E71" s="5">
        <f t="shared" si="1"/>
        <v>731.25</v>
      </c>
      <c r="F71" s="5">
        <f t="shared" si="5"/>
        <v>22500</v>
      </c>
      <c r="G71" s="5">
        <f t="shared" si="2"/>
        <v>22500</v>
      </c>
      <c r="H71" s="5">
        <f t="shared" si="3"/>
        <v>50</v>
      </c>
      <c r="I71" s="14">
        <f t="shared" si="4"/>
        <v>-23281.25</v>
      </c>
    </row>
    <row r="72" spans="1:9" s="3" customFormat="1" ht="16">
      <c r="A72" s="4"/>
      <c r="B72" s="4"/>
      <c r="C72" s="4">
        <v>20</v>
      </c>
      <c r="D72" s="5">
        <f t="shared" si="0"/>
        <v>22500</v>
      </c>
      <c r="E72" s="5">
        <f t="shared" si="1"/>
        <v>365.625</v>
      </c>
      <c r="F72" s="5">
        <f t="shared" si="5"/>
        <v>22500</v>
      </c>
      <c r="G72" s="5">
        <f t="shared" si="2"/>
        <v>0</v>
      </c>
      <c r="H72" s="5">
        <f t="shared" si="3"/>
        <v>50</v>
      </c>
      <c r="I72" s="14">
        <f t="shared" si="4"/>
        <v>-22915.625</v>
      </c>
    </row>
    <row r="73" spans="1:9" s="50" customFormat="1" ht="8">
      <c r="D73" s="51"/>
      <c r="G73" s="51"/>
      <c r="H73" s="51"/>
      <c r="I73" s="51"/>
    </row>
    <row r="74" spans="1:9">
      <c r="B74" s="4" t="s">
        <v>68</v>
      </c>
      <c r="C74" s="19"/>
      <c r="G74" s="8" t="s">
        <v>79</v>
      </c>
      <c r="I74" s="23">
        <f>+IRR(I52:I72)</f>
        <v>1.6808647754681383E-2</v>
      </c>
    </row>
    <row r="75" spans="1:9" ht="17">
      <c r="C75" s="4" t="s">
        <v>69</v>
      </c>
      <c r="G75" s="52" t="s">
        <v>290</v>
      </c>
      <c r="I75" s="23">
        <f>+(1+I74)^E45-1</f>
        <v>6.8948850510319959E-2</v>
      </c>
    </row>
    <row r="76" spans="1:9" s="50" customFormat="1" ht="8"/>
    <row r="77" spans="1:9">
      <c r="B77" s="4" t="s">
        <v>327</v>
      </c>
      <c r="D77" s="8"/>
      <c r="F77" s="12"/>
    </row>
    <row r="78" spans="1:9">
      <c r="B78" s="4" t="s">
        <v>329</v>
      </c>
      <c r="D78" s="8"/>
      <c r="F78" s="12"/>
    </row>
    <row r="79" spans="1:9">
      <c r="B79" s="4" t="s">
        <v>328</v>
      </c>
      <c r="D79" s="8"/>
      <c r="F79" s="12"/>
    </row>
    <row r="80" spans="1:9">
      <c r="D80" s="8"/>
      <c r="F80" s="12"/>
    </row>
    <row r="81" spans="1:11">
      <c r="A81" s="24" t="s">
        <v>331</v>
      </c>
      <c r="D81" s="8"/>
      <c r="F81" s="12"/>
    </row>
    <row r="82" spans="1:11">
      <c r="B82" s="4" t="s">
        <v>160</v>
      </c>
      <c r="D82" s="8"/>
      <c r="F82" s="12"/>
    </row>
    <row r="83" spans="1:11">
      <c r="C83" s="4" t="s">
        <v>184</v>
      </c>
      <c r="D83" s="8"/>
      <c r="H83" s="5">
        <v>3400000</v>
      </c>
    </row>
    <row r="84" spans="1:11">
      <c r="C84" s="4" t="s">
        <v>291</v>
      </c>
      <c r="D84" s="8"/>
      <c r="H84" s="5">
        <f>-H83*0.8</f>
        <v>-2720000</v>
      </c>
    </row>
    <row r="85" spans="1:11">
      <c r="C85" s="4" t="s">
        <v>185</v>
      </c>
      <c r="D85" s="8"/>
      <c r="H85" s="5">
        <f>+H83+H84</f>
        <v>680000</v>
      </c>
    </row>
    <row r="86" spans="1:11">
      <c r="D86" s="8"/>
      <c r="H86" s="12"/>
    </row>
    <row r="87" spans="1:11">
      <c r="C87" s="4" t="s">
        <v>330</v>
      </c>
      <c r="G87" s="7">
        <f>220000</f>
        <v>220000</v>
      </c>
    </row>
    <row r="88" spans="1:11">
      <c r="C88" s="4" t="s">
        <v>186</v>
      </c>
      <c r="G88" s="7">
        <v>70000</v>
      </c>
    </row>
    <row r="89" spans="1:11">
      <c r="C89" s="4" t="s">
        <v>187</v>
      </c>
      <c r="G89" s="7">
        <f>+G88*0.12</f>
        <v>8400</v>
      </c>
    </row>
    <row r="90" spans="1:11">
      <c r="C90" s="4" t="s">
        <v>188</v>
      </c>
      <c r="D90" s="8"/>
    </row>
    <row r="91" spans="1:11">
      <c r="D91" s="8"/>
      <c r="G91" s="7">
        <f>SUM(G87:G89)*0.141</f>
        <v>42074.399999999994</v>
      </c>
      <c r="H91" s="12"/>
    </row>
    <row r="92" spans="1:11">
      <c r="C92" s="4" t="s">
        <v>190</v>
      </c>
      <c r="D92" s="8"/>
      <c r="G92" s="27">
        <f>-SUM(G87:G91)</f>
        <v>-340474.4</v>
      </c>
    </row>
    <row r="93" spans="1:11">
      <c r="C93" s="4" t="s">
        <v>189</v>
      </c>
      <c r="D93" s="8"/>
      <c r="G93" s="11">
        <v>-160000</v>
      </c>
    </row>
    <row r="94" spans="1:11" s="41" customFormat="1" ht="21">
      <c r="A94" s="42"/>
      <c r="B94" s="42"/>
      <c r="C94" s="42" t="s">
        <v>191</v>
      </c>
      <c r="D94" s="43"/>
      <c r="G94" s="45">
        <f>SUM(G92:G93)</f>
        <v>-500474.4</v>
      </c>
      <c r="H94" s="44">
        <f>SUM(G92:G93)</f>
        <v>-500474.4</v>
      </c>
      <c r="I94" s="42"/>
      <c r="J94" s="42"/>
      <c r="K94" s="42"/>
    </row>
    <row r="95" spans="1:11" ht="23.25" customHeight="1">
      <c r="C95" s="4" t="s">
        <v>159</v>
      </c>
      <c r="H95" s="13">
        <f>SUM(H85:H94)</f>
        <v>179525.59999999998</v>
      </c>
    </row>
    <row r="96" spans="1:11">
      <c r="D96" s="8"/>
      <c r="F96" s="12"/>
    </row>
    <row r="97" spans="2:8">
      <c r="B97" s="4" t="s">
        <v>161</v>
      </c>
      <c r="D97" s="8"/>
      <c r="F97" s="12"/>
    </row>
    <row r="98" spans="2:8">
      <c r="C98" s="4" t="s">
        <v>47</v>
      </c>
    </row>
    <row r="99" spans="2:8">
      <c r="C99" s="22" t="s">
        <v>192</v>
      </c>
      <c r="D99" s="22"/>
      <c r="E99" s="30">
        <v>0.12</v>
      </c>
    </row>
    <row r="101" spans="2:8">
      <c r="C101" s="4" t="s">
        <v>74</v>
      </c>
      <c r="D101" s="8" t="s">
        <v>162</v>
      </c>
      <c r="H101" s="55">
        <f>G28</f>
        <v>794000</v>
      </c>
    </row>
    <row r="102" spans="2:8">
      <c r="C102" s="4" t="s">
        <v>57</v>
      </c>
      <c r="D102" s="8" t="s">
        <v>159</v>
      </c>
      <c r="H102" s="12">
        <f>+H95</f>
        <v>179525.59999999998</v>
      </c>
    </row>
    <row r="103" spans="2:8">
      <c r="C103" s="4" t="s">
        <v>64</v>
      </c>
      <c r="D103" s="8" t="s">
        <v>159</v>
      </c>
      <c r="H103" s="12">
        <f>+H102</f>
        <v>179525.59999999998</v>
      </c>
    </row>
    <row r="104" spans="2:8">
      <c r="C104" s="4" t="s">
        <v>73</v>
      </c>
      <c r="D104" s="8" t="s">
        <v>159</v>
      </c>
      <c r="H104" s="12">
        <f t="shared" ref="H104:H105" si="6">+H103</f>
        <v>179525.59999999998</v>
      </c>
    </row>
    <row r="105" spans="2:8">
      <c r="C105" s="4" t="s">
        <v>75</v>
      </c>
      <c r="D105" s="8" t="s">
        <v>159</v>
      </c>
      <c r="H105" s="12">
        <f t="shared" si="6"/>
        <v>179525.59999999998</v>
      </c>
    </row>
    <row r="106" spans="2:8">
      <c r="C106" s="4" t="s">
        <v>78</v>
      </c>
      <c r="D106" s="8" t="s">
        <v>163</v>
      </c>
      <c r="E106" s="12"/>
      <c r="H106" s="14">
        <f>+H105+G24</f>
        <v>533498.20273972605</v>
      </c>
    </row>
    <row r="107" spans="2:8">
      <c r="D107" s="8"/>
      <c r="E107" s="14"/>
      <c r="H107" s="12"/>
    </row>
    <row r="108" spans="2:8">
      <c r="C108" s="4" t="s">
        <v>334</v>
      </c>
      <c r="D108" s="8"/>
      <c r="E108" s="14"/>
      <c r="H108" s="14">
        <f>ROUND(NPV(E99,H102,H103,H104,H105,H106),-3)</f>
        <v>848000</v>
      </c>
    </row>
    <row r="109" spans="2:8">
      <c r="D109" s="4" t="s">
        <v>333</v>
      </c>
      <c r="E109" s="14"/>
      <c r="H109" s="62"/>
    </row>
    <row r="110" spans="2:8">
      <c r="C110" s="4" t="s">
        <v>165</v>
      </c>
      <c r="D110" s="8"/>
      <c r="E110" s="14"/>
      <c r="H110" s="12">
        <f>+H101</f>
        <v>794000</v>
      </c>
    </row>
    <row r="111" spans="2:8" ht="23.25" customHeight="1">
      <c r="C111" s="4" t="s">
        <v>166</v>
      </c>
      <c r="H111" s="13">
        <f>+H108-H110</f>
        <v>54000</v>
      </c>
    </row>
    <row r="113" spans="1:6">
      <c r="C113" s="4" t="s">
        <v>193</v>
      </c>
    </row>
    <row r="115" spans="1:6">
      <c r="B115" s="4" t="s">
        <v>194</v>
      </c>
    </row>
    <row r="116" spans="1:6">
      <c r="C116" s="4" t="s">
        <v>159</v>
      </c>
      <c r="F116" s="14">
        <f>+H95</f>
        <v>179525.59999999998</v>
      </c>
    </row>
    <row r="117" spans="1:6">
      <c r="C117" s="4" t="s">
        <v>195</v>
      </c>
    </row>
    <row r="118" spans="1:6">
      <c r="D118" s="4" t="s">
        <v>196</v>
      </c>
      <c r="F118" s="14">
        <f>300000/5</f>
        <v>60000</v>
      </c>
    </row>
    <row r="119" spans="1:6" ht="19.25" customHeight="1">
      <c r="C119" s="4" t="s">
        <v>197</v>
      </c>
      <c r="F119" s="36">
        <f>SUM(F116-F118)</f>
        <v>119525.59999999998</v>
      </c>
    </row>
    <row r="121" spans="1:6">
      <c r="C121" s="4" t="s">
        <v>298</v>
      </c>
      <c r="F121" s="19">
        <f>+F119/-H101</f>
        <v>-0.15053602015113346</v>
      </c>
    </row>
    <row r="123" spans="1:6">
      <c r="A123" s="24" t="s">
        <v>213</v>
      </c>
      <c r="B123" s="24" t="s">
        <v>332</v>
      </c>
    </row>
    <row r="124" spans="1:6">
      <c r="B124" s="4" t="s">
        <v>198</v>
      </c>
    </row>
    <row r="127" spans="1:6">
      <c r="A127" s="24" t="s">
        <v>337</v>
      </c>
    </row>
    <row r="128" spans="1:6">
      <c r="A128" s="24"/>
      <c r="B128" s="4" t="s">
        <v>336</v>
      </c>
    </row>
    <row r="145" spans="2:2">
      <c r="B145" s="4" t="s">
        <v>335</v>
      </c>
    </row>
  </sheetData>
  <mergeCells count="7">
    <mergeCell ref="B48:D48"/>
    <mergeCell ref="B42:D42"/>
    <mergeCell ref="B43:D43"/>
    <mergeCell ref="B44:D44"/>
    <mergeCell ref="B45:D45"/>
    <mergeCell ref="B46:D46"/>
    <mergeCell ref="B47:D47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12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5AA9-C959-4141-B4AB-D7A7CA5F436B}">
  <sheetPr published="0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G25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4" width="11.5" style="4"/>
    <col min="5" max="5" width="12.83203125" style="4" customWidth="1"/>
    <col min="6" max="16384" width="11.5" style="4"/>
  </cols>
  <sheetData>
    <row r="1" spans="1:7" ht="16">
      <c r="A1" s="6" t="s">
        <v>339</v>
      </c>
    </row>
    <row r="2" spans="1:7" ht="16">
      <c r="A2" s="6"/>
    </row>
    <row r="3" spans="1:7">
      <c r="A3" s="4" t="s">
        <v>14</v>
      </c>
    </row>
    <row r="4" spans="1:7">
      <c r="A4" s="4" t="s">
        <v>0</v>
      </c>
      <c r="B4" s="7" t="s">
        <v>210</v>
      </c>
      <c r="D4" s="7">
        <f>900000/365*20</f>
        <v>49315.068493150684</v>
      </c>
    </row>
    <row r="6" spans="1:7">
      <c r="A6" s="4" t="s">
        <v>4</v>
      </c>
      <c r="B6" s="8" t="s">
        <v>211</v>
      </c>
      <c r="D6" s="7">
        <f>4800000/12*1</f>
        <v>400000</v>
      </c>
    </row>
    <row r="7" spans="1:7">
      <c r="D7" s="7"/>
    </row>
    <row r="8" spans="1:7">
      <c r="A8" s="4" t="s">
        <v>5</v>
      </c>
      <c r="B8" s="8" t="s">
        <v>15</v>
      </c>
      <c r="D8" s="7">
        <f>4200000/7</f>
        <v>600000</v>
      </c>
    </row>
    <row r="9" spans="1:7">
      <c r="D9" s="7"/>
    </row>
    <row r="10" spans="1:7">
      <c r="A10" s="4" t="s">
        <v>9</v>
      </c>
      <c r="B10" s="8" t="s">
        <v>212</v>
      </c>
      <c r="D10" s="7">
        <f>3000000*0.8*36/365</f>
        <v>236712.32876712328</v>
      </c>
      <c r="G10" s="7"/>
    </row>
    <row r="12" spans="1:7">
      <c r="A12" s="4" t="s">
        <v>213</v>
      </c>
      <c r="B12" s="4" t="s">
        <v>214</v>
      </c>
      <c r="F12" s="5">
        <f>5485000/1.25</f>
        <v>4388000</v>
      </c>
    </row>
    <row r="14" spans="1:7">
      <c r="B14" s="8" t="s">
        <v>215</v>
      </c>
      <c r="F14" s="7">
        <f>F12*2/12</f>
        <v>731333.33333333337</v>
      </c>
      <c r="G14" s="7"/>
    </row>
    <row r="15" spans="1:7">
      <c r="F15" s="7"/>
    </row>
    <row r="16" spans="1:7">
      <c r="A16" s="4" t="s">
        <v>3</v>
      </c>
      <c r="B16" s="4" t="s">
        <v>216</v>
      </c>
      <c r="F16" s="7">
        <f>5000000/1.25</f>
        <v>4000000</v>
      </c>
    </row>
    <row r="17" spans="1:7">
      <c r="B17" s="4" t="s">
        <v>217</v>
      </c>
      <c r="E17" s="7"/>
      <c r="F17" s="5">
        <f>F16*0.6</f>
        <v>2400000</v>
      </c>
    </row>
    <row r="18" spans="1:7">
      <c r="E18" s="7"/>
      <c r="F18" s="5"/>
    </row>
    <row r="19" spans="1:7">
      <c r="B19" s="8" t="s">
        <v>218</v>
      </c>
      <c r="D19" s="8"/>
      <c r="F19" s="7">
        <f>F17*50/365</f>
        <v>328767.12328767125</v>
      </c>
      <c r="G19" s="8"/>
    </row>
    <row r="21" spans="1:7">
      <c r="A21" s="4" t="s">
        <v>219</v>
      </c>
      <c r="B21" s="4" t="s">
        <v>220</v>
      </c>
    </row>
    <row r="22" spans="1:7">
      <c r="B22" s="4" t="s">
        <v>221</v>
      </c>
      <c r="F22" s="5">
        <f>4200000/0.7</f>
        <v>6000000</v>
      </c>
    </row>
    <row r="23" spans="1:7">
      <c r="E23" s="8"/>
      <c r="F23" s="5"/>
      <c r="G23" s="7"/>
    </row>
    <row r="24" spans="1:7">
      <c r="B24" s="4" t="s">
        <v>222</v>
      </c>
      <c r="E24" s="8"/>
      <c r="F24" s="5">
        <f>F22*0.7</f>
        <v>4200000</v>
      </c>
      <c r="G24" s="7"/>
    </row>
    <row r="25" spans="1:7">
      <c r="B25" s="4" t="s">
        <v>223</v>
      </c>
      <c r="E25" s="8"/>
      <c r="F25" s="5">
        <f>F24/12</f>
        <v>350000</v>
      </c>
      <c r="G25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23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16384" width="11.5" style="4"/>
  </cols>
  <sheetData>
    <row r="1" spans="1:7" ht="16">
      <c r="A1" s="6" t="s">
        <v>340</v>
      </c>
    </row>
    <row r="2" spans="1:7" ht="16">
      <c r="A2" s="6"/>
    </row>
    <row r="3" spans="1:7">
      <c r="A3" s="4" t="s">
        <v>0</v>
      </c>
      <c r="B3" s="4" t="s">
        <v>224</v>
      </c>
      <c r="E3" s="5">
        <f>1500000*2/3</f>
        <v>1000000</v>
      </c>
    </row>
    <row r="4" spans="1:7" ht="16">
      <c r="A4" s="6"/>
    </row>
    <row r="5" spans="1:7">
      <c r="B5" s="4" t="s">
        <v>16</v>
      </c>
    </row>
    <row r="6" spans="1:7">
      <c r="B6" s="4" t="s">
        <v>17</v>
      </c>
      <c r="C6" s="8" t="s">
        <v>225</v>
      </c>
      <c r="F6" s="7">
        <f>E3*2/12</f>
        <v>166666.66666666666</v>
      </c>
    </row>
    <row r="7" spans="1:7">
      <c r="B7" s="4" t="s">
        <v>18</v>
      </c>
      <c r="C7" s="8" t="s">
        <v>226</v>
      </c>
      <c r="F7" s="7">
        <f>1500000*36/365</f>
        <v>147945.20547945207</v>
      </c>
    </row>
    <row r="8" spans="1:7">
      <c r="B8" s="4" t="s">
        <v>27</v>
      </c>
      <c r="C8" s="8" t="s">
        <v>227</v>
      </c>
      <c r="F8" s="7">
        <f>-1500000*20/365</f>
        <v>-82191.780821917811</v>
      </c>
    </row>
    <row r="9" spans="1:7" ht="23.25" customHeight="1">
      <c r="B9" s="4" t="s">
        <v>19</v>
      </c>
      <c r="F9" s="9">
        <f>SUM(F6:F8)</f>
        <v>232420.09132420091</v>
      </c>
    </row>
    <row r="11" spans="1:7">
      <c r="A11" s="4" t="s">
        <v>4</v>
      </c>
      <c r="B11" s="8" t="s">
        <v>20</v>
      </c>
      <c r="D11" s="7"/>
    </row>
    <row r="12" spans="1:7">
      <c r="D12" s="7"/>
    </row>
    <row r="13" spans="1:7">
      <c r="A13" s="4" t="s">
        <v>5</v>
      </c>
      <c r="B13" s="8" t="s">
        <v>21</v>
      </c>
      <c r="D13" s="7"/>
    </row>
    <row r="14" spans="1:7">
      <c r="B14" s="4" t="s">
        <v>17</v>
      </c>
      <c r="C14" s="8" t="s">
        <v>228</v>
      </c>
      <c r="F14" s="7">
        <f>E3/12</f>
        <v>83333.333333333328</v>
      </c>
    </row>
    <row r="15" spans="1:7">
      <c r="B15" s="4" t="s">
        <v>18</v>
      </c>
      <c r="C15" s="8" t="s">
        <v>229</v>
      </c>
      <c r="F15" s="7">
        <f>1500000*20/365</f>
        <v>82191.780821917811</v>
      </c>
      <c r="G15" s="7"/>
    </row>
    <row r="16" spans="1:7">
      <c r="B16" s="4" t="s">
        <v>27</v>
      </c>
      <c r="C16" s="8" t="s">
        <v>227</v>
      </c>
      <c r="F16" s="7">
        <f>-1500000*20/365</f>
        <v>-82191.780821917811</v>
      </c>
    </row>
    <row r="17" spans="2:7" ht="21" customHeight="1">
      <c r="B17" s="4" t="s">
        <v>19</v>
      </c>
      <c r="F17" s="9">
        <f>SUM(F14:F16)</f>
        <v>83333.333333333314</v>
      </c>
    </row>
    <row r="18" spans="2:7">
      <c r="E18" s="7"/>
      <c r="G18" s="7"/>
    </row>
    <row r="19" spans="2:7">
      <c r="B19" s="4" t="s">
        <v>230</v>
      </c>
      <c r="D19" s="8" t="str">
        <f>+TEXT(F9,"# ##0")&amp;" – "&amp;TEXT(F17,"# ##0")&amp;" ="</f>
        <v>232 420 – 83 333 =</v>
      </c>
      <c r="E19" s="7"/>
      <c r="F19" s="10">
        <f>+F9-F17</f>
        <v>149086.7579908676</v>
      </c>
    </row>
    <row r="20" spans="2:7">
      <c r="B20" s="8"/>
      <c r="D20" s="8"/>
      <c r="E20" s="7"/>
      <c r="G20" s="8"/>
    </row>
    <row r="22" spans="2:7">
      <c r="E22" s="8"/>
      <c r="G22" s="7"/>
    </row>
    <row r="23" spans="2:7">
      <c r="E23" s="8"/>
      <c r="G23" s="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F13"/>
  <sheetViews>
    <sheetView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16384" width="11.5" style="4"/>
  </cols>
  <sheetData>
    <row r="1" spans="1:6" ht="16">
      <c r="A1" s="6" t="s">
        <v>341</v>
      </c>
    </row>
    <row r="2" spans="1:6" ht="16">
      <c r="A2" s="6"/>
    </row>
    <row r="3" spans="1:6">
      <c r="A3" s="4" t="s">
        <v>22</v>
      </c>
    </row>
    <row r="4" spans="1:6">
      <c r="A4" s="4" t="s">
        <v>23</v>
      </c>
      <c r="C4" s="8"/>
    </row>
    <row r="5" spans="1:6">
      <c r="A5" s="4" t="s">
        <v>24</v>
      </c>
      <c r="C5" s="8"/>
    </row>
    <row r="6" spans="1:6">
      <c r="A6" s="4" t="s">
        <v>25</v>
      </c>
      <c r="C6" s="8"/>
    </row>
    <row r="7" spans="1:6">
      <c r="A7" s="4" t="s">
        <v>26</v>
      </c>
      <c r="C7" s="8"/>
      <c r="F7" s="7"/>
    </row>
    <row r="8" spans="1:6">
      <c r="E8" s="7"/>
      <c r="F8" s="7"/>
    </row>
    <row r="9" spans="1:6">
      <c r="D9" s="8"/>
      <c r="E9" s="7"/>
    </row>
    <row r="10" spans="1:6">
      <c r="B10" s="8"/>
      <c r="D10" s="8"/>
      <c r="E10" s="7"/>
      <c r="F10" s="8"/>
    </row>
    <row r="12" spans="1:6">
      <c r="E12" s="8"/>
      <c r="F12" s="7"/>
    </row>
    <row r="13" spans="1:6">
      <c r="E13" s="8"/>
      <c r="F13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G20"/>
  <sheetViews>
    <sheetView workbookViewId="0"/>
  </sheetViews>
  <sheetFormatPr baseColWidth="10" defaultColWidth="11.5" defaultRowHeight="15"/>
  <cols>
    <col min="1" max="1" width="4.1640625" style="4" customWidth="1"/>
    <col min="2" max="2" width="17.5" style="4" customWidth="1"/>
    <col min="3" max="3" width="11.5" style="4"/>
    <col min="4" max="4" width="13.1640625" style="4" customWidth="1"/>
    <col min="5" max="5" width="11.5" style="4"/>
    <col min="6" max="6" width="12.1640625" style="4" customWidth="1"/>
    <col min="7" max="7" width="12.83203125" style="4" bestFit="1" customWidth="1"/>
    <col min="8" max="16384" width="11.5" style="4"/>
  </cols>
  <sheetData>
    <row r="1" spans="1:7" ht="16">
      <c r="A1" s="6" t="s">
        <v>338</v>
      </c>
    </row>
    <row r="2" spans="1:7" ht="16">
      <c r="A2" s="6"/>
    </row>
    <row r="3" spans="1:7" ht="16">
      <c r="A3" s="6"/>
      <c r="B3" s="4" t="s">
        <v>28</v>
      </c>
      <c r="E3" s="4" t="s">
        <v>231</v>
      </c>
      <c r="G3" s="11">
        <f>28000000*1.2</f>
        <v>33600000</v>
      </c>
    </row>
    <row r="4" spans="1:7" ht="16">
      <c r="A4" s="6"/>
    </row>
    <row r="5" spans="1:7">
      <c r="A5" s="4" t="s">
        <v>0</v>
      </c>
      <c r="B5" s="4" t="s">
        <v>29</v>
      </c>
      <c r="D5" s="8" t="s">
        <v>232</v>
      </c>
      <c r="F5" s="12">
        <f>33600000*25/365</f>
        <v>2301369.8630136987</v>
      </c>
    </row>
    <row r="6" spans="1:7">
      <c r="B6" s="4" t="s">
        <v>30</v>
      </c>
      <c r="D6" s="8" t="s">
        <v>233</v>
      </c>
      <c r="F6" s="11">
        <f>28000000*25/365</f>
        <v>1917808.2191780822</v>
      </c>
    </row>
    <row r="7" spans="1:7" ht="23.25" customHeight="1">
      <c r="B7" s="4" t="s">
        <v>31</v>
      </c>
      <c r="F7" s="13">
        <f>+F5-F6</f>
        <v>383561.64383561653</v>
      </c>
    </row>
    <row r="8" spans="1:7">
      <c r="D8" s="8"/>
    </row>
    <row r="9" spans="1:7">
      <c r="A9" s="4" t="s">
        <v>1</v>
      </c>
      <c r="B9" s="4" t="s">
        <v>29</v>
      </c>
      <c r="D9" s="8" t="s">
        <v>234</v>
      </c>
      <c r="F9" s="12">
        <f>33600000*35/365</f>
        <v>3221917.8082191781</v>
      </c>
    </row>
    <row r="10" spans="1:7">
      <c r="B10" s="4" t="s">
        <v>30</v>
      </c>
      <c r="D10" s="8"/>
      <c r="F10" s="11">
        <f>28000000/365*25</f>
        <v>1917808.219178082</v>
      </c>
    </row>
    <row r="11" spans="1:7" ht="23.25" customHeight="1">
      <c r="B11" s="4" t="s">
        <v>31</v>
      </c>
      <c r="F11" s="13">
        <f>+F9-F10</f>
        <v>1304109.5890410962</v>
      </c>
    </row>
    <row r="12" spans="1:7">
      <c r="D12" s="8"/>
    </row>
    <row r="13" spans="1:7">
      <c r="A13" s="4" t="s">
        <v>5</v>
      </c>
      <c r="B13" s="4" t="s">
        <v>32</v>
      </c>
      <c r="D13" s="8"/>
    </row>
    <row r="14" spans="1:7">
      <c r="D14" s="8" t="str">
        <f>+TEXT(F11,"# ##0")&amp;" – "&amp;TEXT(F7,"# ##0")&amp;" ="</f>
        <v>1 304 110 – 383 562 =</v>
      </c>
      <c r="E14" s="8"/>
      <c r="F14" s="14">
        <f>+F11-F7</f>
        <v>920547.94520547963</v>
      </c>
      <c r="G14" s="7"/>
    </row>
    <row r="15" spans="1:7">
      <c r="B15" s="4" t="s">
        <v>33</v>
      </c>
    </row>
    <row r="16" spans="1:7">
      <c r="D16" s="8" t="s">
        <v>235</v>
      </c>
      <c r="F16" s="14">
        <f>+F14*0.09</f>
        <v>82849.315068493161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F17"/>
  <sheetViews>
    <sheetView workbookViewId="0">
      <selection activeCell="A11" sqref="A11"/>
    </sheetView>
  </sheetViews>
  <sheetFormatPr baseColWidth="10" defaultColWidth="11.5" defaultRowHeight="15"/>
  <cols>
    <col min="1" max="1" width="4.1640625" style="4" customWidth="1"/>
    <col min="2" max="2" width="17.5" style="4" customWidth="1"/>
    <col min="3" max="16384" width="11.5" style="4"/>
  </cols>
  <sheetData>
    <row r="1" spans="1:6" ht="16">
      <c r="A1" s="6" t="s">
        <v>342</v>
      </c>
    </row>
    <row r="2" spans="1:6" ht="16">
      <c r="A2" s="6"/>
    </row>
    <row r="3" spans="1:6">
      <c r="A3" s="4" t="s">
        <v>37</v>
      </c>
    </row>
    <row r="4" spans="1:6">
      <c r="A4" s="8" t="s">
        <v>236</v>
      </c>
      <c r="C4" s="8"/>
    </row>
    <row r="5" spans="1:6">
      <c r="A5" s="8" t="s">
        <v>39</v>
      </c>
      <c r="C5" s="8"/>
    </row>
    <row r="6" spans="1:6">
      <c r="A6" s="4" t="s">
        <v>38</v>
      </c>
      <c r="C6" s="8"/>
    </row>
    <row r="7" spans="1:6">
      <c r="A7" s="8" t="s">
        <v>40</v>
      </c>
      <c r="C7" s="8"/>
      <c r="F7" s="7"/>
    </row>
    <row r="8" spans="1:6">
      <c r="E8" s="7"/>
      <c r="F8" s="7"/>
    </row>
    <row r="9" spans="1:6">
      <c r="D9" s="8"/>
      <c r="E9" s="7"/>
    </row>
    <row r="10" spans="1:6" ht="16">
      <c r="A10" s="6" t="s">
        <v>343</v>
      </c>
      <c r="D10" s="8"/>
      <c r="E10" s="7"/>
      <c r="F10" s="8"/>
    </row>
    <row r="11" spans="1:6" ht="16">
      <c r="A11" s="6"/>
    </row>
    <row r="12" spans="1:6">
      <c r="A12" s="4" t="s">
        <v>41</v>
      </c>
      <c r="E12" s="8"/>
      <c r="F12" s="7"/>
    </row>
    <row r="13" spans="1:6">
      <c r="A13" s="8" t="s">
        <v>42</v>
      </c>
      <c r="E13" s="8"/>
      <c r="F13" s="7"/>
    </row>
    <row r="14" spans="1:6">
      <c r="A14" s="8" t="s">
        <v>43</v>
      </c>
    </row>
    <row r="15" spans="1:6">
      <c r="A15" s="8" t="s">
        <v>44</v>
      </c>
    </row>
    <row r="16" spans="1:6">
      <c r="A16" s="8" t="s">
        <v>45</v>
      </c>
    </row>
    <row r="17" spans="1:1">
      <c r="A17" s="8" t="s">
        <v>46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0"/>
  <sheetViews>
    <sheetView zoomScaleNormal="100" workbookViewId="0">
      <selection activeCell="D1" sqref="D1"/>
    </sheetView>
  </sheetViews>
  <sheetFormatPr baseColWidth="10" defaultColWidth="11.5" defaultRowHeight="15"/>
  <cols>
    <col min="1" max="1" width="4.1640625" style="2" customWidth="1"/>
    <col min="2" max="2" width="4.6640625" customWidth="1"/>
    <col min="3" max="3" width="7.1640625" customWidth="1"/>
    <col min="4" max="4" width="13.5" customWidth="1"/>
    <col min="5" max="5" width="12.83203125" customWidth="1"/>
    <col min="6" max="6" width="8.33203125" customWidth="1"/>
    <col min="8" max="8" width="9.5" customWidth="1"/>
  </cols>
  <sheetData>
    <row r="1" spans="1:9" ht="16">
      <c r="A1" s="6" t="s">
        <v>344</v>
      </c>
    </row>
    <row r="2" spans="1:9" s="4" customFormat="1" ht="16">
      <c r="A2" s="6"/>
    </row>
    <row r="3" spans="1:9">
      <c r="A3" s="4" t="s">
        <v>70</v>
      </c>
      <c r="B3" t="s">
        <v>47</v>
      </c>
    </row>
    <row r="4" spans="1:9" ht="18.75" customHeight="1">
      <c r="B4" s="63" t="s">
        <v>48</v>
      </c>
      <c r="C4" s="63"/>
      <c r="D4" s="63"/>
      <c r="E4" s="17">
        <v>50000</v>
      </c>
    </row>
    <row r="5" spans="1:9">
      <c r="B5" s="63" t="s">
        <v>49</v>
      </c>
      <c r="C5" s="63"/>
      <c r="D5" s="63"/>
      <c r="E5" s="17">
        <v>500</v>
      </c>
      <c r="F5" s="1"/>
    </row>
    <row r="6" spans="1:9" s="4" customFormat="1">
      <c r="B6" s="63" t="s">
        <v>51</v>
      </c>
      <c r="C6" s="63"/>
      <c r="D6" s="63"/>
      <c r="E6" s="16">
        <v>2</v>
      </c>
    </row>
    <row r="7" spans="1:9" s="4" customFormat="1">
      <c r="B7" s="63" t="s">
        <v>52</v>
      </c>
      <c r="C7" s="63"/>
      <c r="D7" s="63"/>
      <c r="E7" s="16">
        <v>4</v>
      </c>
    </row>
    <row r="8" spans="1:9" s="4" customFormat="1">
      <c r="B8" s="63" t="s">
        <v>50</v>
      </c>
      <c r="C8" s="63"/>
      <c r="D8" s="63"/>
      <c r="E8" s="17">
        <v>50</v>
      </c>
    </row>
    <row r="9" spans="1:9" s="4" customFormat="1">
      <c r="B9" s="63" t="s">
        <v>53</v>
      </c>
      <c r="C9" s="63"/>
      <c r="D9" s="63"/>
      <c r="E9" s="18">
        <v>0.08</v>
      </c>
    </row>
    <row r="10" spans="1:9" s="4" customFormat="1">
      <c r="B10" s="63" t="s">
        <v>55</v>
      </c>
      <c r="C10" s="63"/>
      <c r="D10" s="63"/>
      <c r="E10" s="16" t="s">
        <v>54</v>
      </c>
    </row>
    <row r="11" spans="1:9">
      <c r="B11" s="1"/>
      <c r="C11" s="1"/>
      <c r="D11" s="1"/>
      <c r="E11" s="1"/>
      <c r="F11" s="1"/>
    </row>
    <row r="12" spans="1:9" s="4" customFormat="1">
      <c r="B12" s="4" t="s">
        <v>56</v>
      </c>
    </row>
    <row r="13" spans="1:9" s="4" customFormat="1" ht="46.5" customHeight="1">
      <c r="B13" s="20" t="s">
        <v>66</v>
      </c>
      <c r="C13" s="20" t="s">
        <v>67</v>
      </c>
      <c r="D13" s="37" t="s">
        <v>60</v>
      </c>
      <c r="E13" s="37" t="s">
        <v>58</v>
      </c>
      <c r="F13" s="37" t="s">
        <v>59</v>
      </c>
      <c r="G13" s="37" t="s">
        <v>62</v>
      </c>
      <c r="H13" s="37" t="s">
        <v>61</v>
      </c>
      <c r="I13" s="37" t="s">
        <v>63</v>
      </c>
    </row>
    <row r="14" spans="1:9" s="4" customFormat="1">
      <c r="B14" s="4" t="s">
        <v>57</v>
      </c>
      <c r="D14" s="5"/>
      <c r="E14" s="5"/>
      <c r="F14" s="5"/>
      <c r="G14" s="5">
        <f>+E4</f>
        <v>50000</v>
      </c>
      <c r="H14" s="5">
        <f>+E5</f>
        <v>500</v>
      </c>
      <c r="I14" s="14">
        <f>+G14-H14</f>
        <v>49500</v>
      </c>
    </row>
    <row r="15" spans="1:9" s="4" customFormat="1">
      <c r="C15" s="4">
        <v>1</v>
      </c>
      <c r="D15" s="5">
        <f>+G14</f>
        <v>50000</v>
      </c>
      <c r="E15" s="5">
        <f t="shared" ref="E15:E22" si="0">+G14*$E$9/$E$7</f>
        <v>1000</v>
      </c>
      <c r="F15" s="5">
        <f>+E4/(E6*E7)</f>
        <v>6250</v>
      </c>
      <c r="G15" s="5">
        <f>+G14-F15</f>
        <v>43750</v>
      </c>
      <c r="H15" s="5">
        <f t="shared" ref="H15:H22" si="1">+$E$8</f>
        <v>50</v>
      </c>
      <c r="I15" s="14">
        <f>-E15-F15-H15</f>
        <v>-7300</v>
      </c>
    </row>
    <row r="16" spans="1:9" s="4" customFormat="1">
      <c r="C16" s="4">
        <v>2</v>
      </c>
      <c r="D16" s="5">
        <f t="shared" ref="D16:D17" si="2">+G15</f>
        <v>43750</v>
      </c>
      <c r="E16" s="5">
        <f t="shared" si="0"/>
        <v>875</v>
      </c>
      <c r="F16" s="5">
        <f>+F15</f>
        <v>6250</v>
      </c>
      <c r="G16" s="5">
        <f t="shared" ref="G16:G17" si="3">+G15-F16</f>
        <v>37500</v>
      </c>
      <c r="H16" s="5">
        <f t="shared" si="1"/>
        <v>50</v>
      </c>
      <c r="I16" s="14">
        <f t="shared" ref="I16:I17" si="4">-E16-F16-H16</f>
        <v>-7175</v>
      </c>
    </row>
    <row r="17" spans="1:9" s="4" customFormat="1">
      <c r="C17" s="4">
        <v>3</v>
      </c>
      <c r="D17" s="5">
        <f t="shared" si="2"/>
        <v>37500</v>
      </c>
      <c r="E17" s="5">
        <f t="shared" si="0"/>
        <v>750</v>
      </c>
      <c r="F17" s="5">
        <f>+F16</f>
        <v>6250</v>
      </c>
      <c r="G17" s="5">
        <f t="shared" si="3"/>
        <v>31250</v>
      </c>
      <c r="H17" s="5">
        <f t="shared" si="1"/>
        <v>50</v>
      </c>
      <c r="I17" s="14">
        <f t="shared" si="4"/>
        <v>-7050</v>
      </c>
    </row>
    <row r="18" spans="1:9" s="4" customFormat="1">
      <c r="C18" s="4">
        <v>4</v>
      </c>
      <c r="D18" s="5">
        <f t="shared" ref="D18:D19" si="5">+G17</f>
        <v>31250</v>
      </c>
      <c r="E18" s="5">
        <f t="shared" si="0"/>
        <v>625</v>
      </c>
      <c r="F18" s="5">
        <f t="shared" ref="F18:F19" si="6">+F17</f>
        <v>6250</v>
      </c>
      <c r="G18" s="5">
        <f t="shared" ref="G18:G19" si="7">+G17-F18</f>
        <v>25000</v>
      </c>
      <c r="H18" s="5">
        <f t="shared" si="1"/>
        <v>50</v>
      </c>
      <c r="I18" s="14">
        <f t="shared" ref="I18:I19" si="8">-E18-F18-H18</f>
        <v>-6925</v>
      </c>
    </row>
    <row r="19" spans="1:9" s="4" customFormat="1">
      <c r="B19" s="4" t="s">
        <v>64</v>
      </c>
      <c r="C19" s="4">
        <v>5</v>
      </c>
      <c r="D19" s="5">
        <f t="shared" si="5"/>
        <v>25000</v>
      </c>
      <c r="E19" s="5">
        <f t="shared" si="0"/>
        <v>500</v>
      </c>
      <c r="F19" s="5">
        <f t="shared" si="6"/>
        <v>6250</v>
      </c>
      <c r="G19" s="5">
        <f t="shared" si="7"/>
        <v>18750</v>
      </c>
      <c r="H19" s="5">
        <f t="shared" si="1"/>
        <v>50</v>
      </c>
      <c r="I19" s="14">
        <f t="shared" si="8"/>
        <v>-6800</v>
      </c>
    </row>
    <row r="20" spans="1:9" s="4" customFormat="1">
      <c r="C20" s="4">
        <v>6</v>
      </c>
      <c r="D20" s="5">
        <f t="shared" ref="D20:D22" si="9">+G19</f>
        <v>18750</v>
      </c>
      <c r="E20" s="5">
        <f t="shared" si="0"/>
        <v>375</v>
      </c>
      <c r="F20" s="5">
        <f t="shared" ref="F20:F22" si="10">+F19</f>
        <v>6250</v>
      </c>
      <c r="G20" s="5">
        <f t="shared" ref="G20:G22" si="11">+G19-F20</f>
        <v>12500</v>
      </c>
      <c r="H20" s="5">
        <f t="shared" si="1"/>
        <v>50</v>
      </c>
      <c r="I20" s="14">
        <f t="shared" ref="I20:I22" si="12">-E20-F20-H20</f>
        <v>-6675</v>
      </c>
    </row>
    <row r="21" spans="1:9" s="4" customFormat="1">
      <c r="C21" s="4">
        <v>7</v>
      </c>
      <c r="D21" s="5">
        <f t="shared" si="9"/>
        <v>12500</v>
      </c>
      <c r="E21" s="5">
        <f t="shared" si="0"/>
        <v>250</v>
      </c>
      <c r="F21" s="5">
        <f t="shared" si="10"/>
        <v>6250</v>
      </c>
      <c r="G21" s="5">
        <f t="shared" si="11"/>
        <v>6250</v>
      </c>
      <c r="H21" s="5">
        <f t="shared" si="1"/>
        <v>50</v>
      </c>
      <c r="I21" s="14">
        <f t="shared" si="12"/>
        <v>-6550</v>
      </c>
    </row>
    <row r="22" spans="1:9" s="4" customFormat="1">
      <c r="C22" s="4">
        <v>8</v>
      </c>
      <c r="D22" s="5">
        <f t="shared" si="9"/>
        <v>6250</v>
      </c>
      <c r="E22" s="5">
        <f t="shared" si="0"/>
        <v>125</v>
      </c>
      <c r="F22" s="5">
        <f t="shared" si="10"/>
        <v>6250</v>
      </c>
      <c r="G22" s="5">
        <f t="shared" si="11"/>
        <v>0</v>
      </c>
      <c r="H22" s="5">
        <f t="shared" si="1"/>
        <v>50</v>
      </c>
      <c r="I22" s="14">
        <f t="shared" si="12"/>
        <v>-6425</v>
      </c>
    </row>
    <row r="23" spans="1:9" s="4" customFormat="1">
      <c r="D23" s="14"/>
      <c r="G23" s="14"/>
      <c r="H23" s="14"/>
      <c r="I23" s="14"/>
    </row>
    <row r="24" spans="1:9" s="4" customFormat="1">
      <c r="B24" s="4" t="s">
        <v>68</v>
      </c>
      <c r="C24" s="19"/>
      <c r="G24" s="8" t="s">
        <v>65</v>
      </c>
      <c r="I24" s="23">
        <f>+IRR(I14:I22)</f>
        <v>2.4133124529547079E-2</v>
      </c>
    </row>
    <row r="25" spans="1:9" s="4" customFormat="1" ht="17">
      <c r="C25" s="4" t="s">
        <v>69</v>
      </c>
      <c r="G25" s="52" t="s">
        <v>325</v>
      </c>
      <c r="I25" s="23">
        <f>+(1+I24)^E7-1</f>
        <v>0.10008350478443018</v>
      </c>
    </row>
    <row r="26" spans="1:9" s="4" customFormat="1"/>
    <row r="27" spans="1:9" s="4" customFormat="1"/>
    <row r="28" spans="1:9" s="4" customFormat="1">
      <c r="A28" s="4" t="s">
        <v>4</v>
      </c>
      <c r="B28" s="4" t="s">
        <v>47</v>
      </c>
    </row>
    <row r="29" spans="1:9" s="4" customFormat="1">
      <c r="B29" s="63" t="s">
        <v>48</v>
      </c>
      <c r="C29" s="63"/>
      <c r="D29" s="63"/>
      <c r="E29" s="17">
        <v>50000</v>
      </c>
    </row>
    <row r="30" spans="1:9" s="4" customFormat="1">
      <c r="B30" s="63" t="s">
        <v>49</v>
      </c>
      <c r="C30" s="63"/>
      <c r="D30" s="63"/>
      <c r="E30" s="17">
        <v>500</v>
      </c>
    </row>
    <row r="31" spans="1:9" s="4" customFormat="1">
      <c r="B31" s="63" t="s">
        <v>51</v>
      </c>
      <c r="C31" s="63"/>
      <c r="D31" s="63"/>
      <c r="E31" s="16">
        <v>2</v>
      </c>
    </row>
    <row r="32" spans="1:9" s="4" customFormat="1">
      <c r="B32" s="63" t="s">
        <v>52</v>
      </c>
      <c r="C32" s="63"/>
      <c r="D32" s="63"/>
      <c r="E32" s="16">
        <v>12</v>
      </c>
    </row>
    <row r="33" spans="1:5" s="4" customFormat="1">
      <c r="B33" s="63" t="s">
        <v>50</v>
      </c>
      <c r="C33" s="63"/>
      <c r="D33" s="63"/>
      <c r="E33" s="17">
        <v>50</v>
      </c>
    </row>
    <row r="34" spans="1:5" s="4" customFormat="1">
      <c r="B34" s="63" t="s">
        <v>53</v>
      </c>
      <c r="C34" s="63"/>
      <c r="D34" s="63"/>
      <c r="E34" s="18">
        <v>0.08</v>
      </c>
    </row>
    <row r="35" spans="1:5" s="4" customFormat="1">
      <c r="B35" s="63" t="s">
        <v>55</v>
      </c>
      <c r="C35" s="63"/>
      <c r="D35" s="63"/>
      <c r="E35" s="16" t="s">
        <v>54</v>
      </c>
    </row>
    <row r="36" spans="1:5" s="4" customFormat="1">
      <c r="A36" s="38"/>
      <c r="B36" s="38"/>
      <c r="C36" s="38"/>
      <c r="D36" s="38"/>
      <c r="E36" s="39"/>
    </row>
    <row r="37" spans="1:5" s="4" customFormat="1">
      <c r="A37" s="38"/>
      <c r="B37" s="38"/>
      <c r="C37" s="38"/>
      <c r="D37" s="38"/>
      <c r="E37" s="39"/>
    </row>
    <row r="38" spans="1:5" s="4" customFormat="1">
      <c r="A38" s="38"/>
      <c r="B38" s="38"/>
      <c r="C38" s="38"/>
      <c r="D38" s="38"/>
      <c r="E38" s="39"/>
    </row>
    <row r="39" spans="1:5" s="4" customFormat="1">
      <c r="A39" s="38"/>
      <c r="B39" s="38"/>
      <c r="C39" s="38"/>
      <c r="D39" s="38"/>
      <c r="E39" s="39"/>
    </row>
    <row r="40" spans="1:5" s="4" customFormat="1">
      <c r="A40" s="38"/>
      <c r="B40" s="38"/>
      <c r="C40" s="38"/>
      <c r="D40" s="38"/>
      <c r="E40" s="39"/>
    </row>
    <row r="41" spans="1:5" s="4" customFormat="1">
      <c r="A41" s="38"/>
      <c r="B41" s="38"/>
      <c r="C41" s="38"/>
      <c r="D41" s="38"/>
      <c r="E41" s="39"/>
    </row>
    <row r="42" spans="1:5" s="4" customFormat="1">
      <c r="A42" s="38"/>
      <c r="B42" s="38"/>
      <c r="C42" s="38"/>
      <c r="D42" s="38"/>
      <c r="E42" s="39"/>
    </row>
    <row r="43" spans="1:5" s="4" customFormat="1">
      <c r="A43" s="38"/>
      <c r="B43" s="38"/>
      <c r="C43" s="38"/>
      <c r="D43" s="38"/>
      <c r="E43" s="39"/>
    </row>
    <row r="44" spans="1:5" s="4" customFormat="1">
      <c r="A44" s="38"/>
      <c r="B44" s="38"/>
      <c r="C44" s="38"/>
      <c r="D44" s="38"/>
      <c r="E44" s="39"/>
    </row>
    <row r="45" spans="1:5" s="4" customFormat="1">
      <c r="A45" s="38"/>
      <c r="B45" s="38"/>
      <c r="C45" s="38"/>
      <c r="D45" s="38"/>
      <c r="E45" s="39"/>
    </row>
    <row r="46" spans="1:5" s="4" customFormat="1">
      <c r="A46" s="38"/>
      <c r="B46" s="38"/>
      <c r="C46" s="38"/>
      <c r="D46" s="38"/>
      <c r="E46" s="39"/>
    </row>
    <row r="47" spans="1:5" s="4" customFormat="1">
      <c r="A47" s="38"/>
      <c r="B47" s="38"/>
      <c r="C47" s="38"/>
      <c r="D47" s="38"/>
      <c r="E47" s="39"/>
    </row>
    <row r="48" spans="1:5" s="4" customFormat="1">
      <c r="B48" s="4" t="s">
        <v>56</v>
      </c>
    </row>
    <row r="49" spans="1:9" s="4" customFormat="1" ht="48">
      <c r="B49" s="20" t="s">
        <v>66</v>
      </c>
      <c r="C49" s="20" t="s">
        <v>67</v>
      </c>
      <c r="D49" s="37" t="s">
        <v>60</v>
      </c>
      <c r="E49" s="37" t="s">
        <v>58</v>
      </c>
      <c r="F49" s="37" t="s">
        <v>59</v>
      </c>
      <c r="G49" s="37" t="s">
        <v>62</v>
      </c>
      <c r="H49" s="37" t="s">
        <v>61</v>
      </c>
      <c r="I49" s="37" t="s">
        <v>63</v>
      </c>
    </row>
    <row r="50" spans="1:9" s="4" customFormat="1">
      <c r="B50" s="4" t="s">
        <v>57</v>
      </c>
      <c r="D50" s="5"/>
      <c r="E50" s="5"/>
      <c r="F50" s="5"/>
      <c r="G50" s="5">
        <f>+E29</f>
        <v>50000</v>
      </c>
      <c r="H50" s="5">
        <f>+E30</f>
        <v>500</v>
      </c>
      <c r="I50" s="14">
        <f>+G50-H50</f>
        <v>49500</v>
      </c>
    </row>
    <row r="51" spans="1:9" s="3" customFormat="1" ht="16">
      <c r="A51" s="4"/>
      <c r="B51" s="4"/>
      <c r="C51" s="4">
        <v>1</v>
      </c>
      <c r="D51" s="5">
        <f>+G50</f>
        <v>50000</v>
      </c>
      <c r="E51" s="5">
        <f>+G50*$E$34/$E$32</f>
        <v>333.33333333333331</v>
      </c>
      <c r="F51" s="5">
        <f>+E29/(E31*E32)</f>
        <v>2083.3333333333335</v>
      </c>
      <c r="G51" s="5">
        <f>+G50-F51</f>
        <v>47916.666666666664</v>
      </c>
      <c r="H51" s="5">
        <f>+$E$33</f>
        <v>50</v>
      </c>
      <c r="I51" s="14">
        <f>-E51-F51-H51</f>
        <v>-2466.666666666667</v>
      </c>
    </row>
    <row r="52" spans="1:9" s="3" customFormat="1" ht="16">
      <c r="A52" s="4"/>
      <c r="B52" s="4"/>
      <c r="C52" s="4">
        <v>2</v>
      </c>
      <c r="D52" s="5">
        <f t="shared" ref="D52:D55" si="13">+G51</f>
        <v>47916.666666666664</v>
      </c>
      <c r="E52" s="5">
        <f t="shared" ref="E52:E74" si="14">+G51*$E$34/$E$32</f>
        <v>319.4444444444444</v>
      </c>
      <c r="F52" s="5">
        <f>+F51</f>
        <v>2083.3333333333335</v>
      </c>
      <c r="G52" s="5">
        <f t="shared" ref="G52:G55" si="15">+G51-F52</f>
        <v>45833.333333333328</v>
      </c>
      <c r="H52" s="5">
        <f t="shared" ref="H52:H74" si="16">+$E$33</f>
        <v>50</v>
      </c>
      <c r="I52" s="14">
        <f t="shared" ref="I52:I55" si="17">-E52-F52-H52</f>
        <v>-2452.7777777777778</v>
      </c>
    </row>
    <row r="53" spans="1:9" s="3" customFormat="1" ht="16">
      <c r="A53" s="4"/>
      <c r="B53" s="4"/>
      <c r="C53" s="4">
        <v>3</v>
      </c>
      <c r="D53" s="5">
        <f t="shared" si="13"/>
        <v>45833.333333333328</v>
      </c>
      <c r="E53" s="5">
        <f t="shared" si="14"/>
        <v>305.55555555555554</v>
      </c>
      <c r="F53" s="5">
        <f>+F52</f>
        <v>2083.3333333333335</v>
      </c>
      <c r="G53" s="5">
        <f t="shared" si="15"/>
        <v>43749.999999999993</v>
      </c>
      <c r="H53" s="5">
        <f t="shared" si="16"/>
        <v>50</v>
      </c>
      <c r="I53" s="14">
        <f t="shared" si="17"/>
        <v>-2438.8888888888891</v>
      </c>
    </row>
    <row r="54" spans="1:9" s="3" customFormat="1" ht="16">
      <c r="A54" s="4"/>
      <c r="B54" s="4"/>
      <c r="C54" s="4">
        <v>4</v>
      </c>
      <c r="D54" s="5">
        <f t="shared" si="13"/>
        <v>43749.999999999993</v>
      </c>
      <c r="E54" s="5">
        <f t="shared" si="14"/>
        <v>291.66666666666663</v>
      </c>
      <c r="F54" s="5">
        <f t="shared" ref="F54:F55" si="18">+F53</f>
        <v>2083.3333333333335</v>
      </c>
      <c r="G54" s="5">
        <f t="shared" si="15"/>
        <v>41666.666666666657</v>
      </c>
      <c r="H54" s="5">
        <f t="shared" si="16"/>
        <v>50</v>
      </c>
      <c r="I54" s="14">
        <f t="shared" si="17"/>
        <v>-2425</v>
      </c>
    </row>
    <row r="55" spans="1:9" s="3" customFormat="1" ht="16">
      <c r="A55" s="4"/>
      <c r="C55" s="4">
        <v>5</v>
      </c>
      <c r="D55" s="5">
        <f t="shared" si="13"/>
        <v>41666.666666666657</v>
      </c>
      <c r="E55" s="5">
        <f t="shared" si="14"/>
        <v>277.77777777777771</v>
      </c>
      <c r="F55" s="5">
        <f t="shared" si="18"/>
        <v>2083.3333333333335</v>
      </c>
      <c r="G55" s="5">
        <f t="shared" si="15"/>
        <v>39583.333333333321</v>
      </c>
      <c r="H55" s="5">
        <f t="shared" si="16"/>
        <v>50</v>
      </c>
      <c r="I55" s="14">
        <f t="shared" si="17"/>
        <v>-2411.1111111111113</v>
      </c>
    </row>
    <row r="56" spans="1:9" s="3" customFormat="1" ht="16">
      <c r="A56" s="4"/>
      <c r="B56" s="4"/>
      <c r="C56" s="4">
        <v>6</v>
      </c>
      <c r="D56" s="5">
        <f t="shared" ref="D56:D62" si="19">+G55</f>
        <v>39583.333333333321</v>
      </c>
      <c r="E56" s="5">
        <f t="shared" si="14"/>
        <v>263.8888888888888</v>
      </c>
      <c r="F56" s="5">
        <f t="shared" ref="F56:F62" si="20">+F55</f>
        <v>2083.3333333333335</v>
      </c>
      <c r="G56" s="5">
        <f t="shared" ref="G56:G62" si="21">+G55-F56</f>
        <v>37499.999999999985</v>
      </c>
      <c r="H56" s="5">
        <f t="shared" si="16"/>
        <v>50</v>
      </c>
      <c r="I56" s="14">
        <f t="shared" ref="I56:I62" si="22">-E56-F56-H56</f>
        <v>-2397.2222222222222</v>
      </c>
    </row>
    <row r="57" spans="1:9" s="3" customFormat="1" ht="16">
      <c r="A57" s="4"/>
      <c r="B57" s="4"/>
      <c r="C57" s="4">
        <v>7</v>
      </c>
      <c r="D57" s="5">
        <f t="shared" si="19"/>
        <v>37499.999999999985</v>
      </c>
      <c r="E57" s="5">
        <f t="shared" si="14"/>
        <v>249.99999999999991</v>
      </c>
      <c r="F57" s="5">
        <f t="shared" si="20"/>
        <v>2083.3333333333335</v>
      </c>
      <c r="G57" s="5">
        <f t="shared" si="21"/>
        <v>35416.66666666665</v>
      </c>
      <c r="H57" s="5">
        <f t="shared" si="16"/>
        <v>50</v>
      </c>
      <c r="I57" s="14">
        <f t="shared" si="22"/>
        <v>-2383.3333333333335</v>
      </c>
    </row>
    <row r="58" spans="1:9" s="3" customFormat="1" ht="16">
      <c r="A58" s="4"/>
      <c r="B58" s="4"/>
      <c r="C58" s="4">
        <v>8</v>
      </c>
      <c r="D58" s="5">
        <f t="shared" si="19"/>
        <v>35416.66666666665</v>
      </c>
      <c r="E58" s="5">
        <f t="shared" si="14"/>
        <v>236.111111111111</v>
      </c>
      <c r="F58" s="5">
        <f t="shared" si="20"/>
        <v>2083.3333333333335</v>
      </c>
      <c r="G58" s="5">
        <f t="shared" si="21"/>
        <v>33333.333333333314</v>
      </c>
      <c r="H58" s="5">
        <f t="shared" si="16"/>
        <v>50</v>
      </c>
      <c r="I58" s="14">
        <f t="shared" si="22"/>
        <v>-2369.4444444444443</v>
      </c>
    </row>
    <row r="59" spans="1:9" s="3" customFormat="1" ht="16">
      <c r="A59" s="4"/>
      <c r="B59" s="4"/>
      <c r="C59" s="4">
        <v>9</v>
      </c>
      <c r="D59" s="5">
        <f t="shared" si="19"/>
        <v>33333.333333333314</v>
      </c>
      <c r="E59" s="5">
        <f t="shared" si="14"/>
        <v>222.22222222222209</v>
      </c>
      <c r="F59" s="5">
        <f t="shared" si="20"/>
        <v>2083.3333333333335</v>
      </c>
      <c r="G59" s="5">
        <f t="shared" si="21"/>
        <v>31249.999999999982</v>
      </c>
      <c r="H59" s="5">
        <f t="shared" si="16"/>
        <v>50</v>
      </c>
      <c r="I59" s="14">
        <f t="shared" si="22"/>
        <v>-2355.5555555555557</v>
      </c>
    </row>
    <row r="60" spans="1:9" s="3" customFormat="1" ht="16">
      <c r="A60" s="4"/>
      <c r="B60" s="4"/>
      <c r="C60" s="4">
        <v>10</v>
      </c>
      <c r="D60" s="5">
        <f t="shared" si="19"/>
        <v>31249.999999999982</v>
      </c>
      <c r="E60" s="5">
        <f t="shared" si="14"/>
        <v>208.33333333333323</v>
      </c>
      <c r="F60" s="5">
        <f t="shared" si="20"/>
        <v>2083.3333333333335</v>
      </c>
      <c r="G60" s="5">
        <f t="shared" si="21"/>
        <v>29166.66666666665</v>
      </c>
      <c r="H60" s="5">
        <f t="shared" si="16"/>
        <v>50</v>
      </c>
      <c r="I60" s="14">
        <f t="shared" si="22"/>
        <v>-2341.6666666666665</v>
      </c>
    </row>
    <row r="61" spans="1:9" s="3" customFormat="1" ht="16">
      <c r="A61" s="4"/>
      <c r="B61" s="4"/>
      <c r="C61" s="4">
        <v>11</v>
      </c>
      <c r="D61" s="5">
        <f t="shared" si="19"/>
        <v>29166.66666666665</v>
      </c>
      <c r="E61" s="5">
        <f t="shared" si="14"/>
        <v>194.44444444444434</v>
      </c>
      <c r="F61" s="5">
        <f t="shared" si="20"/>
        <v>2083.3333333333335</v>
      </c>
      <c r="G61" s="5">
        <f t="shared" si="21"/>
        <v>27083.333333333318</v>
      </c>
      <c r="H61" s="5">
        <f t="shared" si="16"/>
        <v>50</v>
      </c>
      <c r="I61" s="14">
        <f t="shared" si="22"/>
        <v>-2327.7777777777778</v>
      </c>
    </row>
    <row r="62" spans="1:9" s="3" customFormat="1" ht="16">
      <c r="A62" s="4"/>
      <c r="B62" s="4"/>
      <c r="C62" s="4">
        <v>12</v>
      </c>
      <c r="D62" s="5">
        <f t="shared" si="19"/>
        <v>27083.333333333318</v>
      </c>
      <c r="E62" s="5">
        <f t="shared" si="14"/>
        <v>180.55555555555546</v>
      </c>
      <c r="F62" s="5">
        <f t="shared" si="20"/>
        <v>2083.3333333333335</v>
      </c>
      <c r="G62" s="5">
        <f t="shared" si="21"/>
        <v>24999.999999999985</v>
      </c>
      <c r="H62" s="5">
        <f t="shared" si="16"/>
        <v>50</v>
      </c>
      <c r="I62" s="14">
        <f t="shared" si="22"/>
        <v>-2313.8888888888891</v>
      </c>
    </row>
    <row r="63" spans="1:9" s="3" customFormat="1" ht="16">
      <c r="A63" s="4"/>
      <c r="B63" s="4" t="s">
        <v>64</v>
      </c>
      <c r="C63" s="4">
        <v>13</v>
      </c>
      <c r="D63" s="5">
        <f t="shared" ref="D63:D69" si="23">+G62</f>
        <v>24999.999999999985</v>
      </c>
      <c r="E63" s="5">
        <f t="shared" si="14"/>
        <v>166.66666666666657</v>
      </c>
      <c r="F63" s="5">
        <f t="shared" ref="F63:F69" si="24">+F62</f>
        <v>2083.3333333333335</v>
      </c>
      <c r="G63" s="5">
        <f t="shared" ref="G63:G69" si="25">+G62-F63</f>
        <v>22916.666666666653</v>
      </c>
      <c r="H63" s="5">
        <f t="shared" si="16"/>
        <v>50</v>
      </c>
      <c r="I63" s="14">
        <f t="shared" ref="I63:I69" si="26">-E63-F63-H63</f>
        <v>-2300</v>
      </c>
    </row>
    <row r="64" spans="1:9" s="3" customFormat="1" ht="16">
      <c r="A64" s="4"/>
      <c r="B64" s="4"/>
      <c r="C64" s="4">
        <v>14</v>
      </c>
      <c r="D64" s="5">
        <f t="shared" si="23"/>
        <v>22916.666666666653</v>
      </c>
      <c r="E64" s="5">
        <f t="shared" si="14"/>
        <v>152.77777777777769</v>
      </c>
      <c r="F64" s="5">
        <f t="shared" si="24"/>
        <v>2083.3333333333335</v>
      </c>
      <c r="G64" s="5">
        <f t="shared" si="25"/>
        <v>20833.333333333321</v>
      </c>
      <c r="H64" s="5">
        <f t="shared" si="16"/>
        <v>50</v>
      </c>
      <c r="I64" s="14">
        <f t="shared" si="26"/>
        <v>-2286.1111111111113</v>
      </c>
    </row>
    <row r="65" spans="1:9" s="3" customFormat="1" ht="16">
      <c r="A65" s="4"/>
      <c r="B65" s="4"/>
      <c r="C65" s="4">
        <v>15</v>
      </c>
      <c r="D65" s="5">
        <f t="shared" si="23"/>
        <v>20833.333333333321</v>
      </c>
      <c r="E65" s="5">
        <f t="shared" si="14"/>
        <v>138.88888888888883</v>
      </c>
      <c r="F65" s="5">
        <f t="shared" si="24"/>
        <v>2083.3333333333335</v>
      </c>
      <c r="G65" s="5">
        <f t="shared" si="25"/>
        <v>18749.999999999989</v>
      </c>
      <c r="H65" s="5">
        <f t="shared" si="16"/>
        <v>50</v>
      </c>
      <c r="I65" s="14">
        <f t="shared" si="26"/>
        <v>-2272.2222222222222</v>
      </c>
    </row>
    <row r="66" spans="1:9" s="3" customFormat="1" ht="16">
      <c r="A66" s="4"/>
      <c r="B66" s="4"/>
      <c r="C66" s="4">
        <v>16</v>
      </c>
      <c r="D66" s="5">
        <f t="shared" si="23"/>
        <v>18749.999999999989</v>
      </c>
      <c r="E66" s="5">
        <f t="shared" si="14"/>
        <v>124.99999999999993</v>
      </c>
      <c r="F66" s="5">
        <f t="shared" si="24"/>
        <v>2083.3333333333335</v>
      </c>
      <c r="G66" s="5">
        <f t="shared" si="25"/>
        <v>16666.666666666657</v>
      </c>
      <c r="H66" s="5">
        <f t="shared" si="16"/>
        <v>50</v>
      </c>
      <c r="I66" s="14">
        <f t="shared" si="26"/>
        <v>-2258.3333333333335</v>
      </c>
    </row>
    <row r="67" spans="1:9" s="3" customFormat="1" ht="16">
      <c r="A67" s="4"/>
      <c r="B67" s="4"/>
      <c r="C67" s="4">
        <v>17</v>
      </c>
      <c r="D67" s="5">
        <f t="shared" si="23"/>
        <v>16666.666666666657</v>
      </c>
      <c r="E67" s="5">
        <f t="shared" si="14"/>
        <v>111.11111111111104</v>
      </c>
      <c r="F67" s="5">
        <f t="shared" si="24"/>
        <v>2083.3333333333335</v>
      </c>
      <c r="G67" s="5">
        <f t="shared" si="25"/>
        <v>14583.333333333323</v>
      </c>
      <c r="H67" s="5">
        <f t="shared" si="16"/>
        <v>50</v>
      </c>
      <c r="I67" s="14">
        <f t="shared" si="26"/>
        <v>-2244.4444444444443</v>
      </c>
    </row>
    <row r="68" spans="1:9" s="3" customFormat="1" ht="16">
      <c r="A68" s="4"/>
      <c r="B68" s="4"/>
      <c r="C68" s="4">
        <v>18</v>
      </c>
      <c r="D68" s="5">
        <f t="shared" si="23"/>
        <v>14583.333333333323</v>
      </c>
      <c r="E68" s="5">
        <f t="shared" si="14"/>
        <v>97.222222222222157</v>
      </c>
      <c r="F68" s="5">
        <f t="shared" si="24"/>
        <v>2083.3333333333335</v>
      </c>
      <c r="G68" s="5">
        <f t="shared" si="25"/>
        <v>12499.999999999989</v>
      </c>
      <c r="H68" s="5">
        <f t="shared" si="16"/>
        <v>50</v>
      </c>
      <c r="I68" s="14">
        <f t="shared" si="26"/>
        <v>-2230.5555555555557</v>
      </c>
    </row>
    <row r="69" spans="1:9" s="3" customFormat="1" ht="16">
      <c r="A69" s="4"/>
      <c r="B69" s="4"/>
      <c r="C69" s="4">
        <v>19</v>
      </c>
      <c r="D69" s="5">
        <f t="shared" si="23"/>
        <v>12499.999999999989</v>
      </c>
      <c r="E69" s="5">
        <f t="shared" si="14"/>
        <v>83.333333333333272</v>
      </c>
      <c r="F69" s="5">
        <f t="shared" si="24"/>
        <v>2083.3333333333335</v>
      </c>
      <c r="G69" s="5">
        <f t="shared" si="25"/>
        <v>10416.666666666655</v>
      </c>
      <c r="H69" s="5">
        <f t="shared" si="16"/>
        <v>50</v>
      </c>
      <c r="I69" s="14">
        <f t="shared" si="26"/>
        <v>-2216.666666666667</v>
      </c>
    </row>
    <row r="70" spans="1:9" s="3" customFormat="1" ht="16">
      <c r="A70" s="4"/>
      <c r="B70" s="4"/>
      <c r="C70" s="4">
        <v>20</v>
      </c>
      <c r="D70" s="5">
        <f t="shared" ref="D70:D73" si="27">+G69</f>
        <v>10416.666666666655</v>
      </c>
      <c r="E70" s="5">
        <f t="shared" si="14"/>
        <v>69.444444444444372</v>
      </c>
      <c r="F70" s="5">
        <f t="shared" ref="F70:F73" si="28">+F69</f>
        <v>2083.3333333333335</v>
      </c>
      <c r="G70" s="5">
        <f t="shared" ref="G70:G73" si="29">+G69-F70</f>
        <v>8333.3333333333212</v>
      </c>
      <c r="H70" s="5">
        <f t="shared" si="16"/>
        <v>50</v>
      </c>
      <c r="I70" s="14">
        <f t="shared" ref="I70:I73" si="30">-E70-F70-H70</f>
        <v>-2202.7777777777778</v>
      </c>
    </row>
    <row r="71" spans="1:9" s="3" customFormat="1" ht="16">
      <c r="A71" s="4"/>
      <c r="B71" s="4"/>
      <c r="C71" s="4">
        <v>21</v>
      </c>
      <c r="D71" s="5">
        <f t="shared" si="27"/>
        <v>8333.3333333333212</v>
      </c>
      <c r="E71" s="5">
        <f t="shared" si="14"/>
        <v>55.555555555555479</v>
      </c>
      <c r="F71" s="5">
        <f t="shared" si="28"/>
        <v>2083.3333333333335</v>
      </c>
      <c r="G71" s="5">
        <f t="shared" si="29"/>
        <v>6249.9999999999873</v>
      </c>
      <c r="H71" s="5">
        <f t="shared" si="16"/>
        <v>50</v>
      </c>
      <c r="I71" s="14">
        <f t="shared" si="30"/>
        <v>-2188.8888888888891</v>
      </c>
    </row>
    <row r="72" spans="1:9" s="3" customFormat="1" ht="16">
      <c r="A72" s="4"/>
      <c r="B72" s="4"/>
      <c r="C72" s="4">
        <v>22</v>
      </c>
      <c r="D72" s="5">
        <f t="shared" si="27"/>
        <v>6249.9999999999873</v>
      </c>
      <c r="E72" s="5">
        <f t="shared" si="14"/>
        <v>41.666666666666579</v>
      </c>
      <c r="F72" s="5">
        <f t="shared" si="28"/>
        <v>2083.3333333333335</v>
      </c>
      <c r="G72" s="5">
        <f t="shared" si="29"/>
        <v>4166.6666666666533</v>
      </c>
      <c r="H72" s="5">
        <f t="shared" si="16"/>
        <v>50</v>
      </c>
      <c r="I72" s="14">
        <f t="shared" si="30"/>
        <v>-2175</v>
      </c>
    </row>
    <row r="73" spans="1:9" s="3" customFormat="1" ht="16">
      <c r="A73" s="4"/>
      <c r="B73" s="4"/>
      <c r="C73" s="4">
        <v>23</v>
      </c>
      <c r="D73" s="5">
        <f t="shared" si="27"/>
        <v>4166.6666666666533</v>
      </c>
      <c r="E73" s="5">
        <f t="shared" si="14"/>
        <v>27.77777777777769</v>
      </c>
      <c r="F73" s="5">
        <f t="shared" si="28"/>
        <v>2083.3333333333335</v>
      </c>
      <c r="G73" s="5">
        <f t="shared" si="29"/>
        <v>2083.3333333333198</v>
      </c>
      <c r="H73" s="5">
        <f t="shared" si="16"/>
        <v>50</v>
      </c>
      <c r="I73" s="14">
        <f t="shared" si="30"/>
        <v>-2161.1111111111113</v>
      </c>
    </row>
    <row r="74" spans="1:9" s="3" customFormat="1" ht="16">
      <c r="A74" s="4"/>
      <c r="B74" s="4"/>
      <c r="C74" s="4">
        <v>24</v>
      </c>
      <c r="D74" s="5">
        <f t="shared" ref="D74" si="31">+G73</f>
        <v>2083.3333333333198</v>
      </c>
      <c r="E74" s="5">
        <f t="shared" si="14"/>
        <v>13.888888888888799</v>
      </c>
      <c r="F74" s="5">
        <f t="shared" ref="F74" si="32">+F73</f>
        <v>2083.3333333333335</v>
      </c>
      <c r="G74" s="5">
        <f t="shared" ref="G74" si="33">+G73-F74</f>
        <v>-1.3642420526593924E-11</v>
      </c>
      <c r="H74" s="5">
        <f t="shared" si="16"/>
        <v>50</v>
      </c>
      <c r="I74" s="14">
        <f t="shared" ref="I74" si="34">-E74-F74-H74</f>
        <v>-2147.2222222222222</v>
      </c>
    </row>
    <row r="75" spans="1:9" s="3" customFormat="1" ht="16">
      <c r="A75" s="4"/>
      <c r="B75" s="4"/>
      <c r="C75" s="4"/>
      <c r="D75" s="14"/>
      <c r="E75" s="4"/>
      <c r="F75" s="4"/>
      <c r="G75" s="14"/>
      <c r="H75" s="14"/>
      <c r="I75" s="14"/>
    </row>
    <row r="76" spans="1:9">
      <c r="A76" s="4"/>
      <c r="B76" s="4" t="s">
        <v>68</v>
      </c>
      <c r="C76" s="19"/>
      <c r="D76" s="4"/>
      <c r="E76" s="4"/>
      <c r="F76" s="4"/>
      <c r="G76" s="8" t="s">
        <v>71</v>
      </c>
      <c r="H76" s="4"/>
      <c r="I76" s="23">
        <f>+IRR(I50:I74)</f>
        <v>9.3865624987232721E-3</v>
      </c>
    </row>
    <row r="77" spans="1:9" ht="17">
      <c r="A77" s="4"/>
      <c r="B77" s="4"/>
      <c r="C77" s="4" t="s">
        <v>69</v>
      </c>
      <c r="D77" s="4"/>
      <c r="E77" s="4"/>
      <c r="F77" s="4"/>
      <c r="G77" s="52" t="s">
        <v>326</v>
      </c>
      <c r="H77" s="4"/>
      <c r="I77" s="23">
        <f>+(1+I76)^E32-1</f>
        <v>0.11863969561135534</v>
      </c>
    </row>
    <row r="78" spans="1:9" s="4" customFormat="1">
      <c r="G78" s="8"/>
      <c r="I78" s="21"/>
    </row>
    <row r="79" spans="1:9" s="4" customFormat="1">
      <c r="G79" s="8"/>
      <c r="I79" s="21"/>
    </row>
    <row r="80" spans="1:9" s="4" customFormat="1">
      <c r="G80" s="8"/>
      <c r="I80" s="21"/>
    </row>
  </sheetData>
  <mergeCells count="14">
    <mergeCell ref="B4:D4"/>
    <mergeCell ref="B5:D5"/>
    <mergeCell ref="B6:D6"/>
    <mergeCell ref="B7:D7"/>
    <mergeCell ref="B8:D8"/>
    <mergeCell ref="B32:D32"/>
    <mergeCell ref="B33:D33"/>
    <mergeCell ref="B34:D34"/>
    <mergeCell ref="B35:D35"/>
    <mergeCell ref="B9:D9"/>
    <mergeCell ref="B10:D10"/>
    <mergeCell ref="B29:D29"/>
    <mergeCell ref="B30:D30"/>
    <mergeCell ref="B31:D3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&amp;A</oddHeader>
    <oddFooter>&amp;CSide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2"/>
  <sheetViews>
    <sheetView zoomScaleNormal="100"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4.6640625" style="4" customWidth="1"/>
    <col min="3" max="3" width="7.1640625" style="4" customWidth="1"/>
    <col min="4" max="4" width="13.5" style="4" customWidth="1"/>
    <col min="5" max="5" width="12.83203125" style="4" customWidth="1"/>
    <col min="6" max="6" width="9.1640625" style="4" customWidth="1"/>
    <col min="7" max="7" width="11.5" style="4"/>
    <col min="8" max="8" width="9.5" style="4" customWidth="1"/>
    <col min="9" max="16384" width="11.5" style="4"/>
  </cols>
  <sheetData>
    <row r="1" spans="1:9" ht="16">
      <c r="A1" s="6" t="s">
        <v>345</v>
      </c>
    </row>
    <row r="2" spans="1:9" ht="16">
      <c r="A2" s="6"/>
    </row>
    <row r="3" spans="1:9">
      <c r="B3" s="4" t="s">
        <v>72</v>
      </c>
    </row>
    <row r="4" spans="1:9" ht="18.75" customHeight="1">
      <c r="B4" s="63" t="s">
        <v>48</v>
      </c>
      <c r="C4" s="63"/>
      <c r="D4" s="63"/>
      <c r="E4" s="17">
        <v>80000</v>
      </c>
    </row>
    <row r="5" spans="1:9">
      <c r="B5" s="63" t="s">
        <v>49</v>
      </c>
      <c r="C5" s="63"/>
      <c r="D5" s="63"/>
      <c r="E5" s="17">
        <v>1000</v>
      </c>
    </row>
    <row r="6" spans="1:9">
      <c r="B6" s="63" t="s">
        <v>51</v>
      </c>
      <c r="C6" s="63"/>
      <c r="D6" s="63"/>
      <c r="E6" s="16">
        <v>4</v>
      </c>
    </row>
    <row r="7" spans="1:9">
      <c r="B7" s="63" t="s">
        <v>52</v>
      </c>
      <c r="C7" s="63"/>
      <c r="D7" s="63"/>
      <c r="E7" s="16">
        <v>2</v>
      </c>
    </row>
    <row r="8" spans="1:9">
      <c r="B8" s="63" t="s">
        <v>50</v>
      </c>
      <c r="C8" s="63"/>
      <c r="D8" s="63"/>
      <c r="E8" s="17">
        <v>50</v>
      </c>
    </row>
    <row r="9" spans="1:9">
      <c r="B9" s="63" t="s">
        <v>53</v>
      </c>
      <c r="C9" s="63"/>
      <c r="D9" s="63"/>
      <c r="E9" s="18">
        <v>8.5000000000000006E-2</v>
      </c>
    </row>
    <row r="10" spans="1:9">
      <c r="B10" s="63" t="s">
        <v>55</v>
      </c>
      <c r="C10" s="63"/>
      <c r="D10" s="63"/>
      <c r="E10" s="16" t="s">
        <v>54</v>
      </c>
    </row>
    <row r="12" spans="1:9">
      <c r="B12" s="4" t="s">
        <v>56</v>
      </c>
    </row>
    <row r="13" spans="1:9" ht="46.5" customHeight="1">
      <c r="B13" s="37" t="s">
        <v>66</v>
      </c>
      <c r="C13" s="37" t="s">
        <v>67</v>
      </c>
      <c r="D13" s="37" t="s">
        <v>60</v>
      </c>
      <c r="E13" s="37" t="s">
        <v>58</v>
      </c>
      <c r="F13" s="37" t="s">
        <v>59</v>
      </c>
      <c r="G13" s="37" t="s">
        <v>62</v>
      </c>
      <c r="H13" s="37" t="s">
        <v>61</v>
      </c>
      <c r="I13" s="37" t="s">
        <v>63</v>
      </c>
    </row>
    <row r="14" spans="1:9">
      <c r="B14" s="4" t="s">
        <v>57</v>
      </c>
      <c r="D14" s="5"/>
      <c r="E14" s="5"/>
      <c r="F14" s="5"/>
      <c r="G14" s="5">
        <f>+E4</f>
        <v>80000</v>
      </c>
      <c r="H14" s="5">
        <f>+E5</f>
        <v>1000</v>
      </c>
      <c r="I14" s="14">
        <f>+G14-H14</f>
        <v>79000</v>
      </c>
    </row>
    <row r="15" spans="1:9">
      <c r="C15" s="4">
        <v>1</v>
      </c>
      <c r="D15" s="5">
        <f>+G14</f>
        <v>80000</v>
      </c>
      <c r="E15" s="5">
        <f t="shared" ref="E15:E22" si="0">+G14*$E$9/$E$7</f>
        <v>3400.0000000000005</v>
      </c>
      <c r="F15" s="5">
        <f>+E4/(E6*E7)</f>
        <v>10000</v>
      </c>
      <c r="G15" s="5">
        <f>+G14-F15</f>
        <v>70000</v>
      </c>
      <c r="H15" s="5">
        <f t="shared" ref="H15:H22" si="1">+$E$8</f>
        <v>50</v>
      </c>
      <c r="I15" s="14">
        <f>-E15-F15-H15</f>
        <v>-13450</v>
      </c>
    </row>
    <row r="16" spans="1:9">
      <c r="C16" s="4">
        <v>2</v>
      </c>
      <c r="D16" s="5">
        <f t="shared" ref="D16:D22" si="2">+G15</f>
        <v>70000</v>
      </c>
      <c r="E16" s="5">
        <f t="shared" si="0"/>
        <v>2975</v>
      </c>
      <c r="F16" s="5">
        <f>+F15</f>
        <v>10000</v>
      </c>
      <c r="G16" s="5">
        <f t="shared" ref="G16:G22" si="3">+G15-F16</f>
        <v>60000</v>
      </c>
      <c r="H16" s="5">
        <f t="shared" si="1"/>
        <v>50</v>
      </c>
      <c r="I16" s="14">
        <f t="shared" ref="I16:I22" si="4">-E16-F16-H16</f>
        <v>-13025</v>
      </c>
    </row>
    <row r="17" spans="2:9">
      <c r="B17" s="4" t="s">
        <v>64</v>
      </c>
      <c r="C17" s="4">
        <v>3</v>
      </c>
      <c r="D17" s="5">
        <f t="shared" si="2"/>
        <v>60000</v>
      </c>
      <c r="E17" s="5">
        <f t="shared" si="0"/>
        <v>2550</v>
      </c>
      <c r="F17" s="5">
        <f>+F16</f>
        <v>10000</v>
      </c>
      <c r="G17" s="5">
        <f t="shared" si="3"/>
        <v>50000</v>
      </c>
      <c r="H17" s="5">
        <f t="shared" si="1"/>
        <v>50</v>
      </c>
      <c r="I17" s="14">
        <f t="shared" si="4"/>
        <v>-12600</v>
      </c>
    </row>
    <row r="18" spans="2:9">
      <c r="C18" s="4">
        <v>4</v>
      </c>
      <c r="D18" s="5">
        <f t="shared" si="2"/>
        <v>50000</v>
      </c>
      <c r="E18" s="5">
        <f t="shared" si="0"/>
        <v>2125</v>
      </c>
      <c r="F18" s="5">
        <f t="shared" ref="F18:F22" si="5">+F17</f>
        <v>10000</v>
      </c>
      <c r="G18" s="5">
        <f t="shared" si="3"/>
        <v>40000</v>
      </c>
      <c r="H18" s="5">
        <f t="shared" si="1"/>
        <v>50</v>
      </c>
      <c r="I18" s="14">
        <f t="shared" si="4"/>
        <v>-12175</v>
      </c>
    </row>
    <row r="19" spans="2:9">
      <c r="B19" s="4" t="s">
        <v>73</v>
      </c>
      <c r="C19" s="4">
        <v>5</v>
      </c>
      <c r="D19" s="5">
        <f t="shared" si="2"/>
        <v>40000</v>
      </c>
      <c r="E19" s="5">
        <f t="shared" si="0"/>
        <v>1700.0000000000002</v>
      </c>
      <c r="F19" s="5">
        <f t="shared" si="5"/>
        <v>10000</v>
      </c>
      <c r="G19" s="5">
        <f t="shared" si="3"/>
        <v>30000</v>
      </c>
      <c r="H19" s="5">
        <f t="shared" si="1"/>
        <v>50</v>
      </c>
      <c r="I19" s="14">
        <f t="shared" si="4"/>
        <v>-11750</v>
      </c>
    </row>
    <row r="20" spans="2:9">
      <c r="C20" s="4">
        <v>6</v>
      </c>
      <c r="D20" s="5">
        <f t="shared" si="2"/>
        <v>30000</v>
      </c>
      <c r="E20" s="5">
        <f t="shared" si="0"/>
        <v>1275</v>
      </c>
      <c r="F20" s="5">
        <f t="shared" si="5"/>
        <v>10000</v>
      </c>
      <c r="G20" s="5">
        <f t="shared" si="3"/>
        <v>20000</v>
      </c>
      <c r="H20" s="5">
        <f t="shared" si="1"/>
        <v>50</v>
      </c>
      <c r="I20" s="14">
        <f t="shared" si="4"/>
        <v>-11325</v>
      </c>
    </row>
    <row r="21" spans="2:9">
      <c r="B21" s="4" t="s">
        <v>75</v>
      </c>
      <c r="C21" s="4">
        <v>7</v>
      </c>
      <c r="D21" s="5">
        <f t="shared" si="2"/>
        <v>20000</v>
      </c>
      <c r="E21" s="5">
        <f t="shared" si="0"/>
        <v>850.00000000000011</v>
      </c>
      <c r="F21" s="5">
        <f t="shared" si="5"/>
        <v>10000</v>
      </c>
      <c r="G21" s="5">
        <f t="shared" si="3"/>
        <v>10000</v>
      </c>
      <c r="H21" s="5">
        <f t="shared" si="1"/>
        <v>50</v>
      </c>
      <c r="I21" s="14">
        <f t="shared" si="4"/>
        <v>-10900</v>
      </c>
    </row>
    <row r="22" spans="2:9">
      <c r="C22" s="4">
        <v>8</v>
      </c>
      <c r="D22" s="5">
        <f t="shared" si="2"/>
        <v>10000</v>
      </c>
      <c r="E22" s="5">
        <f t="shared" si="0"/>
        <v>425.00000000000006</v>
      </c>
      <c r="F22" s="5">
        <f t="shared" si="5"/>
        <v>10000</v>
      </c>
      <c r="G22" s="5">
        <f t="shared" si="3"/>
        <v>0</v>
      </c>
      <c r="H22" s="5">
        <f t="shared" si="1"/>
        <v>50</v>
      </c>
      <c r="I22" s="14">
        <f t="shared" si="4"/>
        <v>-10475</v>
      </c>
    </row>
    <row r="23" spans="2:9">
      <c r="D23" s="14"/>
      <c r="G23" s="14"/>
      <c r="H23" s="14"/>
      <c r="I23" s="14"/>
    </row>
    <row r="24" spans="2:9">
      <c r="B24" s="38" t="s">
        <v>238</v>
      </c>
      <c r="C24" s="53"/>
      <c r="D24" s="38"/>
      <c r="E24" s="38"/>
      <c r="F24" s="38"/>
      <c r="G24" s="52" t="s">
        <v>65</v>
      </c>
      <c r="I24" s="23">
        <f>+IRR(I14:I22)</f>
        <v>4.6777111865804022E-2</v>
      </c>
    </row>
    <row r="25" spans="2:9" ht="17">
      <c r="B25" s="38"/>
      <c r="C25" s="38" t="s">
        <v>69</v>
      </c>
      <c r="D25" s="38"/>
      <c r="E25" s="38"/>
      <c r="F25" s="38"/>
      <c r="G25" s="52" t="s">
        <v>237</v>
      </c>
      <c r="I25" s="23">
        <f>+(1+I24)^E7-1</f>
        <v>9.5742321926113982E-2</v>
      </c>
    </row>
    <row r="27" spans="2:9">
      <c r="B27" s="4" t="s">
        <v>76</v>
      </c>
    </row>
    <row r="28" spans="2:9">
      <c r="B28" s="63" t="s">
        <v>48</v>
      </c>
      <c r="C28" s="63"/>
      <c r="D28" s="63"/>
      <c r="E28" s="17">
        <v>80000</v>
      </c>
    </row>
    <row r="29" spans="2:9">
      <c r="B29" s="63" t="s">
        <v>49</v>
      </c>
      <c r="C29" s="63"/>
      <c r="D29" s="63"/>
      <c r="E29" s="17">
        <v>2000</v>
      </c>
    </row>
    <row r="30" spans="2:9">
      <c r="B30" s="63" t="s">
        <v>51</v>
      </c>
      <c r="C30" s="63"/>
      <c r="D30" s="63"/>
      <c r="E30" s="16">
        <v>4</v>
      </c>
    </row>
    <row r="31" spans="2:9">
      <c r="B31" s="63" t="s">
        <v>52</v>
      </c>
      <c r="C31" s="63"/>
      <c r="D31" s="63"/>
      <c r="E31" s="16">
        <v>12</v>
      </c>
    </row>
    <row r="32" spans="2:9">
      <c r="B32" s="63" t="s">
        <v>50</v>
      </c>
      <c r="C32" s="63"/>
      <c r="D32" s="63"/>
      <c r="E32" s="17">
        <v>70</v>
      </c>
    </row>
    <row r="33" spans="1:9">
      <c r="B33" s="63" t="s">
        <v>53</v>
      </c>
      <c r="C33" s="63"/>
      <c r="D33" s="63"/>
      <c r="E33" s="18">
        <v>7.4999999999999997E-2</v>
      </c>
    </row>
    <row r="34" spans="1:9">
      <c r="B34" s="63" t="s">
        <v>55</v>
      </c>
      <c r="C34" s="63"/>
      <c r="D34" s="63"/>
      <c r="E34" s="16" t="s">
        <v>54</v>
      </c>
    </row>
    <row r="36" spans="1:9">
      <c r="B36" s="4" t="s">
        <v>56</v>
      </c>
    </row>
    <row r="37" spans="1:9" ht="48">
      <c r="B37" s="20" t="s">
        <v>66</v>
      </c>
      <c r="C37" s="37" t="s">
        <v>67</v>
      </c>
      <c r="D37" s="37" t="s">
        <v>60</v>
      </c>
      <c r="E37" s="37" t="s">
        <v>58</v>
      </c>
      <c r="F37" s="37" t="s">
        <v>59</v>
      </c>
      <c r="G37" s="37" t="s">
        <v>62</v>
      </c>
      <c r="H37" s="37" t="s">
        <v>61</v>
      </c>
      <c r="I37" s="37" t="s">
        <v>63</v>
      </c>
    </row>
    <row r="38" spans="1:9">
      <c r="B38" s="4" t="s">
        <v>57</v>
      </c>
      <c r="D38" s="5"/>
      <c r="E38" s="5"/>
      <c r="F38" s="5"/>
      <c r="G38" s="5">
        <f>+E28</f>
        <v>80000</v>
      </c>
      <c r="H38" s="5">
        <f>+E29</f>
        <v>2000</v>
      </c>
      <c r="I38" s="14">
        <f>+G38-H38</f>
        <v>78000</v>
      </c>
    </row>
    <row r="39" spans="1:9" s="3" customFormat="1" ht="16">
      <c r="A39" s="4"/>
      <c r="B39" s="4"/>
      <c r="C39" s="4">
        <v>1</v>
      </c>
      <c r="D39" s="5">
        <f>+G38</f>
        <v>80000</v>
      </c>
      <c r="E39" s="5">
        <f>+G38*$E$33/$E$31</f>
        <v>500</v>
      </c>
      <c r="F39" s="5">
        <f>+E28/(E30*E31)</f>
        <v>1666.6666666666667</v>
      </c>
      <c r="G39" s="5">
        <f>+G38-F39</f>
        <v>78333.333333333328</v>
      </c>
      <c r="H39" s="5">
        <f>+$E$32</f>
        <v>70</v>
      </c>
      <c r="I39" s="14">
        <f>-E39-F39-H39</f>
        <v>-2236.666666666667</v>
      </c>
    </row>
    <row r="40" spans="1:9" s="3" customFormat="1" ht="16">
      <c r="A40" s="4"/>
      <c r="B40" s="4"/>
      <c r="C40" s="4">
        <v>2</v>
      </c>
      <c r="D40" s="5">
        <f t="shared" ref="D40:D44" si="6">+G39</f>
        <v>78333.333333333328</v>
      </c>
      <c r="E40" s="5">
        <f t="shared" ref="E40:E44" si="7">+G39*$E$33/$E$31</f>
        <v>489.58333333333326</v>
      </c>
      <c r="F40" s="5">
        <f>+F39</f>
        <v>1666.6666666666667</v>
      </c>
      <c r="G40" s="5">
        <f t="shared" ref="G40:G44" si="8">+G39-F40</f>
        <v>76666.666666666657</v>
      </c>
      <c r="H40" s="5">
        <f t="shared" ref="H40:H86" si="9">+$E$32</f>
        <v>70</v>
      </c>
      <c r="I40" s="14">
        <f t="shared" ref="I40:I44" si="10">-E40-F40-H40</f>
        <v>-2226.25</v>
      </c>
    </row>
    <row r="41" spans="1:9" s="3" customFormat="1" ht="16">
      <c r="A41" s="4"/>
      <c r="B41" s="4"/>
      <c r="C41" s="4">
        <v>3</v>
      </c>
      <c r="D41" s="5">
        <f t="shared" si="6"/>
        <v>76666.666666666657</v>
      </c>
      <c r="E41" s="5">
        <f t="shared" si="7"/>
        <v>479.16666666666657</v>
      </c>
      <c r="F41" s="5">
        <f>+F40</f>
        <v>1666.6666666666667</v>
      </c>
      <c r="G41" s="5">
        <f t="shared" si="8"/>
        <v>74999.999999999985</v>
      </c>
      <c r="H41" s="5">
        <f t="shared" si="9"/>
        <v>70</v>
      </c>
      <c r="I41" s="14">
        <f t="shared" si="10"/>
        <v>-2215.8333333333335</v>
      </c>
    </row>
    <row r="42" spans="1:9" s="3" customFormat="1" ht="16">
      <c r="A42" s="4"/>
      <c r="B42" s="4"/>
      <c r="C42" s="4">
        <v>4</v>
      </c>
      <c r="D42" s="5">
        <f t="shared" si="6"/>
        <v>74999.999999999985</v>
      </c>
      <c r="E42" s="5">
        <f t="shared" si="7"/>
        <v>468.74999999999994</v>
      </c>
      <c r="F42" s="5">
        <f t="shared" ref="F42:F44" si="11">+F41</f>
        <v>1666.6666666666667</v>
      </c>
      <c r="G42" s="5">
        <f t="shared" si="8"/>
        <v>73333.333333333314</v>
      </c>
      <c r="H42" s="5">
        <f t="shared" si="9"/>
        <v>70</v>
      </c>
      <c r="I42" s="14">
        <f t="shared" si="10"/>
        <v>-2205.4166666666665</v>
      </c>
    </row>
    <row r="43" spans="1:9" s="3" customFormat="1" ht="16">
      <c r="A43" s="4"/>
      <c r="C43" s="4">
        <v>5</v>
      </c>
      <c r="D43" s="5">
        <f t="shared" si="6"/>
        <v>73333.333333333314</v>
      </c>
      <c r="E43" s="5">
        <f t="shared" si="7"/>
        <v>458.3333333333332</v>
      </c>
      <c r="F43" s="5">
        <f t="shared" si="11"/>
        <v>1666.6666666666667</v>
      </c>
      <c r="G43" s="5">
        <f t="shared" si="8"/>
        <v>71666.666666666642</v>
      </c>
      <c r="H43" s="5">
        <f t="shared" si="9"/>
        <v>70</v>
      </c>
      <c r="I43" s="14">
        <f t="shared" si="10"/>
        <v>-2195</v>
      </c>
    </row>
    <row r="44" spans="1:9" s="3" customFormat="1" ht="16">
      <c r="A44" s="4"/>
      <c r="B44" s="4"/>
      <c r="C44" s="4">
        <v>6</v>
      </c>
      <c r="D44" s="5">
        <f t="shared" si="6"/>
        <v>71666.666666666642</v>
      </c>
      <c r="E44" s="5">
        <f t="shared" si="7"/>
        <v>447.91666666666652</v>
      </c>
      <c r="F44" s="5">
        <f t="shared" si="11"/>
        <v>1666.6666666666667</v>
      </c>
      <c r="G44" s="5">
        <f t="shared" si="8"/>
        <v>69999.999999999971</v>
      </c>
      <c r="H44" s="5">
        <f t="shared" si="9"/>
        <v>70</v>
      </c>
      <c r="I44" s="14">
        <f t="shared" si="10"/>
        <v>-2184.583333333333</v>
      </c>
    </row>
    <row r="45" spans="1:9" s="3" customFormat="1" ht="16">
      <c r="A45" s="4"/>
      <c r="B45" s="4"/>
      <c r="C45" s="4">
        <v>7</v>
      </c>
      <c r="D45" s="5">
        <f t="shared" ref="D45:D84" si="12">+G44</f>
        <v>69999.999999999971</v>
      </c>
      <c r="E45" s="5">
        <f t="shared" ref="E45:E84" si="13">+G44*$E$33/$E$31</f>
        <v>437.49999999999977</v>
      </c>
      <c r="F45" s="5">
        <f t="shared" ref="F45:F84" si="14">+F44</f>
        <v>1666.6666666666667</v>
      </c>
      <c r="G45" s="5">
        <f t="shared" ref="G45:G84" si="15">+G44-F45</f>
        <v>68333.333333333299</v>
      </c>
      <c r="H45" s="5">
        <f t="shared" si="9"/>
        <v>70</v>
      </c>
      <c r="I45" s="14">
        <f t="shared" ref="I45:I84" si="16">-E45-F45-H45</f>
        <v>-2174.1666666666665</v>
      </c>
    </row>
    <row r="46" spans="1:9" s="3" customFormat="1" ht="16">
      <c r="A46" s="4"/>
      <c r="B46" s="4"/>
      <c r="C46" s="4">
        <v>8</v>
      </c>
      <c r="D46" s="5">
        <f t="shared" si="12"/>
        <v>68333.333333333299</v>
      </c>
      <c r="E46" s="5">
        <f t="shared" si="13"/>
        <v>427.08333333333309</v>
      </c>
      <c r="F46" s="5">
        <f t="shared" si="14"/>
        <v>1666.6666666666667</v>
      </c>
      <c r="G46" s="5">
        <f t="shared" si="15"/>
        <v>66666.666666666628</v>
      </c>
      <c r="H46" s="5">
        <f t="shared" si="9"/>
        <v>70</v>
      </c>
      <c r="I46" s="14">
        <f t="shared" si="16"/>
        <v>-2163.75</v>
      </c>
    </row>
    <row r="47" spans="1:9" s="3" customFormat="1" ht="16">
      <c r="A47" s="4"/>
      <c r="B47" s="4"/>
      <c r="C47" s="4">
        <v>9</v>
      </c>
      <c r="D47" s="5">
        <f t="shared" si="12"/>
        <v>66666.666666666628</v>
      </c>
      <c r="E47" s="5">
        <f t="shared" si="13"/>
        <v>416.66666666666646</v>
      </c>
      <c r="F47" s="5">
        <f t="shared" si="14"/>
        <v>1666.6666666666667</v>
      </c>
      <c r="G47" s="5">
        <f t="shared" si="15"/>
        <v>64999.999999999964</v>
      </c>
      <c r="H47" s="5">
        <f t="shared" si="9"/>
        <v>70</v>
      </c>
      <c r="I47" s="14">
        <f t="shared" si="16"/>
        <v>-2153.333333333333</v>
      </c>
    </row>
    <row r="48" spans="1:9" s="3" customFormat="1" ht="16">
      <c r="A48" s="4"/>
      <c r="B48" s="4"/>
      <c r="C48" s="4">
        <v>10</v>
      </c>
      <c r="D48" s="5">
        <f t="shared" si="12"/>
        <v>64999.999999999964</v>
      </c>
      <c r="E48" s="5">
        <f t="shared" si="13"/>
        <v>406.24999999999977</v>
      </c>
      <c r="F48" s="5">
        <f t="shared" si="14"/>
        <v>1666.6666666666667</v>
      </c>
      <c r="G48" s="5">
        <f t="shared" si="15"/>
        <v>63333.333333333299</v>
      </c>
      <c r="H48" s="5">
        <f t="shared" si="9"/>
        <v>70</v>
      </c>
      <c r="I48" s="14">
        <f t="shared" si="16"/>
        <v>-2142.9166666666665</v>
      </c>
    </row>
    <row r="49" spans="1:9" s="3" customFormat="1" ht="16">
      <c r="A49" s="4"/>
      <c r="B49" s="4"/>
      <c r="C49" s="4">
        <v>11</v>
      </c>
      <c r="D49" s="5">
        <f t="shared" si="12"/>
        <v>63333.333333333299</v>
      </c>
      <c r="E49" s="5">
        <f t="shared" si="13"/>
        <v>395.83333333333309</v>
      </c>
      <c r="F49" s="5">
        <f t="shared" si="14"/>
        <v>1666.6666666666667</v>
      </c>
      <c r="G49" s="5">
        <f t="shared" si="15"/>
        <v>61666.666666666635</v>
      </c>
      <c r="H49" s="5">
        <f t="shared" si="9"/>
        <v>70</v>
      </c>
      <c r="I49" s="14">
        <f t="shared" si="16"/>
        <v>-2132.5</v>
      </c>
    </row>
    <row r="50" spans="1:9" s="3" customFormat="1" ht="16">
      <c r="A50" s="4"/>
      <c r="B50" s="4"/>
      <c r="C50" s="4">
        <v>12</v>
      </c>
      <c r="D50" s="5">
        <f t="shared" si="12"/>
        <v>61666.666666666635</v>
      </c>
      <c r="E50" s="5">
        <f t="shared" si="13"/>
        <v>385.41666666666646</v>
      </c>
      <c r="F50" s="5">
        <f t="shared" si="14"/>
        <v>1666.6666666666667</v>
      </c>
      <c r="G50" s="5">
        <f t="shared" si="15"/>
        <v>59999.999999999971</v>
      </c>
      <c r="H50" s="5">
        <f t="shared" si="9"/>
        <v>70</v>
      </c>
      <c r="I50" s="14">
        <f t="shared" si="16"/>
        <v>-2122.083333333333</v>
      </c>
    </row>
    <row r="51" spans="1:9" s="3" customFormat="1" ht="16">
      <c r="A51" s="4"/>
      <c r="B51" s="4" t="s">
        <v>64</v>
      </c>
      <c r="C51" s="4">
        <v>13</v>
      </c>
      <c r="D51" s="5">
        <f t="shared" si="12"/>
        <v>59999.999999999971</v>
      </c>
      <c r="E51" s="5">
        <f t="shared" si="13"/>
        <v>374.99999999999977</v>
      </c>
      <c r="F51" s="5">
        <f t="shared" si="14"/>
        <v>1666.6666666666667</v>
      </c>
      <c r="G51" s="5">
        <f t="shared" si="15"/>
        <v>58333.333333333307</v>
      </c>
      <c r="H51" s="5">
        <f t="shared" si="9"/>
        <v>70</v>
      </c>
      <c r="I51" s="14">
        <f t="shared" si="16"/>
        <v>-2111.6666666666665</v>
      </c>
    </row>
    <row r="52" spans="1:9" s="3" customFormat="1" ht="16">
      <c r="A52" s="4"/>
      <c r="B52" s="4"/>
      <c r="C52" s="4">
        <v>14</v>
      </c>
      <c r="D52" s="5">
        <f t="shared" si="12"/>
        <v>58333.333333333307</v>
      </c>
      <c r="E52" s="5">
        <f t="shared" si="13"/>
        <v>364.5833333333332</v>
      </c>
      <c r="F52" s="5">
        <f t="shared" si="14"/>
        <v>1666.6666666666667</v>
      </c>
      <c r="G52" s="5">
        <f t="shared" si="15"/>
        <v>56666.666666666642</v>
      </c>
      <c r="H52" s="5">
        <f t="shared" si="9"/>
        <v>70</v>
      </c>
      <c r="I52" s="14">
        <f t="shared" si="16"/>
        <v>-2101.25</v>
      </c>
    </row>
    <row r="53" spans="1:9" s="3" customFormat="1" ht="16">
      <c r="A53" s="4"/>
      <c r="B53" s="4"/>
      <c r="C53" s="4">
        <v>15</v>
      </c>
      <c r="D53" s="5">
        <f t="shared" si="12"/>
        <v>56666.666666666642</v>
      </c>
      <c r="E53" s="5">
        <f t="shared" si="13"/>
        <v>354.16666666666652</v>
      </c>
      <c r="F53" s="5">
        <f t="shared" si="14"/>
        <v>1666.6666666666667</v>
      </c>
      <c r="G53" s="5">
        <f t="shared" si="15"/>
        <v>54999.999999999978</v>
      </c>
      <c r="H53" s="5">
        <f t="shared" si="9"/>
        <v>70</v>
      </c>
      <c r="I53" s="14">
        <f t="shared" si="16"/>
        <v>-2090.833333333333</v>
      </c>
    </row>
    <row r="54" spans="1:9" s="3" customFormat="1" ht="16">
      <c r="A54" s="4"/>
      <c r="B54" s="4"/>
      <c r="C54" s="4">
        <v>16</v>
      </c>
      <c r="D54" s="5">
        <f t="shared" si="12"/>
        <v>54999.999999999978</v>
      </c>
      <c r="E54" s="5">
        <f t="shared" si="13"/>
        <v>343.74999999999983</v>
      </c>
      <c r="F54" s="5">
        <f t="shared" si="14"/>
        <v>1666.6666666666667</v>
      </c>
      <c r="G54" s="5">
        <f t="shared" si="15"/>
        <v>53333.333333333314</v>
      </c>
      <c r="H54" s="5">
        <f t="shared" si="9"/>
        <v>70</v>
      </c>
      <c r="I54" s="14">
        <f t="shared" si="16"/>
        <v>-2080.4166666666665</v>
      </c>
    </row>
    <row r="55" spans="1:9" s="3" customFormat="1" ht="16">
      <c r="A55" s="4"/>
      <c r="B55" s="4"/>
      <c r="C55" s="4">
        <v>17</v>
      </c>
      <c r="D55" s="5">
        <f t="shared" si="12"/>
        <v>53333.333333333314</v>
      </c>
      <c r="E55" s="5">
        <f t="shared" si="13"/>
        <v>333.3333333333332</v>
      </c>
      <c r="F55" s="5">
        <f t="shared" si="14"/>
        <v>1666.6666666666667</v>
      </c>
      <c r="G55" s="5">
        <f t="shared" si="15"/>
        <v>51666.66666666665</v>
      </c>
      <c r="H55" s="5">
        <f t="shared" si="9"/>
        <v>70</v>
      </c>
      <c r="I55" s="14">
        <f t="shared" si="16"/>
        <v>-2070</v>
      </c>
    </row>
    <row r="56" spans="1:9" s="3" customFormat="1" ht="16">
      <c r="A56" s="4"/>
      <c r="B56" s="4"/>
      <c r="C56" s="4">
        <v>18</v>
      </c>
      <c r="D56" s="5">
        <f t="shared" si="12"/>
        <v>51666.66666666665</v>
      </c>
      <c r="E56" s="5">
        <f t="shared" si="13"/>
        <v>322.91666666666657</v>
      </c>
      <c r="F56" s="5">
        <f t="shared" si="14"/>
        <v>1666.6666666666667</v>
      </c>
      <c r="G56" s="5">
        <f t="shared" si="15"/>
        <v>49999.999999999985</v>
      </c>
      <c r="H56" s="5">
        <f t="shared" si="9"/>
        <v>70</v>
      </c>
      <c r="I56" s="14">
        <f t="shared" si="16"/>
        <v>-2059.583333333333</v>
      </c>
    </row>
    <row r="57" spans="1:9" s="3" customFormat="1" ht="16">
      <c r="A57" s="4"/>
      <c r="B57" s="4"/>
      <c r="C57" s="4">
        <v>19</v>
      </c>
      <c r="D57" s="5">
        <f t="shared" si="12"/>
        <v>49999.999999999985</v>
      </c>
      <c r="E57" s="5">
        <f t="shared" si="13"/>
        <v>312.49999999999989</v>
      </c>
      <c r="F57" s="5">
        <f t="shared" si="14"/>
        <v>1666.6666666666667</v>
      </c>
      <c r="G57" s="5">
        <f t="shared" si="15"/>
        <v>48333.333333333321</v>
      </c>
      <c r="H57" s="5">
        <f t="shared" si="9"/>
        <v>70</v>
      </c>
      <c r="I57" s="14">
        <f t="shared" si="16"/>
        <v>-2049.1666666666665</v>
      </c>
    </row>
    <row r="58" spans="1:9" s="3" customFormat="1" ht="16">
      <c r="A58" s="4"/>
      <c r="B58" s="4"/>
      <c r="C58" s="4">
        <v>20</v>
      </c>
      <c r="D58" s="5">
        <f t="shared" si="12"/>
        <v>48333.333333333321</v>
      </c>
      <c r="E58" s="5">
        <f t="shared" si="13"/>
        <v>302.08333333333326</v>
      </c>
      <c r="F58" s="5">
        <f t="shared" si="14"/>
        <v>1666.6666666666667</v>
      </c>
      <c r="G58" s="5">
        <f t="shared" si="15"/>
        <v>46666.666666666657</v>
      </c>
      <c r="H58" s="5">
        <f t="shared" si="9"/>
        <v>70</v>
      </c>
      <c r="I58" s="14">
        <f t="shared" si="16"/>
        <v>-2038.75</v>
      </c>
    </row>
    <row r="59" spans="1:9" s="3" customFormat="1" ht="16">
      <c r="A59" s="4"/>
      <c r="B59" s="4"/>
      <c r="C59" s="4">
        <v>21</v>
      </c>
      <c r="D59" s="5">
        <f t="shared" si="12"/>
        <v>46666.666666666657</v>
      </c>
      <c r="E59" s="5">
        <f t="shared" si="13"/>
        <v>291.66666666666657</v>
      </c>
      <c r="F59" s="5">
        <f t="shared" si="14"/>
        <v>1666.6666666666667</v>
      </c>
      <c r="G59" s="5">
        <f t="shared" si="15"/>
        <v>44999.999999999993</v>
      </c>
      <c r="H59" s="5">
        <f t="shared" si="9"/>
        <v>70</v>
      </c>
      <c r="I59" s="14">
        <f t="shared" si="16"/>
        <v>-2028.3333333333333</v>
      </c>
    </row>
    <row r="60" spans="1:9" s="3" customFormat="1" ht="16">
      <c r="A60" s="4"/>
      <c r="B60" s="4"/>
      <c r="C60" s="4">
        <v>22</v>
      </c>
      <c r="D60" s="5">
        <f t="shared" si="12"/>
        <v>44999.999999999993</v>
      </c>
      <c r="E60" s="5">
        <f t="shared" si="13"/>
        <v>281.24999999999994</v>
      </c>
      <c r="F60" s="5">
        <f t="shared" si="14"/>
        <v>1666.6666666666667</v>
      </c>
      <c r="G60" s="5">
        <f t="shared" si="15"/>
        <v>43333.333333333328</v>
      </c>
      <c r="H60" s="5">
        <f t="shared" si="9"/>
        <v>70</v>
      </c>
      <c r="I60" s="14">
        <f t="shared" si="16"/>
        <v>-2017.9166666666667</v>
      </c>
    </row>
    <row r="61" spans="1:9" s="3" customFormat="1" ht="16">
      <c r="A61" s="4"/>
      <c r="B61" s="4"/>
      <c r="C61" s="4">
        <v>23</v>
      </c>
      <c r="D61" s="5">
        <f t="shared" si="12"/>
        <v>43333.333333333328</v>
      </c>
      <c r="E61" s="5">
        <f t="shared" si="13"/>
        <v>270.83333333333331</v>
      </c>
      <c r="F61" s="5">
        <f t="shared" si="14"/>
        <v>1666.6666666666667</v>
      </c>
      <c r="G61" s="5">
        <f t="shared" si="15"/>
        <v>41666.666666666664</v>
      </c>
      <c r="H61" s="5">
        <f t="shared" si="9"/>
        <v>70</v>
      </c>
      <c r="I61" s="14">
        <f t="shared" si="16"/>
        <v>-2007.5</v>
      </c>
    </row>
    <row r="62" spans="1:9" s="3" customFormat="1" ht="16">
      <c r="A62" s="4"/>
      <c r="B62" s="4"/>
      <c r="C62" s="4">
        <v>24</v>
      </c>
      <c r="D62" s="5">
        <f t="shared" si="12"/>
        <v>41666.666666666664</v>
      </c>
      <c r="E62" s="5">
        <f t="shared" si="13"/>
        <v>260.41666666666663</v>
      </c>
      <c r="F62" s="5">
        <f t="shared" si="14"/>
        <v>1666.6666666666667</v>
      </c>
      <c r="G62" s="5">
        <f t="shared" si="15"/>
        <v>40000</v>
      </c>
      <c r="H62" s="5">
        <f t="shared" si="9"/>
        <v>70</v>
      </c>
      <c r="I62" s="14">
        <f t="shared" si="16"/>
        <v>-1997.0833333333335</v>
      </c>
    </row>
    <row r="63" spans="1:9" s="3" customFormat="1" ht="16">
      <c r="A63" s="4"/>
      <c r="B63" s="4"/>
      <c r="C63" s="4">
        <v>25</v>
      </c>
      <c r="D63" s="5">
        <f t="shared" si="12"/>
        <v>40000</v>
      </c>
      <c r="E63" s="5">
        <f t="shared" si="13"/>
        <v>250</v>
      </c>
      <c r="F63" s="5">
        <f t="shared" si="14"/>
        <v>1666.6666666666667</v>
      </c>
      <c r="G63" s="5">
        <f t="shared" si="15"/>
        <v>38333.333333333336</v>
      </c>
      <c r="H63" s="5">
        <f t="shared" si="9"/>
        <v>70</v>
      </c>
      <c r="I63" s="14">
        <f t="shared" si="16"/>
        <v>-1986.6666666666667</v>
      </c>
    </row>
    <row r="64" spans="1:9" s="3" customFormat="1" ht="16">
      <c r="A64" s="4"/>
      <c r="B64" s="4"/>
      <c r="C64" s="4">
        <v>26</v>
      </c>
      <c r="D64" s="5">
        <f t="shared" si="12"/>
        <v>38333.333333333336</v>
      </c>
      <c r="E64" s="5">
        <f t="shared" si="13"/>
        <v>239.58333333333334</v>
      </c>
      <c r="F64" s="5">
        <f t="shared" si="14"/>
        <v>1666.6666666666667</v>
      </c>
      <c r="G64" s="5">
        <f t="shared" si="15"/>
        <v>36666.666666666672</v>
      </c>
      <c r="H64" s="5">
        <f t="shared" si="9"/>
        <v>70</v>
      </c>
      <c r="I64" s="14">
        <f t="shared" si="16"/>
        <v>-1976.25</v>
      </c>
    </row>
    <row r="65" spans="1:9" s="3" customFormat="1" ht="16">
      <c r="A65" s="4"/>
      <c r="B65" s="4" t="s">
        <v>73</v>
      </c>
      <c r="C65" s="4">
        <v>27</v>
      </c>
      <c r="D65" s="5">
        <f t="shared" si="12"/>
        <v>36666.666666666672</v>
      </c>
      <c r="E65" s="5">
        <f t="shared" si="13"/>
        <v>229.16666666666671</v>
      </c>
      <c r="F65" s="5">
        <f t="shared" si="14"/>
        <v>1666.6666666666667</v>
      </c>
      <c r="G65" s="5">
        <f t="shared" si="15"/>
        <v>35000.000000000007</v>
      </c>
      <c r="H65" s="5">
        <f t="shared" si="9"/>
        <v>70</v>
      </c>
      <c r="I65" s="14">
        <f t="shared" si="16"/>
        <v>-1965.8333333333335</v>
      </c>
    </row>
    <row r="66" spans="1:9" s="3" customFormat="1" ht="16">
      <c r="A66" s="4"/>
      <c r="B66" s="4"/>
      <c r="C66" s="4">
        <v>28</v>
      </c>
      <c r="D66" s="5">
        <f t="shared" si="12"/>
        <v>35000.000000000007</v>
      </c>
      <c r="E66" s="5">
        <f t="shared" si="13"/>
        <v>218.75000000000003</v>
      </c>
      <c r="F66" s="5">
        <f t="shared" si="14"/>
        <v>1666.6666666666667</v>
      </c>
      <c r="G66" s="5">
        <f t="shared" si="15"/>
        <v>33333.333333333343</v>
      </c>
      <c r="H66" s="5">
        <f t="shared" si="9"/>
        <v>70</v>
      </c>
      <c r="I66" s="14">
        <f t="shared" si="16"/>
        <v>-1955.4166666666667</v>
      </c>
    </row>
    <row r="67" spans="1:9" s="3" customFormat="1" ht="16">
      <c r="A67" s="4"/>
      <c r="B67" s="4"/>
      <c r="C67" s="4">
        <v>29</v>
      </c>
      <c r="D67" s="5">
        <f t="shared" si="12"/>
        <v>33333.333333333343</v>
      </c>
      <c r="E67" s="5">
        <f t="shared" si="13"/>
        <v>208.33333333333337</v>
      </c>
      <c r="F67" s="5">
        <f t="shared" si="14"/>
        <v>1666.6666666666667</v>
      </c>
      <c r="G67" s="5">
        <f t="shared" si="15"/>
        <v>31666.666666666675</v>
      </c>
      <c r="H67" s="5">
        <f t="shared" si="9"/>
        <v>70</v>
      </c>
      <c r="I67" s="14">
        <f t="shared" si="16"/>
        <v>-1945</v>
      </c>
    </row>
    <row r="68" spans="1:9" s="3" customFormat="1" ht="16">
      <c r="A68" s="4"/>
      <c r="B68" s="4"/>
      <c r="C68" s="4">
        <v>30</v>
      </c>
      <c r="D68" s="5">
        <f t="shared" si="12"/>
        <v>31666.666666666675</v>
      </c>
      <c r="E68" s="5">
        <f t="shared" si="13"/>
        <v>197.91666666666671</v>
      </c>
      <c r="F68" s="5">
        <f t="shared" si="14"/>
        <v>1666.6666666666667</v>
      </c>
      <c r="G68" s="5">
        <f t="shared" si="15"/>
        <v>30000.000000000007</v>
      </c>
      <c r="H68" s="5">
        <f t="shared" si="9"/>
        <v>70</v>
      </c>
      <c r="I68" s="14">
        <f t="shared" si="16"/>
        <v>-1934.5833333333335</v>
      </c>
    </row>
    <row r="69" spans="1:9" s="3" customFormat="1" ht="16">
      <c r="A69" s="4"/>
      <c r="B69" s="4"/>
      <c r="C69" s="4">
        <v>31</v>
      </c>
      <c r="D69" s="5">
        <f t="shared" si="12"/>
        <v>30000.000000000007</v>
      </c>
      <c r="E69" s="5">
        <f t="shared" si="13"/>
        <v>187.50000000000003</v>
      </c>
      <c r="F69" s="5">
        <f t="shared" si="14"/>
        <v>1666.6666666666667</v>
      </c>
      <c r="G69" s="5">
        <f t="shared" si="15"/>
        <v>28333.333333333339</v>
      </c>
      <c r="H69" s="5">
        <f t="shared" si="9"/>
        <v>70</v>
      </c>
      <c r="I69" s="14">
        <f t="shared" si="16"/>
        <v>-1924.1666666666667</v>
      </c>
    </row>
    <row r="70" spans="1:9" s="3" customFormat="1" ht="16">
      <c r="A70" s="4"/>
      <c r="B70" s="4"/>
      <c r="C70" s="4">
        <v>32</v>
      </c>
      <c r="D70" s="5">
        <f t="shared" si="12"/>
        <v>28333.333333333339</v>
      </c>
      <c r="E70" s="5">
        <f t="shared" si="13"/>
        <v>177.08333333333337</v>
      </c>
      <c r="F70" s="5">
        <f t="shared" si="14"/>
        <v>1666.6666666666667</v>
      </c>
      <c r="G70" s="5">
        <f t="shared" si="15"/>
        <v>26666.666666666672</v>
      </c>
      <c r="H70" s="5">
        <f t="shared" si="9"/>
        <v>70</v>
      </c>
      <c r="I70" s="14">
        <f t="shared" si="16"/>
        <v>-1913.75</v>
      </c>
    </row>
    <row r="71" spans="1:9" s="3" customFormat="1" ht="16">
      <c r="A71" s="4"/>
      <c r="B71" s="4"/>
      <c r="C71" s="4">
        <v>33</v>
      </c>
      <c r="D71" s="5">
        <f t="shared" si="12"/>
        <v>26666.666666666672</v>
      </c>
      <c r="E71" s="5">
        <f t="shared" si="13"/>
        <v>166.66666666666669</v>
      </c>
      <c r="F71" s="5">
        <f t="shared" si="14"/>
        <v>1666.6666666666667</v>
      </c>
      <c r="G71" s="5">
        <f t="shared" si="15"/>
        <v>25000.000000000004</v>
      </c>
      <c r="H71" s="5">
        <f t="shared" si="9"/>
        <v>70</v>
      </c>
      <c r="I71" s="14">
        <f t="shared" si="16"/>
        <v>-1903.3333333333335</v>
      </c>
    </row>
    <row r="72" spans="1:9" s="3" customFormat="1" ht="16">
      <c r="A72" s="4"/>
      <c r="B72" s="4"/>
      <c r="C72" s="4">
        <v>34</v>
      </c>
      <c r="D72" s="5">
        <f t="shared" si="12"/>
        <v>25000.000000000004</v>
      </c>
      <c r="E72" s="5">
        <f t="shared" si="13"/>
        <v>156.25000000000003</v>
      </c>
      <c r="F72" s="5">
        <f t="shared" si="14"/>
        <v>1666.6666666666667</v>
      </c>
      <c r="G72" s="5">
        <f t="shared" si="15"/>
        <v>23333.333333333336</v>
      </c>
      <c r="H72" s="5">
        <f t="shared" si="9"/>
        <v>70</v>
      </c>
      <c r="I72" s="14">
        <f t="shared" si="16"/>
        <v>-1892.9166666666667</v>
      </c>
    </row>
    <row r="73" spans="1:9" s="3" customFormat="1" ht="16">
      <c r="A73" s="4"/>
      <c r="B73" s="4"/>
      <c r="C73" s="4">
        <v>35</v>
      </c>
      <c r="D73" s="5">
        <f t="shared" si="12"/>
        <v>23333.333333333336</v>
      </c>
      <c r="E73" s="5">
        <f t="shared" si="13"/>
        <v>145.83333333333334</v>
      </c>
      <c r="F73" s="5">
        <f t="shared" si="14"/>
        <v>1666.6666666666667</v>
      </c>
      <c r="G73" s="5">
        <f t="shared" si="15"/>
        <v>21666.666666666668</v>
      </c>
      <c r="H73" s="5">
        <f t="shared" si="9"/>
        <v>70</v>
      </c>
      <c r="I73" s="14">
        <f t="shared" si="16"/>
        <v>-1882.5</v>
      </c>
    </row>
    <row r="74" spans="1:9" s="3" customFormat="1" ht="16">
      <c r="A74" s="4"/>
      <c r="B74" s="4"/>
      <c r="C74" s="4">
        <v>36</v>
      </c>
      <c r="D74" s="5">
        <f t="shared" si="12"/>
        <v>21666.666666666668</v>
      </c>
      <c r="E74" s="5">
        <f t="shared" si="13"/>
        <v>135.41666666666666</v>
      </c>
      <c r="F74" s="5">
        <f t="shared" si="14"/>
        <v>1666.6666666666667</v>
      </c>
      <c r="G74" s="5">
        <f t="shared" si="15"/>
        <v>20000</v>
      </c>
      <c r="H74" s="5">
        <f t="shared" si="9"/>
        <v>70</v>
      </c>
      <c r="I74" s="14">
        <f t="shared" si="16"/>
        <v>-1872.0833333333335</v>
      </c>
    </row>
    <row r="75" spans="1:9" s="3" customFormat="1" ht="16">
      <c r="A75" s="4"/>
      <c r="B75" s="4"/>
      <c r="C75" s="4">
        <v>37</v>
      </c>
      <c r="D75" s="5">
        <f t="shared" si="12"/>
        <v>20000</v>
      </c>
      <c r="E75" s="5">
        <f t="shared" si="13"/>
        <v>125</v>
      </c>
      <c r="F75" s="5">
        <f t="shared" si="14"/>
        <v>1666.6666666666667</v>
      </c>
      <c r="G75" s="5">
        <f t="shared" si="15"/>
        <v>18333.333333333332</v>
      </c>
      <c r="H75" s="5">
        <f t="shared" si="9"/>
        <v>70</v>
      </c>
      <c r="I75" s="14">
        <f t="shared" si="16"/>
        <v>-1861.6666666666667</v>
      </c>
    </row>
    <row r="76" spans="1:9" s="3" customFormat="1" ht="16">
      <c r="A76" s="4"/>
      <c r="B76" s="4"/>
      <c r="C76" s="4">
        <v>38</v>
      </c>
      <c r="D76" s="5">
        <f t="shared" si="12"/>
        <v>18333.333333333332</v>
      </c>
      <c r="E76" s="5">
        <f t="shared" si="13"/>
        <v>114.58333333333331</v>
      </c>
      <c r="F76" s="5">
        <f t="shared" si="14"/>
        <v>1666.6666666666667</v>
      </c>
      <c r="G76" s="5">
        <f t="shared" si="15"/>
        <v>16666.666666666664</v>
      </c>
      <c r="H76" s="5">
        <f t="shared" si="9"/>
        <v>70</v>
      </c>
      <c r="I76" s="14">
        <f t="shared" si="16"/>
        <v>-1851.25</v>
      </c>
    </row>
    <row r="77" spans="1:9" s="3" customFormat="1" ht="16">
      <c r="A77" s="4"/>
      <c r="B77" s="4"/>
      <c r="C77" s="4">
        <v>39</v>
      </c>
      <c r="D77" s="5">
        <f t="shared" si="12"/>
        <v>16666.666666666664</v>
      </c>
      <c r="E77" s="5">
        <f t="shared" si="13"/>
        <v>104.16666666666664</v>
      </c>
      <c r="F77" s="5">
        <f t="shared" si="14"/>
        <v>1666.6666666666667</v>
      </c>
      <c r="G77" s="5">
        <f t="shared" si="15"/>
        <v>14999.999999999998</v>
      </c>
      <c r="H77" s="5">
        <f t="shared" si="9"/>
        <v>70</v>
      </c>
      <c r="I77" s="14">
        <f t="shared" si="16"/>
        <v>-1840.8333333333335</v>
      </c>
    </row>
    <row r="78" spans="1:9" s="3" customFormat="1" ht="16">
      <c r="A78" s="4"/>
      <c r="B78" s="4"/>
      <c r="C78" s="4">
        <v>40</v>
      </c>
      <c r="D78" s="5">
        <f t="shared" si="12"/>
        <v>14999.999999999998</v>
      </c>
      <c r="E78" s="5">
        <f t="shared" si="13"/>
        <v>93.749999999999986</v>
      </c>
      <c r="F78" s="5">
        <f t="shared" si="14"/>
        <v>1666.6666666666667</v>
      </c>
      <c r="G78" s="5">
        <f t="shared" si="15"/>
        <v>13333.333333333332</v>
      </c>
      <c r="H78" s="5">
        <f t="shared" si="9"/>
        <v>70</v>
      </c>
      <c r="I78" s="14">
        <f t="shared" si="16"/>
        <v>-1830.4166666666667</v>
      </c>
    </row>
    <row r="79" spans="1:9" s="3" customFormat="1" ht="16">
      <c r="A79" s="4"/>
      <c r="B79" s="4" t="s">
        <v>75</v>
      </c>
      <c r="C79" s="4">
        <v>41</v>
      </c>
      <c r="D79" s="5">
        <f t="shared" si="12"/>
        <v>13333.333333333332</v>
      </c>
      <c r="E79" s="5">
        <f t="shared" si="13"/>
        <v>83.333333333333329</v>
      </c>
      <c r="F79" s="5">
        <f t="shared" si="14"/>
        <v>1666.6666666666667</v>
      </c>
      <c r="G79" s="5">
        <f t="shared" si="15"/>
        <v>11666.666666666666</v>
      </c>
      <c r="H79" s="5">
        <f t="shared" si="9"/>
        <v>70</v>
      </c>
      <c r="I79" s="14">
        <f t="shared" si="16"/>
        <v>-1820</v>
      </c>
    </row>
    <row r="80" spans="1:9" s="3" customFormat="1" ht="16">
      <c r="A80" s="4"/>
      <c r="B80" s="4"/>
      <c r="C80" s="4">
        <v>42</v>
      </c>
      <c r="D80" s="5">
        <f t="shared" si="12"/>
        <v>11666.666666666666</v>
      </c>
      <c r="E80" s="5">
        <f t="shared" si="13"/>
        <v>72.916666666666657</v>
      </c>
      <c r="F80" s="5">
        <f t="shared" si="14"/>
        <v>1666.6666666666667</v>
      </c>
      <c r="G80" s="5">
        <f t="shared" si="15"/>
        <v>10000</v>
      </c>
      <c r="H80" s="5">
        <f t="shared" si="9"/>
        <v>70</v>
      </c>
      <c r="I80" s="14">
        <f t="shared" si="16"/>
        <v>-1809.5833333333335</v>
      </c>
    </row>
    <row r="81" spans="1:9" s="3" customFormat="1" ht="16">
      <c r="A81" s="4"/>
      <c r="B81" s="4"/>
      <c r="C81" s="4">
        <v>43</v>
      </c>
      <c r="D81" s="5">
        <f t="shared" si="12"/>
        <v>10000</v>
      </c>
      <c r="E81" s="5">
        <f t="shared" si="13"/>
        <v>62.5</v>
      </c>
      <c r="F81" s="5">
        <f t="shared" si="14"/>
        <v>1666.6666666666667</v>
      </c>
      <c r="G81" s="5">
        <f t="shared" si="15"/>
        <v>8333.3333333333339</v>
      </c>
      <c r="H81" s="5">
        <f t="shared" si="9"/>
        <v>70</v>
      </c>
      <c r="I81" s="14">
        <f t="shared" si="16"/>
        <v>-1799.1666666666667</v>
      </c>
    </row>
    <row r="82" spans="1:9" s="3" customFormat="1" ht="16">
      <c r="A82" s="4"/>
      <c r="B82" s="4"/>
      <c r="C82" s="4">
        <v>44</v>
      </c>
      <c r="D82" s="5">
        <f t="shared" si="12"/>
        <v>8333.3333333333339</v>
      </c>
      <c r="E82" s="5">
        <f t="shared" si="13"/>
        <v>52.083333333333336</v>
      </c>
      <c r="F82" s="5">
        <f t="shared" si="14"/>
        <v>1666.6666666666667</v>
      </c>
      <c r="G82" s="5">
        <f t="shared" si="15"/>
        <v>6666.666666666667</v>
      </c>
      <c r="H82" s="5">
        <f t="shared" si="9"/>
        <v>70</v>
      </c>
      <c r="I82" s="14">
        <f t="shared" si="16"/>
        <v>-1788.75</v>
      </c>
    </row>
    <row r="83" spans="1:9" s="3" customFormat="1" ht="16">
      <c r="A83" s="4"/>
      <c r="B83" s="4"/>
      <c r="C83" s="4">
        <v>45</v>
      </c>
      <c r="D83" s="5">
        <f t="shared" si="12"/>
        <v>6666.666666666667</v>
      </c>
      <c r="E83" s="5">
        <f t="shared" si="13"/>
        <v>41.666666666666664</v>
      </c>
      <c r="F83" s="5">
        <f t="shared" si="14"/>
        <v>1666.6666666666667</v>
      </c>
      <c r="G83" s="5">
        <f t="shared" si="15"/>
        <v>5000</v>
      </c>
      <c r="H83" s="5">
        <f t="shared" si="9"/>
        <v>70</v>
      </c>
      <c r="I83" s="14">
        <f t="shared" si="16"/>
        <v>-1778.3333333333335</v>
      </c>
    </row>
    <row r="84" spans="1:9" s="3" customFormat="1" ht="16">
      <c r="A84" s="4"/>
      <c r="B84" s="4"/>
      <c r="C84" s="4">
        <v>46</v>
      </c>
      <c r="D84" s="5">
        <f t="shared" si="12"/>
        <v>5000</v>
      </c>
      <c r="E84" s="5">
        <f t="shared" si="13"/>
        <v>31.25</v>
      </c>
      <c r="F84" s="5">
        <f t="shared" si="14"/>
        <v>1666.6666666666667</v>
      </c>
      <c r="G84" s="5">
        <f t="shared" si="15"/>
        <v>3333.333333333333</v>
      </c>
      <c r="H84" s="5">
        <f t="shared" si="9"/>
        <v>70</v>
      </c>
      <c r="I84" s="14">
        <f t="shared" si="16"/>
        <v>-1767.9166666666667</v>
      </c>
    </row>
    <row r="85" spans="1:9" s="3" customFormat="1" ht="16">
      <c r="A85" s="4"/>
      <c r="B85" s="4"/>
      <c r="C85" s="4">
        <v>47</v>
      </c>
      <c r="D85" s="5">
        <f t="shared" ref="D85:D86" si="17">+G84</f>
        <v>3333.333333333333</v>
      </c>
      <c r="E85" s="5">
        <f t="shared" ref="E85:E86" si="18">+G84*$E$33/$E$31</f>
        <v>20.833333333333332</v>
      </c>
      <c r="F85" s="5">
        <f t="shared" ref="F85:F86" si="19">+F84</f>
        <v>1666.6666666666667</v>
      </c>
      <c r="G85" s="5">
        <f t="shared" ref="G85:G86" si="20">+G84-F85</f>
        <v>1666.6666666666663</v>
      </c>
      <c r="H85" s="5">
        <f t="shared" si="9"/>
        <v>70</v>
      </c>
      <c r="I85" s="14">
        <f t="shared" ref="I85:I86" si="21">-E85-F85-H85</f>
        <v>-1757.5</v>
      </c>
    </row>
    <row r="86" spans="1:9" s="3" customFormat="1" ht="16">
      <c r="A86" s="4"/>
      <c r="B86" s="4"/>
      <c r="C86" s="4">
        <v>48</v>
      </c>
      <c r="D86" s="5">
        <f t="shared" si="17"/>
        <v>1666.6666666666663</v>
      </c>
      <c r="E86" s="5">
        <f t="shared" si="18"/>
        <v>10.416666666666664</v>
      </c>
      <c r="F86" s="5">
        <f t="shared" si="19"/>
        <v>1666.6666666666667</v>
      </c>
      <c r="G86" s="5">
        <f t="shared" si="20"/>
        <v>0</v>
      </c>
      <c r="H86" s="5">
        <f t="shared" si="9"/>
        <v>70</v>
      </c>
      <c r="I86" s="14">
        <f t="shared" si="21"/>
        <v>-1747.0833333333335</v>
      </c>
    </row>
    <row r="87" spans="1:9" s="3" customFormat="1" ht="16">
      <c r="A87" s="4"/>
      <c r="B87" s="4"/>
      <c r="C87" s="4"/>
      <c r="D87" s="14"/>
      <c r="E87" s="4"/>
      <c r="F87" s="4"/>
      <c r="G87" s="14"/>
      <c r="H87" s="14"/>
      <c r="I87" s="14"/>
    </row>
    <row r="88" spans="1:9">
      <c r="B88" s="4" t="s">
        <v>68</v>
      </c>
      <c r="C88" s="19"/>
      <c r="G88" s="8" t="s">
        <v>80</v>
      </c>
      <c r="I88" s="23">
        <f>+IRR(I38:I86)</f>
        <v>9.0310683790930657E-3</v>
      </c>
    </row>
    <row r="89" spans="1:9" ht="17">
      <c r="C89" s="4" t="s">
        <v>69</v>
      </c>
      <c r="G89" s="40" t="s">
        <v>324</v>
      </c>
      <c r="I89" s="23">
        <f>+(1+I88)^E31-1</f>
        <v>0.11392118100257065</v>
      </c>
    </row>
    <row r="90" spans="1:9">
      <c r="G90" s="8"/>
      <c r="I90" s="21"/>
    </row>
    <row r="91" spans="1:9">
      <c r="B91" s="24" t="s">
        <v>77</v>
      </c>
      <c r="G91" s="8"/>
      <c r="I91" s="21"/>
    </row>
    <row r="92" spans="1:9">
      <c r="G92" s="8"/>
      <c r="I92" s="21"/>
    </row>
  </sheetData>
  <mergeCells count="14">
    <mergeCell ref="B33:D33"/>
    <mergeCell ref="B34:D34"/>
    <mergeCell ref="B10:D10"/>
    <mergeCell ref="B28:D28"/>
    <mergeCell ref="B29:D29"/>
    <mergeCell ref="B30:D30"/>
    <mergeCell ref="B31:D31"/>
    <mergeCell ref="B32:D32"/>
    <mergeCell ref="B9:D9"/>
    <mergeCell ref="B4:D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&amp;A</oddHeader>
    <oddFooter>&amp;CSide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zoomScaleNormal="100" workbookViewId="0">
      <selection activeCell="A2" sqref="A2"/>
    </sheetView>
  </sheetViews>
  <sheetFormatPr baseColWidth="10" defaultColWidth="11.5" defaultRowHeight="15"/>
  <cols>
    <col min="1" max="1" width="4.1640625" style="4" customWidth="1"/>
    <col min="2" max="2" width="4.6640625" style="4" customWidth="1"/>
    <col min="3" max="3" width="7.1640625" style="4" customWidth="1"/>
    <col min="4" max="4" width="13.5" style="4" customWidth="1"/>
    <col min="5" max="5" width="12.83203125" style="4" customWidth="1"/>
    <col min="6" max="6" width="11.83203125" style="4" customWidth="1"/>
    <col min="7" max="16384" width="11.5" style="4"/>
  </cols>
  <sheetData>
    <row r="1" spans="1:9" ht="16">
      <c r="A1" s="6" t="s">
        <v>346</v>
      </c>
    </row>
    <row r="3" spans="1:9">
      <c r="A3" s="4" t="s">
        <v>70</v>
      </c>
      <c r="B3" s="4" t="s">
        <v>47</v>
      </c>
    </row>
    <row r="4" spans="1:9">
      <c r="B4" s="63" t="s">
        <v>48</v>
      </c>
      <c r="C4" s="63"/>
      <c r="D4" s="63"/>
      <c r="E4" s="17">
        <v>120000</v>
      </c>
    </row>
    <row r="5" spans="1:9">
      <c r="B5" s="63" t="s">
        <v>49</v>
      </c>
      <c r="C5" s="63"/>
      <c r="D5" s="63"/>
      <c r="E5" s="17">
        <v>1000</v>
      </c>
    </row>
    <row r="6" spans="1:9">
      <c r="B6" s="63" t="s">
        <v>51</v>
      </c>
      <c r="C6" s="63"/>
      <c r="D6" s="63"/>
      <c r="E6" s="16">
        <v>5</v>
      </c>
    </row>
    <row r="7" spans="1:9">
      <c r="B7" s="63" t="s">
        <v>52</v>
      </c>
      <c r="C7" s="63"/>
      <c r="D7" s="63"/>
      <c r="E7" s="16">
        <v>4</v>
      </c>
    </row>
    <row r="8" spans="1:9">
      <c r="B8" s="63" t="s">
        <v>50</v>
      </c>
      <c r="C8" s="63"/>
      <c r="D8" s="63"/>
      <c r="E8" s="17">
        <v>50</v>
      </c>
    </row>
    <row r="9" spans="1:9">
      <c r="B9" s="63" t="s">
        <v>53</v>
      </c>
      <c r="C9" s="63"/>
      <c r="D9" s="63"/>
      <c r="E9" s="18">
        <v>0.08</v>
      </c>
    </row>
    <row r="10" spans="1:9">
      <c r="B10" s="63" t="s">
        <v>55</v>
      </c>
      <c r="C10" s="63"/>
      <c r="D10" s="63"/>
      <c r="E10" s="16" t="s">
        <v>54</v>
      </c>
    </row>
    <row r="12" spans="1:9">
      <c r="B12" s="4" t="s">
        <v>56</v>
      </c>
    </row>
    <row r="13" spans="1:9" ht="48">
      <c r="B13" s="37" t="s">
        <v>66</v>
      </c>
      <c r="C13" s="37" t="s">
        <v>67</v>
      </c>
      <c r="D13" s="37" t="s">
        <v>60</v>
      </c>
      <c r="E13" s="37" t="s">
        <v>58</v>
      </c>
      <c r="F13" s="37" t="s">
        <v>59</v>
      </c>
      <c r="G13" s="37" t="s">
        <v>62</v>
      </c>
      <c r="H13" s="37" t="s">
        <v>61</v>
      </c>
      <c r="I13" s="37" t="s">
        <v>63</v>
      </c>
    </row>
    <row r="14" spans="1:9">
      <c r="B14" s="4" t="s">
        <v>57</v>
      </c>
      <c r="D14" s="5"/>
      <c r="E14" s="5"/>
      <c r="F14" s="5"/>
      <c r="G14" s="5">
        <f>+E4</f>
        <v>120000</v>
      </c>
      <c r="H14" s="5">
        <f>+E5</f>
        <v>1000</v>
      </c>
      <c r="I14" s="14">
        <f>+G14-H14</f>
        <v>119000</v>
      </c>
    </row>
    <row r="15" spans="1:9" s="3" customFormat="1" ht="16">
      <c r="A15" s="4"/>
      <c r="B15" s="4"/>
      <c r="C15" s="4">
        <v>1</v>
      </c>
      <c r="D15" s="5">
        <f>+G14</f>
        <v>120000</v>
      </c>
      <c r="E15" s="5">
        <f>+G14*$E$9/$E$7</f>
        <v>2400</v>
      </c>
      <c r="F15" s="5">
        <f>+E4/(E6*E7)</f>
        <v>6000</v>
      </c>
      <c r="G15" s="5">
        <f>+G14-F15</f>
        <v>114000</v>
      </c>
      <c r="H15" s="5">
        <f>+$E$8</f>
        <v>50</v>
      </c>
      <c r="I15" s="14">
        <f>-E15-F15-H15</f>
        <v>-8450</v>
      </c>
    </row>
    <row r="16" spans="1:9" s="3" customFormat="1" ht="16">
      <c r="A16" s="4"/>
      <c r="B16" s="4"/>
      <c r="C16" s="4">
        <v>2</v>
      </c>
      <c r="D16" s="5">
        <f t="shared" ref="D16:D31" si="0">+G15</f>
        <v>114000</v>
      </c>
      <c r="E16" s="5">
        <f t="shared" ref="E16:E31" si="1">+G15*$E$9/$E$7</f>
        <v>2280</v>
      </c>
      <c r="F16" s="5">
        <f>+F15</f>
        <v>6000</v>
      </c>
      <c r="G16" s="5">
        <f t="shared" ref="G16:G31" si="2">+G15-F16</f>
        <v>108000</v>
      </c>
      <c r="H16" s="5">
        <f t="shared" ref="H16:H34" si="3">+$E$8</f>
        <v>50</v>
      </c>
      <c r="I16" s="14">
        <f t="shared" ref="I16:I31" si="4">-E16-F16-H16</f>
        <v>-8330</v>
      </c>
    </row>
    <row r="17" spans="1:9" s="3" customFormat="1" ht="16">
      <c r="A17" s="4"/>
      <c r="B17" s="4"/>
      <c r="C17" s="4">
        <v>3</v>
      </c>
      <c r="D17" s="5">
        <f t="shared" si="0"/>
        <v>108000</v>
      </c>
      <c r="E17" s="5">
        <f t="shared" si="1"/>
        <v>2160</v>
      </c>
      <c r="F17" s="5">
        <f>+F16</f>
        <v>6000</v>
      </c>
      <c r="G17" s="5">
        <f t="shared" si="2"/>
        <v>102000</v>
      </c>
      <c r="H17" s="5">
        <f t="shared" si="3"/>
        <v>50</v>
      </c>
      <c r="I17" s="14">
        <f t="shared" si="4"/>
        <v>-8210</v>
      </c>
    </row>
    <row r="18" spans="1:9" s="3" customFormat="1" ht="16">
      <c r="A18" s="4"/>
      <c r="B18" s="4"/>
      <c r="C18" s="4">
        <v>4</v>
      </c>
      <c r="D18" s="5">
        <f t="shared" si="0"/>
        <v>102000</v>
      </c>
      <c r="E18" s="5">
        <f t="shared" si="1"/>
        <v>2040</v>
      </c>
      <c r="F18" s="5">
        <f t="shared" ref="F18:F31" si="5">+F17</f>
        <v>6000</v>
      </c>
      <c r="G18" s="5">
        <f t="shared" si="2"/>
        <v>96000</v>
      </c>
      <c r="H18" s="5">
        <f t="shared" si="3"/>
        <v>50</v>
      </c>
      <c r="I18" s="14">
        <f t="shared" si="4"/>
        <v>-8090</v>
      </c>
    </row>
    <row r="19" spans="1:9" s="3" customFormat="1" ht="16">
      <c r="A19" s="4"/>
      <c r="B19" s="4" t="s">
        <v>64</v>
      </c>
      <c r="C19" s="4">
        <v>5</v>
      </c>
      <c r="D19" s="5">
        <f t="shared" si="0"/>
        <v>96000</v>
      </c>
      <c r="E19" s="5">
        <f t="shared" si="1"/>
        <v>1920</v>
      </c>
      <c r="F19" s="5">
        <f t="shared" si="5"/>
        <v>6000</v>
      </c>
      <c r="G19" s="5">
        <f t="shared" si="2"/>
        <v>90000</v>
      </c>
      <c r="H19" s="5">
        <f t="shared" si="3"/>
        <v>50</v>
      </c>
      <c r="I19" s="14">
        <f t="shared" si="4"/>
        <v>-7970</v>
      </c>
    </row>
    <row r="20" spans="1:9" s="3" customFormat="1" ht="16">
      <c r="A20" s="4"/>
      <c r="B20" s="4"/>
      <c r="C20" s="4">
        <v>6</v>
      </c>
      <c r="D20" s="5">
        <f t="shared" si="0"/>
        <v>90000</v>
      </c>
      <c r="E20" s="5">
        <f t="shared" si="1"/>
        <v>1800</v>
      </c>
      <c r="F20" s="5">
        <f t="shared" si="5"/>
        <v>6000</v>
      </c>
      <c r="G20" s="5">
        <f t="shared" si="2"/>
        <v>84000</v>
      </c>
      <c r="H20" s="5">
        <f t="shared" si="3"/>
        <v>50</v>
      </c>
      <c r="I20" s="14">
        <f t="shared" si="4"/>
        <v>-7850</v>
      </c>
    </row>
    <row r="21" spans="1:9" s="3" customFormat="1" ht="16">
      <c r="A21" s="4"/>
      <c r="B21" s="4"/>
      <c r="C21" s="4">
        <v>7</v>
      </c>
      <c r="D21" s="5">
        <f t="shared" si="0"/>
        <v>84000</v>
      </c>
      <c r="E21" s="5">
        <f t="shared" si="1"/>
        <v>1680</v>
      </c>
      <c r="F21" s="5">
        <f t="shared" si="5"/>
        <v>6000</v>
      </c>
      <c r="G21" s="5">
        <f t="shared" si="2"/>
        <v>78000</v>
      </c>
      <c r="H21" s="5">
        <f t="shared" si="3"/>
        <v>50</v>
      </c>
      <c r="I21" s="14">
        <f t="shared" si="4"/>
        <v>-7730</v>
      </c>
    </row>
    <row r="22" spans="1:9" s="3" customFormat="1" ht="16">
      <c r="A22" s="4"/>
      <c r="B22" s="4"/>
      <c r="C22" s="4">
        <v>8</v>
      </c>
      <c r="D22" s="5">
        <f t="shared" si="0"/>
        <v>78000</v>
      </c>
      <c r="E22" s="5">
        <f t="shared" si="1"/>
        <v>1560</v>
      </c>
      <c r="F22" s="5">
        <f t="shared" si="5"/>
        <v>6000</v>
      </c>
      <c r="G22" s="5">
        <f t="shared" si="2"/>
        <v>72000</v>
      </c>
      <c r="H22" s="5">
        <f t="shared" si="3"/>
        <v>50</v>
      </c>
      <c r="I22" s="14">
        <f t="shared" si="4"/>
        <v>-7610</v>
      </c>
    </row>
    <row r="23" spans="1:9" s="3" customFormat="1" ht="16">
      <c r="A23" s="4"/>
      <c r="B23" s="4" t="s">
        <v>73</v>
      </c>
      <c r="C23" s="4">
        <v>9</v>
      </c>
      <c r="D23" s="5">
        <f t="shared" si="0"/>
        <v>72000</v>
      </c>
      <c r="E23" s="5">
        <f t="shared" si="1"/>
        <v>1440</v>
      </c>
      <c r="F23" s="5">
        <f t="shared" si="5"/>
        <v>6000</v>
      </c>
      <c r="G23" s="5">
        <f t="shared" si="2"/>
        <v>66000</v>
      </c>
      <c r="H23" s="5">
        <f t="shared" si="3"/>
        <v>50</v>
      </c>
      <c r="I23" s="14">
        <f t="shared" si="4"/>
        <v>-7490</v>
      </c>
    </row>
    <row r="24" spans="1:9" s="3" customFormat="1" ht="16">
      <c r="A24" s="4"/>
      <c r="B24" s="4"/>
      <c r="C24" s="4">
        <v>10</v>
      </c>
      <c r="D24" s="5">
        <f t="shared" si="0"/>
        <v>66000</v>
      </c>
      <c r="E24" s="5">
        <f t="shared" si="1"/>
        <v>1320</v>
      </c>
      <c r="F24" s="5">
        <f t="shared" si="5"/>
        <v>6000</v>
      </c>
      <c r="G24" s="5">
        <f t="shared" si="2"/>
        <v>60000</v>
      </c>
      <c r="H24" s="5">
        <f t="shared" si="3"/>
        <v>50</v>
      </c>
      <c r="I24" s="14">
        <f t="shared" si="4"/>
        <v>-7370</v>
      </c>
    </row>
    <row r="25" spans="1:9" s="3" customFormat="1" ht="16">
      <c r="A25" s="4"/>
      <c r="B25" s="4"/>
      <c r="C25" s="4">
        <v>11</v>
      </c>
      <c r="D25" s="5">
        <f t="shared" si="0"/>
        <v>60000</v>
      </c>
      <c r="E25" s="5">
        <f t="shared" si="1"/>
        <v>1200</v>
      </c>
      <c r="F25" s="5">
        <f t="shared" si="5"/>
        <v>6000</v>
      </c>
      <c r="G25" s="5">
        <f t="shared" si="2"/>
        <v>54000</v>
      </c>
      <c r="H25" s="5">
        <f t="shared" si="3"/>
        <v>50</v>
      </c>
      <c r="I25" s="14">
        <f t="shared" si="4"/>
        <v>-7250</v>
      </c>
    </row>
    <row r="26" spans="1:9" s="3" customFormat="1" ht="16">
      <c r="A26" s="4"/>
      <c r="B26" s="4"/>
      <c r="C26" s="4">
        <v>12</v>
      </c>
      <c r="D26" s="5">
        <f t="shared" si="0"/>
        <v>54000</v>
      </c>
      <c r="E26" s="5">
        <f t="shared" si="1"/>
        <v>1080</v>
      </c>
      <c r="F26" s="5">
        <f t="shared" si="5"/>
        <v>6000</v>
      </c>
      <c r="G26" s="5">
        <f t="shared" si="2"/>
        <v>48000</v>
      </c>
      <c r="H26" s="5">
        <f t="shared" si="3"/>
        <v>50</v>
      </c>
      <c r="I26" s="14">
        <f t="shared" si="4"/>
        <v>-7130</v>
      </c>
    </row>
    <row r="27" spans="1:9" s="3" customFormat="1" ht="16">
      <c r="A27" s="4"/>
      <c r="B27" s="4" t="s">
        <v>75</v>
      </c>
      <c r="C27" s="4">
        <v>13</v>
      </c>
      <c r="D27" s="5">
        <f t="shared" si="0"/>
        <v>48000</v>
      </c>
      <c r="E27" s="5">
        <f t="shared" si="1"/>
        <v>960</v>
      </c>
      <c r="F27" s="5">
        <f t="shared" si="5"/>
        <v>6000</v>
      </c>
      <c r="G27" s="5">
        <f t="shared" si="2"/>
        <v>42000</v>
      </c>
      <c r="H27" s="5">
        <f t="shared" si="3"/>
        <v>50</v>
      </c>
      <c r="I27" s="14">
        <f t="shared" si="4"/>
        <v>-7010</v>
      </c>
    </row>
    <row r="28" spans="1:9" s="3" customFormat="1" ht="16">
      <c r="A28" s="4"/>
      <c r="B28" s="4"/>
      <c r="C28" s="4">
        <v>14</v>
      </c>
      <c r="D28" s="5">
        <f t="shared" si="0"/>
        <v>42000</v>
      </c>
      <c r="E28" s="5">
        <f t="shared" si="1"/>
        <v>840</v>
      </c>
      <c r="F28" s="5">
        <f t="shared" si="5"/>
        <v>6000</v>
      </c>
      <c r="G28" s="5">
        <f t="shared" si="2"/>
        <v>36000</v>
      </c>
      <c r="H28" s="5">
        <f t="shared" si="3"/>
        <v>50</v>
      </c>
      <c r="I28" s="14">
        <f t="shared" si="4"/>
        <v>-6890</v>
      </c>
    </row>
    <row r="29" spans="1:9" s="3" customFormat="1" ht="16">
      <c r="A29" s="4"/>
      <c r="B29" s="4"/>
      <c r="C29" s="4">
        <v>15</v>
      </c>
      <c r="D29" s="5">
        <f t="shared" si="0"/>
        <v>36000</v>
      </c>
      <c r="E29" s="5">
        <f t="shared" si="1"/>
        <v>720</v>
      </c>
      <c r="F29" s="5">
        <f t="shared" si="5"/>
        <v>6000</v>
      </c>
      <c r="G29" s="5">
        <f t="shared" si="2"/>
        <v>30000</v>
      </c>
      <c r="H29" s="5">
        <f t="shared" si="3"/>
        <v>50</v>
      </c>
      <c r="I29" s="14">
        <f t="shared" si="4"/>
        <v>-6770</v>
      </c>
    </row>
    <row r="30" spans="1:9" s="3" customFormat="1" ht="16">
      <c r="A30" s="4"/>
      <c r="B30" s="4"/>
      <c r="C30" s="4">
        <v>16</v>
      </c>
      <c r="D30" s="5">
        <f t="shared" si="0"/>
        <v>30000</v>
      </c>
      <c r="E30" s="5">
        <f t="shared" si="1"/>
        <v>600</v>
      </c>
      <c r="F30" s="5">
        <f t="shared" si="5"/>
        <v>6000</v>
      </c>
      <c r="G30" s="5">
        <f t="shared" si="2"/>
        <v>24000</v>
      </c>
      <c r="H30" s="5">
        <f t="shared" si="3"/>
        <v>50</v>
      </c>
      <c r="I30" s="14">
        <f t="shared" si="4"/>
        <v>-6650</v>
      </c>
    </row>
    <row r="31" spans="1:9" s="3" customFormat="1" ht="16">
      <c r="A31" s="4"/>
      <c r="B31" s="4" t="s">
        <v>78</v>
      </c>
      <c r="C31" s="4">
        <v>17</v>
      </c>
      <c r="D31" s="5">
        <f t="shared" si="0"/>
        <v>24000</v>
      </c>
      <c r="E31" s="5">
        <f t="shared" si="1"/>
        <v>480</v>
      </c>
      <c r="F31" s="5">
        <f t="shared" si="5"/>
        <v>6000</v>
      </c>
      <c r="G31" s="5">
        <f t="shared" si="2"/>
        <v>18000</v>
      </c>
      <c r="H31" s="5">
        <f t="shared" si="3"/>
        <v>50</v>
      </c>
      <c r="I31" s="14">
        <f t="shared" si="4"/>
        <v>-6530</v>
      </c>
    </row>
    <row r="32" spans="1:9" s="3" customFormat="1" ht="16">
      <c r="A32" s="4"/>
      <c r="B32" s="4"/>
      <c r="C32" s="4">
        <v>18</v>
      </c>
      <c r="D32" s="5">
        <f t="shared" ref="D32:D34" si="6">+G31</f>
        <v>18000</v>
      </c>
      <c r="E32" s="5">
        <f t="shared" ref="E32:E34" si="7">+G31*$E$9/$E$7</f>
        <v>360</v>
      </c>
      <c r="F32" s="5">
        <f t="shared" ref="F32:F34" si="8">+F31</f>
        <v>6000</v>
      </c>
      <c r="G32" s="5">
        <f t="shared" ref="G32:G34" si="9">+G31-F32</f>
        <v>12000</v>
      </c>
      <c r="H32" s="5">
        <f t="shared" si="3"/>
        <v>50</v>
      </c>
      <c r="I32" s="14">
        <f t="shared" ref="I32:I34" si="10">-E32-F32-H32</f>
        <v>-6410</v>
      </c>
    </row>
    <row r="33" spans="1:9" s="3" customFormat="1" ht="16">
      <c r="A33" s="4"/>
      <c r="B33" s="4"/>
      <c r="C33" s="4">
        <v>19</v>
      </c>
      <c r="D33" s="5">
        <f t="shared" si="6"/>
        <v>12000</v>
      </c>
      <c r="E33" s="5">
        <f t="shared" si="7"/>
        <v>240</v>
      </c>
      <c r="F33" s="5">
        <f t="shared" si="8"/>
        <v>6000</v>
      </c>
      <c r="G33" s="5">
        <f t="shared" si="9"/>
        <v>6000</v>
      </c>
      <c r="H33" s="5">
        <f t="shared" si="3"/>
        <v>50</v>
      </c>
      <c r="I33" s="14">
        <f t="shared" si="10"/>
        <v>-6290</v>
      </c>
    </row>
    <row r="34" spans="1:9" s="3" customFormat="1" ht="16">
      <c r="A34" s="4"/>
      <c r="B34" s="4"/>
      <c r="C34" s="4">
        <v>20</v>
      </c>
      <c r="D34" s="5">
        <f t="shared" si="6"/>
        <v>6000</v>
      </c>
      <c r="E34" s="5">
        <f t="shared" si="7"/>
        <v>120</v>
      </c>
      <c r="F34" s="5">
        <f t="shared" si="8"/>
        <v>6000</v>
      </c>
      <c r="G34" s="5">
        <f t="shared" si="9"/>
        <v>0</v>
      </c>
      <c r="H34" s="5">
        <f t="shared" si="3"/>
        <v>50</v>
      </c>
      <c r="I34" s="14">
        <f t="shared" si="10"/>
        <v>-6170</v>
      </c>
    </row>
    <row r="35" spans="1:9" s="3" customFormat="1" ht="16">
      <c r="A35" s="4"/>
      <c r="B35" s="4"/>
      <c r="C35" s="4"/>
      <c r="D35" s="14"/>
      <c r="E35" s="4"/>
      <c r="F35" s="4"/>
      <c r="G35" s="14"/>
      <c r="H35" s="14"/>
      <c r="I35" s="14"/>
    </row>
    <row r="36" spans="1:9">
      <c r="B36" s="4" t="s">
        <v>68</v>
      </c>
      <c r="C36" s="19"/>
      <c r="G36" s="8" t="s">
        <v>79</v>
      </c>
      <c r="I36" s="23">
        <f>+IRR(I14:I34)</f>
        <v>2.1667253558479205E-2</v>
      </c>
    </row>
    <row r="37" spans="1:9" ht="17">
      <c r="C37" s="4" t="s">
        <v>69</v>
      </c>
      <c r="G37" s="52" t="s">
        <v>290</v>
      </c>
      <c r="I37" s="23">
        <f>+(1+I36)^E7-1</f>
        <v>8.9526742387918246E-2</v>
      </c>
    </row>
    <row r="38" spans="1:9">
      <c r="G38" s="8"/>
      <c r="I38" s="21"/>
    </row>
    <row r="39" spans="1:9">
      <c r="A39" s="4" t="s">
        <v>4</v>
      </c>
      <c r="B39" s="4" t="s">
        <v>322</v>
      </c>
      <c r="G39" s="8"/>
      <c r="I39" s="21"/>
    </row>
    <row r="40" spans="1:9">
      <c r="B40" s="4" t="s">
        <v>321</v>
      </c>
      <c r="G40" s="8"/>
      <c r="I40" s="21"/>
    </row>
    <row r="41" spans="1:9">
      <c r="G41" s="8"/>
      <c r="I41" s="21"/>
    </row>
    <row r="42" spans="1:9">
      <c r="G42" s="8"/>
      <c r="I42" s="21"/>
    </row>
    <row r="43" spans="1:9">
      <c r="G43" s="8"/>
      <c r="I43" s="21"/>
    </row>
    <row r="44" spans="1:9">
      <c r="G44" s="8"/>
      <c r="I44" s="21"/>
    </row>
    <row r="45" spans="1:9">
      <c r="G45" s="8"/>
      <c r="I45" s="21"/>
    </row>
    <row r="46" spans="1:9">
      <c r="G46" s="8"/>
      <c r="I46" s="21"/>
    </row>
    <row r="47" spans="1:9">
      <c r="B47" s="4" t="s">
        <v>47</v>
      </c>
    </row>
    <row r="48" spans="1:9">
      <c r="B48" s="63" t="s">
        <v>48</v>
      </c>
      <c r="C48" s="63"/>
      <c r="D48" s="63"/>
      <c r="E48" s="17">
        <v>120000</v>
      </c>
    </row>
    <row r="49" spans="2:9">
      <c r="B49" s="63" t="s">
        <v>49</v>
      </c>
      <c r="C49" s="63"/>
      <c r="D49" s="63"/>
      <c r="E49" s="17">
        <v>1000</v>
      </c>
    </row>
    <row r="50" spans="2:9">
      <c r="B50" s="63" t="s">
        <v>51</v>
      </c>
      <c r="C50" s="63"/>
      <c r="D50" s="63"/>
      <c r="E50" s="16">
        <v>5</v>
      </c>
    </row>
    <row r="51" spans="2:9">
      <c r="B51" s="63" t="s">
        <v>52</v>
      </c>
      <c r="C51" s="63"/>
      <c r="D51" s="63"/>
      <c r="E51" s="16">
        <v>4</v>
      </c>
    </row>
    <row r="52" spans="2:9">
      <c r="B52" s="63" t="s">
        <v>50</v>
      </c>
      <c r="C52" s="63"/>
      <c r="D52" s="63"/>
      <c r="E52" s="17">
        <v>50</v>
      </c>
    </row>
    <row r="53" spans="2:9">
      <c r="B53" s="63" t="s">
        <v>53</v>
      </c>
      <c r="C53" s="63"/>
      <c r="D53" s="63"/>
      <c r="E53" s="18">
        <v>0.08</v>
      </c>
    </row>
    <row r="54" spans="2:9">
      <c r="B54" s="63" t="s">
        <v>55</v>
      </c>
      <c r="C54" s="63"/>
      <c r="D54" s="63"/>
      <c r="E54" s="64" t="s">
        <v>81</v>
      </c>
      <c r="F54" s="64"/>
    </row>
    <row r="56" spans="2:9">
      <c r="B56" s="4" t="s">
        <v>56</v>
      </c>
    </row>
    <row r="57" spans="2:9" ht="48">
      <c r="B57" s="37" t="s">
        <v>66</v>
      </c>
      <c r="C57" s="37" t="s">
        <v>67</v>
      </c>
      <c r="D57" s="37" t="s">
        <v>60</v>
      </c>
      <c r="E57" s="37" t="s">
        <v>58</v>
      </c>
      <c r="F57" s="37" t="s">
        <v>59</v>
      </c>
      <c r="G57" s="37" t="s">
        <v>62</v>
      </c>
      <c r="H57" s="37" t="s">
        <v>61</v>
      </c>
      <c r="I57" s="37" t="s">
        <v>63</v>
      </c>
    </row>
    <row r="58" spans="2:9">
      <c r="B58" s="4" t="s">
        <v>57</v>
      </c>
      <c r="D58" s="5"/>
      <c r="E58" s="5">
        <f t="shared" ref="E58:E77" si="11">+G58*$E$9/$E$7</f>
        <v>2400</v>
      </c>
      <c r="F58" s="5"/>
      <c r="G58" s="5">
        <f>+E48</f>
        <v>120000</v>
      </c>
      <c r="H58" s="5">
        <f>+E49</f>
        <v>1000</v>
      </c>
      <c r="I58" s="14">
        <f>+G58-H58-E58</f>
        <v>116600</v>
      </c>
    </row>
    <row r="59" spans="2:9">
      <c r="C59" s="4">
        <v>1</v>
      </c>
      <c r="D59" s="5">
        <f>+G58</f>
        <v>120000</v>
      </c>
      <c r="E59" s="5">
        <f t="shared" si="11"/>
        <v>2280</v>
      </c>
      <c r="F59" s="5">
        <f>+E48/(E50*E51)</f>
        <v>6000</v>
      </c>
      <c r="G59" s="5">
        <f>+G58-F59</f>
        <v>114000</v>
      </c>
      <c r="H59" s="5">
        <f>+$E$8</f>
        <v>50</v>
      </c>
      <c r="I59" s="14">
        <f>-E59-F59-H59</f>
        <v>-8330</v>
      </c>
    </row>
    <row r="60" spans="2:9">
      <c r="C60" s="4">
        <v>2</v>
      </c>
      <c r="D60" s="5">
        <f t="shared" ref="D60:D78" si="12">+G59</f>
        <v>114000</v>
      </c>
      <c r="E60" s="5">
        <f t="shared" si="11"/>
        <v>2160</v>
      </c>
      <c r="F60" s="5">
        <f>+F59</f>
        <v>6000</v>
      </c>
      <c r="G60" s="5">
        <f t="shared" ref="G60:G78" si="13">+G59-F60</f>
        <v>108000</v>
      </c>
      <c r="H60" s="5">
        <f t="shared" ref="H60:H78" si="14">+$E$8</f>
        <v>50</v>
      </c>
      <c r="I60" s="14">
        <f t="shared" ref="I60:I78" si="15">-E60-F60-H60</f>
        <v>-8210</v>
      </c>
    </row>
    <row r="61" spans="2:9">
      <c r="C61" s="4">
        <v>3</v>
      </c>
      <c r="D61" s="5">
        <f t="shared" si="12"/>
        <v>108000</v>
      </c>
      <c r="E61" s="5">
        <f t="shared" si="11"/>
        <v>2040</v>
      </c>
      <c r="F61" s="5">
        <f>+F60</f>
        <v>6000</v>
      </c>
      <c r="G61" s="5">
        <f t="shared" si="13"/>
        <v>102000</v>
      </c>
      <c r="H61" s="5">
        <f t="shared" si="14"/>
        <v>50</v>
      </c>
      <c r="I61" s="14">
        <f t="shared" si="15"/>
        <v>-8090</v>
      </c>
    </row>
    <row r="62" spans="2:9">
      <c r="C62" s="4">
        <v>4</v>
      </c>
      <c r="D62" s="5">
        <f t="shared" si="12"/>
        <v>102000</v>
      </c>
      <c r="E62" s="5">
        <f t="shared" si="11"/>
        <v>1920</v>
      </c>
      <c r="F62" s="5">
        <f t="shared" ref="F62:F78" si="16">+F61</f>
        <v>6000</v>
      </c>
      <c r="G62" s="5">
        <f t="shared" si="13"/>
        <v>96000</v>
      </c>
      <c r="H62" s="5">
        <f t="shared" si="14"/>
        <v>50</v>
      </c>
      <c r="I62" s="14">
        <f t="shared" si="15"/>
        <v>-7970</v>
      </c>
    </row>
    <row r="63" spans="2:9">
      <c r="B63" s="4" t="s">
        <v>64</v>
      </c>
      <c r="C63" s="4">
        <v>5</v>
      </c>
      <c r="D63" s="5">
        <f t="shared" si="12"/>
        <v>96000</v>
      </c>
      <c r="E63" s="5">
        <f t="shared" si="11"/>
        <v>1800</v>
      </c>
      <c r="F63" s="5">
        <f t="shared" si="16"/>
        <v>6000</v>
      </c>
      <c r="G63" s="5">
        <f t="shared" si="13"/>
        <v>90000</v>
      </c>
      <c r="H63" s="5">
        <f t="shared" si="14"/>
        <v>50</v>
      </c>
      <c r="I63" s="14">
        <f t="shared" si="15"/>
        <v>-7850</v>
      </c>
    </row>
    <row r="64" spans="2:9">
      <c r="C64" s="4">
        <v>6</v>
      </c>
      <c r="D64" s="5">
        <f t="shared" si="12"/>
        <v>90000</v>
      </c>
      <c r="E64" s="5">
        <f t="shared" si="11"/>
        <v>1680</v>
      </c>
      <c r="F64" s="5">
        <f t="shared" si="16"/>
        <v>6000</v>
      </c>
      <c r="G64" s="5">
        <f t="shared" si="13"/>
        <v>84000</v>
      </c>
      <c r="H64" s="5">
        <f t="shared" si="14"/>
        <v>50</v>
      </c>
      <c r="I64" s="14">
        <f t="shared" si="15"/>
        <v>-7730</v>
      </c>
    </row>
    <row r="65" spans="2:9">
      <c r="C65" s="4">
        <v>7</v>
      </c>
      <c r="D65" s="5">
        <f t="shared" si="12"/>
        <v>84000</v>
      </c>
      <c r="E65" s="5">
        <f t="shared" si="11"/>
        <v>1560</v>
      </c>
      <c r="F65" s="5">
        <f t="shared" si="16"/>
        <v>6000</v>
      </c>
      <c r="G65" s="5">
        <f t="shared" si="13"/>
        <v>78000</v>
      </c>
      <c r="H65" s="5">
        <f t="shared" si="14"/>
        <v>50</v>
      </c>
      <c r="I65" s="14">
        <f t="shared" si="15"/>
        <v>-7610</v>
      </c>
    </row>
    <row r="66" spans="2:9">
      <c r="C66" s="4">
        <v>8</v>
      </c>
      <c r="D66" s="5">
        <f t="shared" si="12"/>
        <v>78000</v>
      </c>
      <c r="E66" s="5">
        <f t="shared" si="11"/>
        <v>1440</v>
      </c>
      <c r="F66" s="5">
        <f t="shared" si="16"/>
        <v>6000</v>
      </c>
      <c r="G66" s="5">
        <f t="shared" si="13"/>
        <v>72000</v>
      </c>
      <c r="H66" s="5">
        <f t="shared" si="14"/>
        <v>50</v>
      </c>
      <c r="I66" s="14">
        <f t="shared" si="15"/>
        <v>-7490</v>
      </c>
    </row>
    <row r="67" spans="2:9">
      <c r="B67" s="4" t="s">
        <v>73</v>
      </c>
      <c r="C67" s="4">
        <v>9</v>
      </c>
      <c r="D67" s="5">
        <f t="shared" si="12"/>
        <v>72000</v>
      </c>
      <c r="E67" s="5">
        <f t="shared" si="11"/>
        <v>1320</v>
      </c>
      <c r="F67" s="5">
        <f t="shared" si="16"/>
        <v>6000</v>
      </c>
      <c r="G67" s="5">
        <f t="shared" si="13"/>
        <v>66000</v>
      </c>
      <c r="H67" s="5">
        <f t="shared" si="14"/>
        <v>50</v>
      </c>
      <c r="I67" s="14">
        <f t="shared" si="15"/>
        <v>-7370</v>
      </c>
    </row>
    <row r="68" spans="2:9">
      <c r="C68" s="4">
        <v>10</v>
      </c>
      <c r="D68" s="5">
        <f t="shared" si="12"/>
        <v>66000</v>
      </c>
      <c r="E68" s="5">
        <f t="shared" si="11"/>
        <v>1200</v>
      </c>
      <c r="F68" s="5">
        <f t="shared" si="16"/>
        <v>6000</v>
      </c>
      <c r="G68" s="5">
        <f t="shared" si="13"/>
        <v>60000</v>
      </c>
      <c r="H68" s="5">
        <f t="shared" si="14"/>
        <v>50</v>
      </c>
      <c r="I68" s="14">
        <f t="shared" si="15"/>
        <v>-7250</v>
      </c>
    </row>
    <row r="69" spans="2:9">
      <c r="C69" s="4">
        <v>11</v>
      </c>
      <c r="D69" s="5">
        <f t="shared" si="12"/>
        <v>60000</v>
      </c>
      <c r="E69" s="5">
        <f t="shared" si="11"/>
        <v>1080</v>
      </c>
      <c r="F69" s="5">
        <f t="shared" si="16"/>
        <v>6000</v>
      </c>
      <c r="G69" s="5">
        <f t="shared" si="13"/>
        <v>54000</v>
      </c>
      <c r="H69" s="5">
        <f t="shared" si="14"/>
        <v>50</v>
      </c>
      <c r="I69" s="14">
        <f t="shared" si="15"/>
        <v>-7130</v>
      </c>
    </row>
    <row r="70" spans="2:9">
      <c r="C70" s="4">
        <v>12</v>
      </c>
      <c r="D70" s="5">
        <f t="shared" si="12"/>
        <v>54000</v>
      </c>
      <c r="E70" s="5">
        <f t="shared" si="11"/>
        <v>960</v>
      </c>
      <c r="F70" s="5">
        <f t="shared" si="16"/>
        <v>6000</v>
      </c>
      <c r="G70" s="5">
        <f t="shared" si="13"/>
        <v>48000</v>
      </c>
      <c r="H70" s="5">
        <f t="shared" si="14"/>
        <v>50</v>
      </c>
      <c r="I70" s="14">
        <f t="shared" si="15"/>
        <v>-7010</v>
      </c>
    </row>
    <row r="71" spans="2:9">
      <c r="B71" s="4" t="s">
        <v>75</v>
      </c>
      <c r="C71" s="4">
        <v>13</v>
      </c>
      <c r="D71" s="5">
        <f t="shared" si="12"/>
        <v>48000</v>
      </c>
      <c r="E71" s="5">
        <f t="shared" si="11"/>
        <v>840</v>
      </c>
      <c r="F71" s="5">
        <f t="shared" si="16"/>
        <v>6000</v>
      </c>
      <c r="G71" s="5">
        <f t="shared" si="13"/>
        <v>42000</v>
      </c>
      <c r="H71" s="5">
        <f t="shared" si="14"/>
        <v>50</v>
      </c>
      <c r="I71" s="14">
        <f t="shared" si="15"/>
        <v>-6890</v>
      </c>
    </row>
    <row r="72" spans="2:9">
      <c r="C72" s="4">
        <v>14</v>
      </c>
      <c r="D72" s="5">
        <f t="shared" si="12"/>
        <v>42000</v>
      </c>
      <c r="E72" s="5">
        <f t="shared" si="11"/>
        <v>720</v>
      </c>
      <c r="F72" s="5">
        <f t="shared" si="16"/>
        <v>6000</v>
      </c>
      <c r="G72" s="5">
        <f t="shared" si="13"/>
        <v>36000</v>
      </c>
      <c r="H72" s="5">
        <f t="shared" si="14"/>
        <v>50</v>
      </c>
      <c r="I72" s="14">
        <f t="shared" si="15"/>
        <v>-6770</v>
      </c>
    </row>
    <row r="73" spans="2:9">
      <c r="C73" s="4">
        <v>15</v>
      </c>
      <c r="D73" s="5">
        <f t="shared" si="12"/>
        <v>36000</v>
      </c>
      <c r="E73" s="5">
        <f t="shared" si="11"/>
        <v>600</v>
      </c>
      <c r="F73" s="5">
        <f t="shared" si="16"/>
        <v>6000</v>
      </c>
      <c r="G73" s="5">
        <f t="shared" si="13"/>
        <v>30000</v>
      </c>
      <c r="H73" s="5">
        <f t="shared" si="14"/>
        <v>50</v>
      </c>
      <c r="I73" s="14">
        <f t="shared" si="15"/>
        <v>-6650</v>
      </c>
    </row>
    <row r="74" spans="2:9">
      <c r="C74" s="4">
        <v>16</v>
      </c>
      <c r="D74" s="5">
        <f t="shared" si="12"/>
        <v>30000</v>
      </c>
      <c r="E74" s="5">
        <f t="shared" si="11"/>
        <v>480</v>
      </c>
      <c r="F74" s="5">
        <f t="shared" si="16"/>
        <v>6000</v>
      </c>
      <c r="G74" s="5">
        <f t="shared" si="13"/>
        <v>24000</v>
      </c>
      <c r="H74" s="5">
        <f t="shared" si="14"/>
        <v>50</v>
      </c>
      <c r="I74" s="14">
        <f t="shared" si="15"/>
        <v>-6530</v>
      </c>
    </row>
    <row r="75" spans="2:9">
      <c r="B75" s="4" t="s">
        <v>78</v>
      </c>
      <c r="C75" s="4">
        <v>17</v>
      </c>
      <c r="D75" s="5">
        <f t="shared" si="12"/>
        <v>24000</v>
      </c>
      <c r="E75" s="5">
        <f t="shared" si="11"/>
        <v>360</v>
      </c>
      <c r="F75" s="5">
        <f t="shared" si="16"/>
        <v>6000</v>
      </c>
      <c r="G75" s="5">
        <f t="shared" si="13"/>
        <v>18000</v>
      </c>
      <c r="H75" s="5">
        <f t="shared" si="14"/>
        <v>50</v>
      </c>
      <c r="I75" s="14">
        <f t="shared" si="15"/>
        <v>-6410</v>
      </c>
    </row>
    <row r="76" spans="2:9">
      <c r="C76" s="4">
        <v>18</v>
      </c>
      <c r="D76" s="5">
        <f t="shared" si="12"/>
        <v>18000</v>
      </c>
      <c r="E76" s="5">
        <f t="shared" si="11"/>
        <v>240</v>
      </c>
      <c r="F76" s="5">
        <f t="shared" si="16"/>
        <v>6000</v>
      </c>
      <c r="G76" s="5">
        <f t="shared" si="13"/>
        <v>12000</v>
      </c>
      <c r="H76" s="5">
        <f t="shared" si="14"/>
        <v>50</v>
      </c>
      <c r="I76" s="14">
        <f t="shared" si="15"/>
        <v>-6290</v>
      </c>
    </row>
    <row r="77" spans="2:9">
      <c r="C77" s="4">
        <v>19</v>
      </c>
      <c r="D77" s="5">
        <f t="shared" si="12"/>
        <v>12000</v>
      </c>
      <c r="E77" s="5">
        <f t="shared" si="11"/>
        <v>120</v>
      </c>
      <c r="F77" s="5">
        <f t="shared" si="16"/>
        <v>6000</v>
      </c>
      <c r="G77" s="5">
        <f t="shared" si="13"/>
        <v>6000</v>
      </c>
      <c r="H77" s="5">
        <f t="shared" si="14"/>
        <v>50</v>
      </c>
      <c r="I77" s="14">
        <f t="shared" si="15"/>
        <v>-6170</v>
      </c>
    </row>
    <row r="78" spans="2:9">
      <c r="C78" s="4">
        <v>20</v>
      </c>
      <c r="D78" s="5">
        <f t="shared" si="12"/>
        <v>6000</v>
      </c>
      <c r="F78" s="5">
        <f t="shared" si="16"/>
        <v>6000</v>
      </c>
      <c r="G78" s="5">
        <f t="shared" si="13"/>
        <v>0</v>
      </c>
      <c r="H78" s="5">
        <f t="shared" si="14"/>
        <v>50</v>
      </c>
      <c r="I78" s="14">
        <f t="shared" si="15"/>
        <v>-6050</v>
      </c>
    </row>
    <row r="79" spans="2:9">
      <c r="D79" s="14"/>
      <c r="G79" s="14"/>
      <c r="H79" s="14"/>
      <c r="I79" s="14"/>
    </row>
    <row r="80" spans="2:9">
      <c r="B80" s="4" t="s">
        <v>68</v>
      </c>
      <c r="C80" s="19"/>
      <c r="G80" s="8" t="s">
        <v>82</v>
      </c>
      <c r="I80" s="23">
        <f>+IRR(I58:I78)</f>
        <v>2.2111283790881231E-2</v>
      </c>
    </row>
    <row r="81" spans="3:9" ht="17">
      <c r="C81" s="4" t="s">
        <v>69</v>
      </c>
      <c r="G81" s="52" t="s">
        <v>323</v>
      </c>
      <c r="I81" s="23">
        <f>+(1+I80)^E51-1</f>
        <v>9.1422069031861897E-2</v>
      </c>
    </row>
  </sheetData>
  <mergeCells count="15">
    <mergeCell ref="B52:D52"/>
    <mergeCell ref="B53:D53"/>
    <mergeCell ref="B54:D54"/>
    <mergeCell ref="E54:F54"/>
    <mergeCell ref="B9:D9"/>
    <mergeCell ref="B10:D10"/>
    <mergeCell ref="B48:D48"/>
    <mergeCell ref="B49:D49"/>
    <mergeCell ref="B50:D50"/>
    <mergeCell ref="B51:D51"/>
    <mergeCell ref="B4:D4"/>
    <mergeCell ref="B5:D5"/>
    <mergeCell ref="B6:D6"/>
    <mergeCell ref="B7:D7"/>
    <mergeCell ref="B8:D8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&amp;COppgave &amp;A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12.1</vt:lpstr>
      <vt:lpstr>12.2</vt:lpstr>
      <vt:lpstr>12.3</vt:lpstr>
      <vt:lpstr>12.4</vt:lpstr>
      <vt:lpstr>12.5</vt:lpstr>
      <vt:lpstr>12.6 og 12.7</vt:lpstr>
      <vt:lpstr>12.8</vt:lpstr>
      <vt:lpstr>12.9</vt:lpstr>
      <vt:lpstr>12.10</vt:lpstr>
      <vt:lpstr>12.11</vt:lpstr>
      <vt:lpstr>12.12</vt:lpstr>
      <vt:lpstr>12.13</vt:lpstr>
      <vt:lpstr>12.14</vt:lpstr>
      <vt:lpstr>12.15</vt:lpstr>
      <vt:lpstr>12.16</vt:lpstr>
      <vt:lpstr>12.17</vt:lpstr>
      <vt:lpstr>12.18</vt:lpstr>
      <vt:lpstr>Ark1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trw</dc:creator>
  <cp:lastModifiedBy>Trond Winther</cp:lastModifiedBy>
  <cp:lastPrinted>2016-02-12T10:09:59Z</cp:lastPrinted>
  <dcterms:created xsi:type="dcterms:W3CDTF">2014-09-23T14:45:02Z</dcterms:created>
  <dcterms:modified xsi:type="dcterms:W3CDTF">2019-09-26T08:32:33Z</dcterms:modified>
</cp:coreProperties>
</file>