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0C97BA0E-E4B3-4E71-8887-695116D90C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ppgave 1" sheetId="1" r:id="rId1"/>
    <sheet name="Oppgave 2" sheetId="2" r:id="rId2"/>
    <sheet name="Oppgave 3" sheetId="3" r:id="rId3"/>
    <sheet name="Oppgave 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2" l="1"/>
  <c r="B52" i="2"/>
  <c r="B50" i="2"/>
  <c r="B49" i="2"/>
  <c r="B48" i="2"/>
  <c r="B44" i="2"/>
  <c r="B42" i="2"/>
  <c r="B45" i="2" s="1"/>
  <c r="B10" i="3"/>
  <c r="B10" i="4"/>
  <c r="B9" i="4"/>
  <c r="E4" i="4"/>
  <c r="B11" i="4" s="1"/>
  <c r="C3" i="4"/>
  <c r="D2" i="4"/>
  <c r="B25" i="3"/>
  <c r="B24" i="3"/>
  <c r="G15" i="3"/>
  <c r="F15" i="3"/>
  <c r="F22" i="3" s="1"/>
  <c r="E15" i="3"/>
  <c r="E16" i="3" s="1"/>
  <c r="E20" i="3" s="1"/>
  <c r="D15" i="3"/>
  <c r="D22" i="3" s="1"/>
  <c r="C15" i="3"/>
  <c r="B2" i="3"/>
  <c r="B33" i="2"/>
  <c r="B38" i="2" s="1"/>
  <c r="B39" i="2" s="1"/>
  <c r="B17" i="2"/>
  <c r="B19" i="2" s="1"/>
  <c r="B6" i="2"/>
  <c r="B4" i="2"/>
  <c r="B6" i="1"/>
  <c r="F3" i="1"/>
  <c r="F6" i="1" s="1"/>
  <c r="E3" i="1"/>
  <c r="E6" i="1" s="1"/>
  <c r="D3" i="1"/>
  <c r="D6" i="1" s="1"/>
  <c r="C3" i="1"/>
  <c r="C6" i="1" s="1"/>
  <c r="B47" i="2" l="1"/>
  <c r="B10" i="1"/>
  <c r="B13" i="1" s="1"/>
  <c r="B14" i="1" s="1"/>
  <c r="B12" i="2"/>
  <c r="B9" i="2"/>
  <c r="B13" i="2" s="1"/>
  <c r="B11" i="3"/>
  <c r="E21" i="3"/>
  <c r="E22" i="3"/>
  <c r="C16" i="3"/>
  <c r="C20" i="3" s="1"/>
  <c r="G16" i="3"/>
  <c r="G20" i="3" s="1"/>
  <c r="C22" i="3"/>
  <c r="G22" i="3"/>
  <c r="F16" i="3"/>
  <c r="F20" i="3" s="1"/>
  <c r="B22" i="3"/>
  <c r="B26" i="3" s="1"/>
  <c r="D16" i="3"/>
  <c r="D20" i="3" s="1"/>
  <c r="B16" i="1"/>
  <c r="B11" i="1"/>
  <c r="B21" i="2" l="1"/>
  <c r="B23" i="2" s="1"/>
  <c r="B25" i="2" s="1"/>
  <c r="B26" i="2" s="1"/>
  <c r="E26" i="3"/>
  <c r="C21" i="3"/>
  <c r="C26" i="3" s="1"/>
  <c r="G21" i="3"/>
  <c r="G26" i="3" s="1"/>
  <c r="F21" i="3"/>
  <c r="F26" i="3"/>
  <c r="D21" i="3"/>
  <c r="D26" i="3" s="1"/>
  <c r="C12" i="2"/>
  <c r="B14" i="2"/>
  <c r="B28" i="3" l="1"/>
  <c r="C13" i="2"/>
  <c r="D12" i="2" s="1"/>
  <c r="D13" i="2" l="1"/>
  <c r="D14" i="2" s="1"/>
  <c r="C14" i="2"/>
</calcChain>
</file>

<file path=xl/sharedStrings.xml><?xml version="1.0" encoding="utf-8"?>
<sst xmlns="http://schemas.openxmlformats.org/spreadsheetml/2006/main" count="99" uniqueCount="88">
  <si>
    <t>År</t>
  </si>
  <si>
    <t>Omsetning</t>
  </si>
  <si>
    <t>Variable kostnader</t>
  </si>
  <si>
    <t>Faste kostnader</t>
  </si>
  <si>
    <t>Anleggsmidler</t>
  </si>
  <si>
    <t>Kontantstrøm</t>
  </si>
  <si>
    <t>Avkastningskrav</t>
  </si>
  <si>
    <t>Nåverdi</t>
  </si>
  <si>
    <t>Modifisert internrente</t>
  </si>
  <si>
    <t>NV år 1 - 4</t>
  </si>
  <si>
    <t>Annuitet</t>
  </si>
  <si>
    <t>Salgssum anleggsmiddel</t>
  </si>
  <si>
    <t>Terminer pr. år</t>
  </si>
  <si>
    <t>Effektiv rente</t>
  </si>
  <si>
    <t>Nominell rente</t>
  </si>
  <si>
    <t>Nominell rente avrundet</t>
  </si>
  <si>
    <t>Nominell månedsrente</t>
  </si>
  <si>
    <t>Lån</t>
  </si>
  <si>
    <t>Rente og avdrag</t>
  </si>
  <si>
    <t>Måned</t>
  </si>
  <si>
    <t>Rente</t>
  </si>
  <si>
    <t>Avdrag</t>
  </si>
  <si>
    <t>Sum</t>
  </si>
  <si>
    <t>Gebyr</t>
  </si>
  <si>
    <t>Utbetalt</t>
  </si>
  <si>
    <t>Renter og avdrag</t>
  </si>
  <si>
    <t>Effektiv månedsrente</t>
  </si>
  <si>
    <t>Effektiv årsrente</t>
  </si>
  <si>
    <t>Hvis renteniuvået faller blir det overkurs, som er lik nåverdien av de resterende betalingene med 4 % rente</t>
  </si>
  <si>
    <t>fratrukket restgjelden</t>
  </si>
  <si>
    <t>Nominell årsrente</t>
  </si>
  <si>
    <t>Nominell kvartalsrente</t>
  </si>
  <si>
    <t>Tilleggsente p.a.</t>
  </si>
  <si>
    <t>Limitprovisjon</t>
  </si>
  <si>
    <t>Utnyttelse</t>
  </si>
  <si>
    <t>Effektiv kvartalsrente</t>
  </si>
  <si>
    <t>Limit</t>
  </si>
  <si>
    <t>Gjennomsnittlig trekk</t>
  </si>
  <si>
    <t>Trekk 60 %</t>
  </si>
  <si>
    <t>Trekk 60 % til 80 %</t>
  </si>
  <si>
    <t>Rente første 300 000</t>
  </si>
  <si>
    <t>Rente neste 100 000</t>
  </si>
  <si>
    <t>Provisjon</t>
  </si>
  <si>
    <t>Gjeldsandel</t>
  </si>
  <si>
    <t>Salgspris</t>
  </si>
  <si>
    <t>Egenkapitalandel</t>
  </si>
  <si>
    <t>Dgrad</t>
  </si>
  <si>
    <t>Gjeldsrente</t>
  </si>
  <si>
    <t>Volum 1</t>
  </si>
  <si>
    <t>Risikofri rente</t>
  </si>
  <si>
    <t xml:space="preserve">Volum 2 </t>
  </si>
  <si>
    <t>Avkastning markedsportefølje</t>
  </si>
  <si>
    <t>Volum 3</t>
  </si>
  <si>
    <t>Aksbebeta</t>
  </si>
  <si>
    <t>Volum 4</t>
  </si>
  <si>
    <t>Skattesats</t>
  </si>
  <si>
    <t>Volum 5</t>
  </si>
  <si>
    <t>AK</t>
  </si>
  <si>
    <t>AVS</t>
  </si>
  <si>
    <t>Egenkapitalkostnad</t>
  </si>
  <si>
    <t>WACC</t>
  </si>
  <si>
    <t>WACC avrundet</t>
  </si>
  <si>
    <t>Salgsinntekter</t>
  </si>
  <si>
    <t>Tapt leie</t>
  </si>
  <si>
    <t>Tapt DB eksisterende</t>
  </si>
  <si>
    <t>Lønnsøkning</t>
  </si>
  <si>
    <t>Kontantstrøm drift før skatt</t>
  </si>
  <si>
    <t>Skatt</t>
  </si>
  <si>
    <t>Arbeidskapital</t>
  </si>
  <si>
    <t>NV spart skatt avskrivning</t>
  </si>
  <si>
    <t>NV økt skatt nedskrivning</t>
  </si>
  <si>
    <t>Beregningsgrunnlag</t>
  </si>
  <si>
    <t>Nåverdi etter skatt</t>
  </si>
  <si>
    <t>Avkastning</t>
  </si>
  <si>
    <t>SD</t>
  </si>
  <si>
    <t>Korr med M</t>
  </si>
  <si>
    <t>Beta</t>
  </si>
  <si>
    <t>Selskap A</t>
  </si>
  <si>
    <t>Selskap B</t>
  </si>
  <si>
    <t>Selskap C</t>
  </si>
  <si>
    <t>Marked</t>
  </si>
  <si>
    <t>Risikofri</t>
  </si>
  <si>
    <t>Avk krav A</t>
  </si>
  <si>
    <t>overpriset, kurs faller</t>
  </si>
  <si>
    <t>Avk krav B</t>
  </si>
  <si>
    <t>korrekt priset, uendret</t>
  </si>
  <si>
    <t>Avk krav C</t>
  </si>
  <si>
    <t>underpriset, kurs øker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</si>
</sst>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_ ;_ * \-#,##0_ ;_ * &quot;-&quot;??_ ;_ @_ "/>
    <numFmt numFmtId="165" formatCode="#,##0_ ;[Red]\-#,##0\ "/>
    <numFmt numFmtId="166" formatCode="0.000\ %"/>
    <numFmt numFmtId="167" formatCode="0.0000\ %"/>
    <numFmt numFmtId="168" formatCode="0.0\ %"/>
    <numFmt numFmtId="169" formatCode="0.000"/>
    <numFmt numFmtId="170" formatCode="#,##0.00_ ;[Red]\-#,##0.00\ "/>
    <numFmt numFmtId="171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0" fillId="0" borderId="3" xfId="0" applyBorder="1"/>
    <xf numFmtId="0" fontId="0" fillId="5" borderId="1" xfId="0" applyFill="1" applyBorder="1"/>
    <xf numFmtId="168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5" borderId="1" xfId="0" applyNumberFormat="1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169" fontId="0" fillId="0" borderId="0" xfId="0" applyNumberFormat="1"/>
    <xf numFmtId="0" fontId="2" fillId="7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8" borderId="0" xfId="0" applyNumberFormat="1" applyFont="1" applyFill="1" applyAlignment="1">
      <alignment horizontal="center"/>
    </xf>
    <xf numFmtId="0" fontId="2" fillId="2" borderId="1" xfId="0" applyFon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164" fontId="0" fillId="3" borderId="1" xfId="1" applyNumberFormat="1" applyFont="1" applyFill="1" applyBorder="1"/>
    <xf numFmtId="0" fontId="0" fillId="5" borderId="4" xfId="0" applyFill="1" applyBorder="1"/>
    <xf numFmtId="0" fontId="0" fillId="5" borderId="3" xfId="0" applyFill="1" applyBorder="1"/>
    <xf numFmtId="0" fontId="0" fillId="3" borderId="4" xfId="0" applyFill="1" applyBorder="1"/>
    <xf numFmtId="0" fontId="0" fillId="3" borderId="2" xfId="0" applyFill="1" applyBorder="1"/>
    <xf numFmtId="166" fontId="0" fillId="3" borderId="2" xfId="2" applyNumberFormat="1" applyFon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0" fontId="0" fillId="5" borderId="2" xfId="0" applyFill="1" applyBorder="1"/>
    <xf numFmtId="3" fontId="0" fillId="3" borderId="4" xfId="0" applyNumberFormat="1" applyFill="1" applyBorder="1"/>
    <xf numFmtId="170" fontId="0" fillId="3" borderId="3" xfId="0" applyNumberFormat="1" applyFill="1" applyBorder="1"/>
    <xf numFmtId="43" fontId="0" fillId="0" borderId="2" xfId="1" applyFont="1" applyBorder="1"/>
    <xf numFmtId="43" fontId="0" fillId="0" borderId="3" xfId="1" applyFont="1" applyBorder="1"/>
    <xf numFmtId="43" fontId="0" fillId="5" borderId="1" xfId="1" applyFont="1" applyFill="1" applyBorder="1"/>
    <xf numFmtId="3" fontId="0" fillId="5" borderId="4" xfId="0" applyNumberFormat="1" applyFill="1" applyBorder="1"/>
    <xf numFmtId="3" fontId="0" fillId="5" borderId="3" xfId="0" applyNumberFormat="1" applyFill="1" applyBorder="1"/>
    <xf numFmtId="0" fontId="0" fillId="3" borderId="3" xfId="0" applyFill="1" applyBorder="1"/>
    <xf numFmtId="0" fontId="0" fillId="9" borderId="4" xfId="0" applyFill="1" applyBorder="1"/>
    <xf numFmtId="167" fontId="0" fillId="9" borderId="4" xfId="0" applyNumberFormat="1" applyFill="1" applyBorder="1"/>
    <xf numFmtId="10" fontId="0" fillId="5" borderId="3" xfId="2" applyNumberFormat="1" applyFont="1" applyFill="1" applyBorder="1"/>
    <xf numFmtId="0" fontId="0" fillId="9" borderId="2" xfId="0" applyFill="1" applyBorder="1"/>
    <xf numFmtId="0" fontId="0" fillId="9" borderId="3" xfId="0" applyFill="1" applyBorder="1"/>
    <xf numFmtId="9" fontId="0" fillId="10" borderId="4" xfId="0" applyNumberFormat="1" applyFill="1" applyBorder="1"/>
    <xf numFmtId="9" fontId="0" fillId="10" borderId="2" xfId="2" applyFont="1" applyFill="1" applyBorder="1"/>
    <xf numFmtId="10" fontId="0" fillId="10" borderId="2" xfId="0" applyNumberFormat="1" applyFill="1" applyBorder="1"/>
    <xf numFmtId="9" fontId="0" fillId="10" borderId="3" xfId="0" applyNumberFormat="1" applyFill="1" applyBorder="1"/>
    <xf numFmtId="0" fontId="0" fillId="10" borderId="5" xfId="0" applyFill="1" applyBorder="1"/>
    <xf numFmtId="0" fontId="0" fillId="10" borderId="6" xfId="0" applyFill="1" applyBorder="1"/>
    <xf numFmtId="166" fontId="0" fillId="9" borderId="4" xfId="0" applyNumberFormat="1" applyFill="1" applyBorder="1"/>
    <xf numFmtId="10" fontId="0" fillId="9" borderId="3" xfId="2" applyNumberFormat="1" applyFont="1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3" xfId="0" applyFill="1" applyBorder="1"/>
    <xf numFmtId="0" fontId="0" fillId="9" borderId="1" xfId="0" applyFill="1" applyBorder="1"/>
    <xf numFmtId="171" fontId="0" fillId="11" borderId="4" xfId="1" applyNumberFormat="1" applyFont="1" applyFill="1" applyBorder="1"/>
    <xf numFmtId="171" fontId="0" fillId="11" borderId="2" xfId="1" applyNumberFormat="1" applyFont="1" applyFill="1" applyBorder="1"/>
    <xf numFmtId="0" fontId="0" fillId="11" borderId="2" xfId="0" applyFill="1" applyBorder="1"/>
    <xf numFmtId="171" fontId="0" fillId="11" borderId="2" xfId="0" applyNumberFormat="1" applyFill="1" applyBorder="1"/>
    <xf numFmtId="171" fontId="0" fillId="11" borderId="3" xfId="0" applyNumberFormat="1" applyFill="1" applyBorder="1"/>
    <xf numFmtId="171" fontId="0" fillId="9" borderId="1" xfId="0" applyNumberFormat="1" applyFill="1" applyBorder="1"/>
    <xf numFmtId="10" fontId="0" fillId="11" borderId="4" xfId="2" applyNumberFormat="1" applyFont="1" applyFill="1" applyBorder="1"/>
    <xf numFmtId="10" fontId="0" fillId="11" borderId="3" xfId="2" applyNumberFormat="1" applyFont="1" applyFill="1" applyBorder="1"/>
    <xf numFmtId="166" fontId="0" fillId="10" borderId="4" xfId="0" applyNumberFormat="1" applyFill="1" applyBorder="1"/>
    <xf numFmtId="10" fontId="0" fillId="10" borderId="2" xfId="2" applyNumberFormat="1" applyFont="1" applyFill="1" applyBorder="1"/>
    <xf numFmtId="10" fontId="0" fillId="10" borderId="3" xfId="0" applyNumberFormat="1" applyFill="1" applyBorder="1"/>
    <xf numFmtId="0" fontId="0" fillId="11" borderId="4" xfId="0" applyFill="1" applyBorder="1"/>
    <xf numFmtId="0" fontId="0" fillId="11" borderId="3" xfId="0" applyFill="1" applyBorder="1"/>
    <xf numFmtId="9" fontId="0" fillId="10" borderId="1" xfId="0" applyNumberFormat="1" applyFill="1" applyBorder="1"/>
    <xf numFmtId="164" fontId="0" fillId="10" borderId="4" xfId="0" applyNumberFormat="1" applyFill="1" applyBorder="1"/>
    <xf numFmtId="165" fontId="2" fillId="10" borderId="3" xfId="0" applyNumberFormat="1" applyFont="1" applyFill="1" applyBorder="1"/>
    <xf numFmtId="164" fontId="0" fillId="10" borderId="1" xfId="1" applyNumberFormat="1" applyFont="1" applyFill="1" applyBorder="1"/>
    <xf numFmtId="170" fontId="0" fillId="9" borderId="4" xfId="0" applyNumberFormat="1" applyFill="1" applyBorder="1"/>
    <xf numFmtId="170" fontId="0" fillId="9" borderId="3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I22" sqref="I22"/>
    </sheetView>
  </sheetViews>
  <sheetFormatPr baseColWidth="10" defaultColWidth="9.140625" defaultRowHeight="15" x14ac:dyDescent="0.25"/>
  <cols>
    <col min="1" max="1" width="23" bestFit="1" customWidth="1"/>
    <col min="2" max="2" width="12" bestFit="1" customWidth="1"/>
    <col min="3" max="6" width="10.42578125" bestFit="1" customWidth="1"/>
  </cols>
  <sheetData>
    <row r="1" spans="1:6" x14ac:dyDescent="0.25">
      <c r="A1" s="22" t="s">
        <v>0</v>
      </c>
      <c r="B1" s="24">
        <v>0</v>
      </c>
      <c r="C1" s="24">
        <v>1</v>
      </c>
      <c r="D1" s="24">
        <v>2</v>
      </c>
      <c r="E1" s="24">
        <v>3</v>
      </c>
      <c r="F1" s="24">
        <v>4</v>
      </c>
    </row>
    <row r="2" spans="1:6" x14ac:dyDescent="0.25">
      <c r="A2" s="6" t="s">
        <v>1</v>
      </c>
      <c r="B2" s="6"/>
      <c r="C2" s="13">
        <v>2500000</v>
      </c>
      <c r="D2" s="13">
        <v>2500000</v>
      </c>
      <c r="E2" s="13">
        <v>3125000</v>
      </c>
      <c r="F2" s="13">
        <v>3125000</v>
      </c>
    </row>
    <row r="3" spans="1:6" x14ac:dyDescent="0.25">
      <c r="A3" s="6" t="s">
        <v>2</v>
      </c>
      <c r="B3" s="6"/>
      <c r="C3" s="7">
        <f>-C2*0.4</f>
        <v>-1000000</v>
      </c>
      <c r="D3" s="7">
        <f t="shared" ref="D3:F3" si="0">-D2*0.4</f>
        <v>-1000000</v>
      </c>
      <c r="E3" s="7">
        <f t="shared" si="0"/>
        <v>-1250000</v>
      </c>
      <c r="F3" s="7">
        <f t="shared" si="0"/>
        <v>-1250000</v>
      </c>
    </row>
    <row r="4" spans="1:6" x14ac:dyDescent="0.25">
      <c r="A4" s="6" t="s">
        <v>3</v>
      </c>
      <c r="B4" s="6"/>
      <c r="C4" s="13">
        <v>-400000</v>
      </c>
      <c r="D4" s="13">
        <v>-400000</v>
      </c>
      <c r="E4" s="13">
        <v>-400000</v>
      </c>
      <c r="F4" s="13">
        <v>-400000</v>
      </c>
    </row>
    <row r="5" spans="1:6" x14ac:dyDescent="0.25">
      <c r="A5" s="8" t="s">
        <v>4</v>
      </c>
      <c r="B5" s="14">
        <v>-3000000</v>
      </c>
      <c r="C5" s="8"/>
      <c r="D5" s="8"/>
      <c r="E5" s="8"/>
      <c r="F5" s="8"/>
    </row>
    <row r="6" spans="1:6" x14ac:dyDescent="0.25">
      <c r="A6" s="23" t="s">
        <v>5</v>
      </c>
      <c r="B6" s="25">
        <f>SUM(B2:B5)</f>
        <v>-3000000</v>
      </c>
      <c r="C6" s="25">
        <f t="shared" ref="C6:F6" si="1">SUM(C2:C5)</f>
        <v>1100000</v>
      </c>
      <c r="D6" s="25">
        <f t="shared" si="1"/>
        <v>1100000</v>
      </c>
      <c r="E6" s="25">
        <f t="shared" si="1"/>
        <v>1475000</v>
      </c>
      <c r="F6" s="25">
        <f t="shared" si="1"/>
        <v>1475000</v>
      </c>
    </row>
    <row r="8" spans="1:6" x14ac:dyDescent="0.25">
      <c r="A8" s="9" t="s">
        <v>6</v>
      </c>
      <c r="B8" s="72">
        <v>0.15</v>
      </c>
    </row>
    <row r="10" spans="1:6" x14ac:dyDescent="0.25">
      <c r="A10" s="26" t="s">
        <v>7</v>
      </c>
      <c r="B10" s="73">
        <f>NPV(B8,C6:F6)+B6</f>
        <v>601452.25324380724</v>
      </c>
    </row>
    <row r="11" spans="1:6" x14ac:dyDescent="0.25">
      <c r="A11" s="27" t="s">
        <v>8</v>
      </c>
      <c r="B11" s="69">
        <f>MIRR(B6:F6,B8,B8)</f>
        <v>0.20375177917608833</v>
      </c>
    </row>
    <row r="12" spans="1:6" x14ac:dyDescent="0.25">
      <c r="B12" s="3"/>
    </row>
    <row r="13" spans="1:6" x14ac:dyDescent="0.25">
      <c r="A13" s="26" t="s">
        <v>9</v>
      </c>
      <c r="B13" s="73">
        <f>B10-B6</f>
        <v>3601452.2532438072</v>
      </c>
    </row>
    <row r="14" spans="1:6" x14ac:dyDescent="0.25">
      <c r="A14" s="27" t="s">
        <v>10</v>
      </c>
      <c r="B14" s="74">
        <f>PMT(B8,F1,-B13)</f>
        <v>1261463.9397201296</v>
      </c>
    </row>
    <row r="16" spans="1:6" x14ac:dyDescent="0.25">
      <c r="A16" s="9" t="s">
        <v>11</v>
      </c>
      <c r="B16" s="75">
        <f>(1000000-B10)*(1+B8)^4</f>
        <v>697062.49999999814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topLeftCell="A40" workbookViewId="0">
      <selection activeCell="J22" sqref="J22"/>
    </sheetView>
  </sheetViews>
  <sheetFormatPr baseColWidth="10" defaultColWidth="9.140625" defaultRowHeight="15" x14ac:dyDescent="0.25"/>
  <cols>
    <col min="1" max="1" width="26.140625" customWidth="1"/>
    <col min="2" max="4" width="13.5703125" bestFit="1" customWidth="1"/>
  </cols>
  <sheetData>
    <row r="1" spans="1:4" x14ac:dyDescent="0.25">
      <c r="A1" s="26" t="s">
        <v>12</v>
      </c>
      <c r="B1" s="28">
        <v>12</v>
      </c>
    </row>
    <row r="2" spans="1:4" x14ac:dyDescent="0.25">
      <c r="A2" s="33" t="s">
        <v>0</v>
      </c>
      <c r="B2" s="29">
        <v>5</v>
      </c>
    </row>
    <row r="3" spans="1:4" x14ac:dyDescent="0.25">
      <c r="A3" s="33" t="s">
        <v>13</v>
      </c>
      <c r="B3" s="30">
        <v>4.9070000000000003E-2</v>
      </c>
    </row>
    <row r="4" spans="1:4" x14ac:dyDescent="0.25">
      <c r="A4" s="33" t="s">
        <v>14</v>
      </c>
      <c r="B4" s="30">
        <f>((1+B3)^(1/B1)-1)*12</f>
        <v>4.7999801381297225E-2</v>
      </c>
    </row>
    <row r="5" spans="1:4" x14ac:dyDescent="0.25">
      <c r="A5" s="33" t="s">
        <v>15</v>
      </c>
      <c r="B5" s="31">
        <v>4.8000000000000001E-2</v>
      </c>
    </row>
    <row r="6" spans="1:4" x14ac:dyDescent="0.25">
      <c r="A6" s="27" t="s">
        <v>16</v>
      </c>
      <c r="B6" s="32">
        <f>B5/12</f>
        <v>4.0000000000000001E-3</v>
      </c>
    </row>
    <row r="8" spans="1:4" x14ac:dyDescent="0.25">
      <c r="A8" s="26" t="s">
        <v>17</v>
      </c>
      <c r="B8" s="34">
        <v>200000</v>
      </c>
    </row>
    <row r="9" spans="1:4" x14ac:dyDescent="0.25">
      <c r="A9" s="27" t="s">
        <v>18</v>
      </c>
      <c r="B9" s="35">
        <f>-PMT(B6,60,B8)</f>
        <v>3755.9484020579143</v>
      </c>
    </row>
    <row r="11" spans="1:4" x14ac:dyDescent="0.25">
      <c r="A11" s="4" t="s">
        <v>19</v>
      </c>
      <c r="B11" s="5">
        <v>1</v>
      </c>
      <c r="C11" s="5">
        <v>2</v>
      </c>
      <c r="D11" s="5">
        <v>3</v>
      </c>
    </row>
    <row r="12" spans="1:4" x14ac:dyDescent="0.25">
      <c r="A12" s="6" t="s">
        <v>20</v>
      </c>
      <c r="B12" s="36">
        <f>B6*B8</f>
        <v>800</v>
      </c>
      <c r="C12" s="36">
        <f>(B8-B13)*B6</f>
        <v>788.17620639176835</v>
      </c>
      <c r="D12" s="36">
        <f>(B8-B13-C13)*B6</f>
        <v>776.30511760910372</v>
      </c>
    </row>
    <row r="13" spans="1:4" x14ac:dyDescent="0.25">
      <c r="A13" s="8" t="s">
        <v>21</v>
      </c>
      <c r="B13" s="37">
        <f>B9-B12</f>
        <v>2955.9484020579143</v>
      </c>
      <c r="C13" s="37">
        <f>B9-C12</f>
        <v>2967.7721956661462</v>
      </c>
      <c r="D13" s="37">
        <f>B9-D12</f>
        <v>2979.6432844488108</v>
      </c>
    </row>
    <row r="14" spans="1:4" x14ac:dyDescent="0.25">
      <c r="A14" s="9" t="s">
        <v>22</v>
      </c>
      <c r="B14" s="38">
        <f>SUM(B12:B13)</f>
        <v>3755.9484020579143</v>
      </c>
      <c r="C14" s="38">
        <f>SUM(C12:C13)</f>
        <v>3755.9484020579148</v>
      </c>
      <c r="D14" s="38">
        <f>SUM(D12:D13)</f>
        <v>3755.9484020579148</v>
      </c>
    </row>
    <row r="17" spans="1:2" x14ac:dyDescent="0.25">
      <c r="A17" s="28" t="s">
        <v>17</v>
      </c>
      <c r="B17" s="39">
        <f>B8</f>
        <v>200000</v>
      </c>
    </row>
    <row r="18" spans="1:2" x14ac:dyDescent="0.25">
      <c r="A18" s="41" t="s">
        <v>23</v>
      </c>
      <c r="B18" s="40">
        <v>2000</v>
      </c>
    </row>
    <row r="19" spans="1:2" x14ac:dyDescent="0.25">
      <c r="A19" s="41" t="s">
        <v>24</v>
      </c>
      <c r="B19" s="40">
        <f>B17-B18</f>
        <v>198000</v>
      </c>
    </row>
    <row r="21" spans="1:2" x14ac:dyDescent="0.25">
      <c r="A21" s="28" t="s">
        <v>25</v>
      </c>
      <c r="B21" s="76">
        <f>B9</f>
        <v>3755.9484020579143</v>
      </c>
    </row>
    <row r="22" spans="1:2" x14ac:dyDescent="0.25">
      <c r="A22" s="41" t="s">
        <v>23</v>
      </c>
      <c r="B22" s="77">
        <v>85</v>
      </c>
    </row>
    <row r="23" spans="1:2" x14ac:dyDescent="0.25">
      <c r="A23" s="41" t="s">
        <v>22</v>
      </c>
      <c r="B23" s="77">
        <f>SUM(B21:B22)</f>
        <v>3840.9484020579143</v>
      </c>
    </row>
    <row r="25" spans="1:2" x14ac:dyDescent="0.25">
      <c r="A25" s="42" t="s">
        <v>26</v>
      </c>
      <c r="B25" s="43">
        <f>RATE(60,-B23,B19)</f>
        <v>5.1180306304543658E-3</v>
      </c>
    </row>
    <row r="26" spans="1:2" x14ac:dyDescent="0.25">
      <c r="A26" s="27" t="s">
        <v>27</v>
      </c>
      <c r="B26" s="44">
        <f>(1+B25)^B1-1</f>
        <v>6.3175023519200346E-2</v>
      </c>
    </row>
    <row r="28" spans="1:2" x14ac:dyDescent="0.25">
      <c r="A28" t="s">
        <v>28</v>
      </c>
    </row>
    <row r="29" spans="1:2" x14ac:dyDescent="0.25">
      <c r="A29" t="s">
        <v>29</v>
      </c>
    </row>
    <row r="32" spans="1:2" x14ac:dyDescent="0.25">
      <c r="A32" s="42" t="s">
        <v>30</v>
      </c>
      <c r="B32" s="47">
        <v>0.08</v>
      </c>
    </row>
    <row r="33" spans="1:3" x14ac:dyDescent="0.25">
      <c r="A33" s="45" t="s">
        <v>31</v>
      </c>
      <c r="B33" s="48">
        <f>B32/4</f>
        <v>0.02</v>
      </c>
    </row>
    <row r="34" spans="1:3" x14ac:dyDescent="0.25">
      <c r="A34" s="45" t="s">
        <v>32</v>
      </c>
      <c r="B34" s="48">
        <v>0.02</v>
      </c>
    </row>
    <row r="35" spans="1:3" x14ac:dyDescent="0.25">
      <c r="A35" s="45" t="s">
        <v>33</v>
      </c>
      <c r="B35" s="49">
        <v>5.0000000000000001E-3</v>
      </c>
    </row>
    <row r="36" spans="1:3" x14ac:dyDescent="0.25">
      <c r="A36" s="46" t="s">
        <v>34</v>
      </c>
      <c r="B36" s="50">
        <v>0.6</v>
      </c>
    </row>
    <row r="38" spans="1:3" x14ac:dyDescent="0.25">
      <c r="A38" s="51" t="s">
        <v>35</v>
      </c>
      <c r="B38" s="53">
        <f>B33+B35/B36</f>
        <v>2.8333333333333335E-2</v>
      </c>
    </row>
    <row r="39" spans="1:3" x14ac:dyDescent="0.25">
      <c r="A39" s="52" t="s">
        <v>27</v>
      </c>
      <c r="B39" s="54">
        <f>(1+B38)^4-1</f>
        <v>0.11824162593364185</v>
      </c>
    </row>
    <row r="41" spans="1:3" x14ac:dyDescent="0.25">
      <c r="A41" s="55" t="s">
        <v>36</v>
      </c>
      <c r="B41" s="59">
        <v>500000</v>
      </c>
    </row>
    <row r="42" spans="1:3" x14ac:dyDescent="0.25">
      <c r="A42" s="56" t="s">
        <v>37</v>
      </c>
      <c r="B42" s="60">
        <f>B41*C42</f>
        <v>400000</v>
      </c>
      <c r="C42" s="2">
        <v>0.8</v>
      </c>
    </row>
    <row r="43" spans="1:3" x14ac:dyDescent="0.25">
      <c r="A43" s="56"/>
      <c r="B43" s="61"/>
    </row>
    <row r="44" spans="1:3" x14ac:dyDescent="0.25">
      <c r="A44" s="56" t="s">
        <v>38</v>
      </c>
      <c r="B44" s="62">
        <f>C44*B41</f>
        <v>300000</v>
      </c>
      <c r="C44" s="2">
        <v>0.6</v>
      </c>
    </row>
    <row r="45" spans="1:3" x14ac:dyDescent="0.25">
      <c r="A45" s="56" t="s">
        <v>39</v>
      </c>
      <c r="B45" s="62">
        <f>B42-B44</f>
        <v>100000</v>
      </c>
    </row>
    <row r="46" spans="1:3" x14ac:dyDescent="0.25">
      <c r="A46" s="56"/>
      <c r="B46" s="61"/>
    </row>
    <row r="47" spans="1:3" x14ac:dyDescent="0.25">
      <c r="A47" s="56" t="s">
        <v>40</v>
      </c>
      <c r="B47" s="62">
        <f>B44*B33</f>
        <v>6000</v>
      </c>
    </row>
    <row r="48" spans="1:3" x14ac:dyDescent="0.25">
      <c r="A48" s="56" t="s">
        <v>41</v>
      </c>
      <c r="B48" s="62">
        <f>B45*(B32+B34)/4</f>
        <v>2500</v>
      </c>
    </row>
    <row r="49" spans="1:2" x14ac:dyDescent="0.25">
      <c r="A49" s="57" t="s">
        <v>42</v>
      </c>
      <c r="B49" s="63">
        <f>B35*B41</f>
        <v>2500</v>
      </c>
    </row>
    <row r="50" spans="1:2" x14ac:dyDescent="0.25">
      <c r="A50" s="58" t="s">
        <v>22</v>
      </c>
      <c r="B50" s="64">
        <f>SUM(B47:B49)</f>
        <v>11000</v>
      </c>
    </row>
    <row r="52" spans="1:2" x14ac:dyDescent="0.25">
      <c r="A52" s="55" t="s">
        <v>35</v>
      </c>
      <c r="B52" s="65">
        <f>B50/B42</f>
        <v>2.75E-2</v>
      </c>
    </row>
    <row r="53" spans="1:2" x14ac:dyDescent="0.25">
      <c r="A53" s="57" t="s">
        <v>27</v>
      </c>
      <c r="B53" s="66">
        <f>(1+B52)^4-1</f>
        <v>0.11462125941406276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R25" sqref="R25"/>
    </sheetView>
  </sheetViews>
  <sheetFormatPr baseColWidth="10" defaultColWidth="9.140625" defaultRowHeight="15" x14ac:dyDescent="0.25"/>
  <cols>
    <col min="1" max="1" width="28.28515625" bestFit="1" customWidth="1"/>
    <col min="2" max="7" width="9.5703125" bestFit="1" customWidth="1"/>
  </cols>
  <sheetData>
    <row r="1" spans="1:7" x14ac:dyDescent="0.25">
      <c r="A1" t="s">
        <v>43</v>
      </c>
      <c r="B1" s="2">
        <v>0.4</v>
      </c>
      <c r="D1" t="s">
        <v>44</v>
      </c>
      <c r="E1" s="1">
        <v>1500</v>
      </c>
    </row>
    <row r="2" spans="1:7" x14ac:dyDescent="0.25">
      <c r="A2" t="s">
        <v>45</v>
      </c>
      <c r="B2" s="2">
        <f>1-B1</f>
        <v>0.6</v>
      </c>
      <c r="D2" t="s">
        <v>46</v>
      </c>
      <c r="E2" s="2">
        <v>0.6</v>
      </c>
    </row>
    <row r="3" spans="1:7" x14ac:dyDescent="0.25">
      <c r="A3" t="s">
        <v>47</v>
      </c>
      <c r="B3" s="3">
        <v>4.9500000000000002E-2</v>
      </c>
      <c r="D3" t="s">
        <v>48</v>
      </c>
      <c r="E3" s="1">
        <v>2000</v>
      </c>
    </row>
    <row r="4" spans="1:7" x14ac:dyDescent="0.25">
      <c r="A4" t="s">
        <v>49</v>
      </c>
      <c r="B4" s="3">
        <v>2.5000000000000001E-2</v>
      </c>
      <c r="D4" t="s">
        <v>50</v>
      </c>
      <c r="E4" s="1">
        <v>2000</v>
      </c>
    </row>
    <row r="5" spans="1:7" x14ac:dyDescent="0.25">
      <c r="A5" t="s">
        <v>51</v>
      </c>
      <c r="B5" s="3">
        <v>0.09</v>
      </c>
      <c r="D5" t="s">
        <v>52</v>
      </c>
      <c r="E5" s="1">
        <v>2500</v>
      </c>
    </row>
    <row r="6" spans="1:7" x14ac:dyDescent="0.25">
      <c r="A6" t="s">
        <v>53</v>
      </c>
      <c r="B6" s="18">
        <v>1.27</v>
      </c>
      <c r="D6" t="s">
        <v>54</v>
      </c>
      <c r="E6" s="1">
        <v>2500</v>
      </c>
    </row>
    <row r="7" spans="1:7" x14ac:dyDescent="0.25">
      <c r="A7" t="s">
        <v>55</v>
      </c>
      <c r="B7" s="10">
        <v>0.22</v>
      </c>
      <c r="D7" t="s">
        <v>56</v>
      </c>
      <c r="E7" s="1">
        <v>1750</v>
      </c>
    </row>
    <row r="8" spans="1:7" x14ac:dyDescent="0.25">
      <c r="B8" s="10"/>
      <c r="D8" t="s">
        <v>57</v>
      </c>
      <c r="E8" s="2">
        <v>0.2</v>
      </c>
    </row>
    <row r="9" spans="1:7" x14ac:dyDescent="0.25">
      <c r="D9" t="s">
        <v>58</v>
      </c>
      <c r="E9" s="2">
        <v>0.2</v>
      </c>
    </row>
    <row r="10" spans="1:7" x14ac:dyDescent="0.25">
      <c r="A10" s="70" t="s">
        <v>59</v>
      </c>
      <c r="B10" s="67">
        <f>B4+(B5-B4)*B6</f>
        <v>0.10755000000000001</v>
      </c>
    </row>
    <row r="11" spans="1:7" x14ac:dyDescent="0.25">
      <c r="A11" s="61" t="s">
        <v>60</v>
      </c>
      <c r="B11" s="68">
        <f>B3*(1-B7)*B1+B2*B10</f>
        <v>7.9974000000000003E-2</v>
      </c>
    </row>
    <row r="12" spans="1:7" x14ac:dyDescent="0.25">
      <c r="A12" s="71" t="s">
        <v>61</v>
      </c>
      <c r="B12" s="69">
        <v>0.08</v>
      </c>
    </row>
    <row r="14" spans="1:7" x14ac:dyDescent="0.25">
      <c r="A14" s="11" t="s">
        <v>0</v>
      </c>
      <c r="B14" s="12">
        <v>0</v>
      </c>
      <c r="C14" s="12">
        <v>1</v>
      </c>
      <c r="D14" s="12">
        <v>2</v>
      </c>
      <c r="E14" s="12">
        <v>3</v>
      </c>
      <c r="F14" s="12">
        <v>4</v>
      </c>
      <c r="G14" s="12">
        <v>5</v>
      </c>
    </row>
    <row r="15" spans="1:7" x14ac:dyDescent="0.25">
      <c r="A15" s="6" t="s">
        <v>62</v>
      </c>
      <c r="B15" s="13"/>
      <c r="C15" s="13">
        <f>E1*E3</f>
        <v>3000000</v>
      </c>
      <c r="D15" s="13">
        <f>E1*E4</f>
        <v>3000000</v>
      </c>
      <c r="E15" s="13">
        <f>E1*E5</f>
        <v>3750000</v>
      </c>
      <c r="F15" s="13">
        <f>E1*E6</f>
        <v>3750000</v>
      </c>
      <c r="G15" s="13">
        <f>E1*E7</f>
        <v>2625000</v>
      </c>
    </row>
    <row r="16" spans="1:7" x14ac:dyDescent="0.25">
      <c r="A16" s="6" t="s">
        <v>2</v>
      </c>
      <c r="B16" s="13"/>
      <c r="C16" s="13">
        <f>-C15*(1-$E$2)</f>
        <v>-1200000</v>
      </c>
      <c r="D16" s="13">
        <f t="shared" ref="D16:G16" si="0">-D15*(1-$E$2)</f>
        <v>-1200000</v>
      </c>
      <c r="E16" s="13">
        <f t="shared" si="0"/>
        <v>-1500000</v>
      </c>
      <c r="F16" s="13">
        <f t="shared" si="0"/>
        <v>-1500000</v>
      </c>
      <c r="G16" s="13">
        <f t="shared" si="0"/>
        <v>-1050000</v>
      </c>
    </row>
    <row r="17" spans="1:7" x14ac:dyDescent="0.25">
      <c r="A17" s="6" t="s">
        <v>63</v>
      </c>
      <c r="B17" s="13"/>
      <c r="C17" s="13">
        <v>-225000</v>
      </c>
      <c r="D17" s="13">
        <v>-225000</v>
      </c>
      <c r="E17" s="13">
        <v>-225000</v>
      </c>
      <c r="F17" s="13">
        <v>-225000</v>
      </c>
      <c r="G17" s="13">
        <v>-225000</v>
      </c>
    </row>
    <row r="18" spans="1:7" x14ac:dyDescent="0.25">
      <c r="A18" s="6" t="s">
        <v>64</v>
      </c>
      <c r="B18" s="13"/>
      <c r="C18" s="13">
        <v>-200000</v>
      </c>
      <c r="D18" s="13">
        <v>-200000</v>
      </c>
      <c r="E18" s="13"/>
      <c r="F18" s="13"/>
      <c r="G18" s="13"/>
    </row>
    <row r="19" spans="1:7" x14ac:dyDescent="0.25">
      <c r="A19" s="8" t="s">
        <v>65</v>
      </c>
      <c r="B19" s="14"/>
      <c r="C19" s="14">
        <v>-100000</v>
      </c>
      <c r="D19" s="14">
        <v>-100000</v>
      </c>
      <c r="E19" s="14">
        <v>-100000</v>
      </c>
      <c r="F19" s="14">
        <v>-100000</v>
      </c>
      <c r="G19" s="14">
        <v>-100000</v>
      </c>
    </row>
    <row r="20" spans="1:7" x14ac:dyDescent="0.25">
      <c r="A20" s="6" t="s">
        <v>66</v>
      </c>
      <c r="B20" s="13"/>
      <c r="C20" s="13">
        <f>SUM(C15:C19)</f>
        <v>1275000</v>
      </c>
      <c r="D20" s="13">
        <f t="shared" ref="D20:G20" si="1">SUM(D15:D19)</f>
        <v>1275000</v>
      </c>
      <c r="E20" s="13">
        <f t="shared" si="1"/>
        <v>1925000</v>
      </c>
      <c r="F20" s="13">
        <f t="shared" si="1"/>
        <v>1925000</v>
      </c>
      <c r="G20" s="13">
        <f t="shared" si="1"/>
        <v>1250000</v>
      </c>
    </row>
    <row r="21" spans="1:7" x14ac:dyDescent="0.25">
      <c r="A21" s="6" t="s">
        <v>67</v>
      </c>
      <c r="B21" s="13"/>
      <c r="C21" s="13">
        <f>-$B$7*C20</f>
        <v>-280500</v>
      </c>
      <c r="D21" s="13">
        <f t="shared" ref="D21:G21" si="2">-$B$7*D20</f>
        <v>-280500</v>
      </c>
      <c r="E21" s="13">
        <f t="shared" si="2"/>
        <v>-423500</v>
      </c>
      <c r="F21" s="13">
        <f t="shared" si="2"/>
        <v>-423500</v>
      </c>
      <c r="G21" s="13">
        <f t="shared" si="2"/>
        <v>-275000</v>
      </c>
    </row>
    <row r="22" spans="1:7" x14ac:dyDescent="0.25">
      <c r="A22" s="6" t="s">
        <v>68</v>
      </c>
      <c r="B22" s="13">
        <f>(B15-C15)*$E$8</f>
        <v>-600000</v>
      </c>
      <c r="C22" s="13">
        <f t="shared" ref="C22:G22" si="3">(C15-D15)*$E$8</f>
        <v>0</v>
      </c>
      <c r="D22" s="13">
        <f t="shared" si="3"/>
        <v>-150000</v>
      </c>
      <c r="E22" s="13">
        <f t="shared" si="3"/>
        <v>0</v>
      </c>
      <c r="F22" s="13">
        <f t="shared" si="3"/>
        <v>225000</v>
      </c>
      <c r="G22" s="13">
        <f t="shared" si="3"/>
        <v>525000</v>
      </c>
    </row>
    <row r="23" spans="1:7" x14ac:dyDescent="0.25">
      <c r="A23" s="6" t="s">
        <v>4</v>
      </c>
      <c r="B23" s="13">
        <v>-5000000</v>
      </c>
      <c r="C23" s="13"/>
      <c r="D23" s="13"/>
      <c r="E23" s="13"/>
      <c r="F23" s="13"/>
      <c r="G23" s="13">
        <v>700000</v>
      </c>
    </row>
    <row r="24" spans="1:7" x14ac:dyDescent="0.25">
      <c r="A24" s="6" t="s">
        <v>69</v>
      </c>
      <c r="B24" s="13">
        <f>-B23*E9*B7/(B12+E9)</f>
        <v>785714.28571428568</v>
      </c>
      <c r="C24" s="13"/>
      <c r="D24" s="13"/>
      <c r="E24" s="13"/>
      <c r="F24" s="13"/>
      <c r="G24" s="13"/>
    </row>
    <row r="25" spans="1:7" x14ac:dyDescent="0.25">
      <c r="A25" s="8" t="s">
        <v>70</v>
      </c>
      <c r="B25" s="14">
        <f>-G23*E9*B7/((1+B12)^G14*(B12+E9))</f>
        <v>-74864.151673712826</v>
      </c>
      <c r="C25" s="14"/>
      <c r="D25" s="14"/>
      <c r="E25" s="14"/>
      <c r="F25" s="14"/>
      <c r="G25" s="14"/>
    </row>
    <row r="26" spans="1:7" x14ac:dyDescent="0.25">
      <c r="A26" s="9" t="s">
        <v>71</v>
      </c>
      <c r="B26" s="15">
        <f>SUM(B20:B25)</f>
        <v>-4889149.8659594273</v>
      </c>
      <c r="C26" s="15">
        <f t="shared" ref="C26:G26" si="4">SUM(C20:C25)</f>
        <v>994500</v>
      </c>
      <c r="D26" s="15">
        <f t="shared" si="4"/>
        <v>844500</v>
      </c>
      <c r="E26" s="15">
        <f t="shared" si="4"/>
        <v>1501500</v>
      </c>
      <c r="F26" s="15">
        <f t="shared" si="4"/>
        <v>1726500</v>
      </c>
      <c r="G26" s="15">
        <f t="shared" si="4"/>
        <v>2200000</v>
      </c>
    </row>
    <row r="27" spans="1:7" x14ac:dyDescent="0.25">
      <c r="B27" s="1"/>
      <c r="C27" s="1"/>
      <c r="D27" s="1"/>
      <c r="E27" s="1"/>
      <c r="F27" s="1"/>
      <c r="G27" s="1"/>
    </row>
    <row r="28" spans="1:7" x14ac:dyDescent="0.25">
      <c r="A28" s="16" t="s">
        <v>72</v>
      </c>
      <c r="B28" s="17">
        <f>NPV(B12,C26:G26)+B26</f>
        <v>713957.28533787932</v>
      </c>
      <c r="C28" s="1"/>
      <c r="D28" s="1"/>
      <c r="E28" s="1"/>
      <c r="F28" s="1"/>
      <c r="G28" s="1"/>
    </row>
    <row r="29" spans="1:7" x14ac:dyDescent="0.25">
      <c r="B29" s="1"/>
      <c r="C29" s="1"/>
      <c r="D29" s="1"/>
      <c r="E29" s="1"/>
      <c r="F29" s="1"/>
      <c r="G29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J15" sqref="J15"/>
    </sheetView>
  </sheetViews>
  <sheetFormatPr baseColWidth="10" defaultColWidth="9.140625" defaultRowHeight="15" x14ac:dyDescent="0.25"/>
  <cols>
    <col min="1" max="1" width="10.140625" bestFit="1" customWidth="1"/>
    <col min="2" max="2" width="15.85546875" customWidth="1"/>
    <col min="3" max="3" width="7.140625" customWidth="1"/>
    <col min="4" max="4" width="21.5703125" bestFit="1" customWidth="1"/>
  </cols>
  <sheetData>
    <row r="1" spans="1:5" x14ac:dyDescent="0.25">
      <c r="B1" s="19" t="s">
        <v>73</v>
      </c>
      <c r="C1" s="19" t="s">
        <v>74</v>
      </c>
      <c r="D1" s="19" t="s">
        <v>75</v>
      </c>
      <c r="E1" s="19" t="s">
        <v>76</v>
      </c>
    </row>
    <row r="2" spans="1:5" x14ac:dyDescent="0.25">
      <c r="A2" t="s">
        <v>77</v>
      </c>
      <c r="B2" s="20">
        <v>0.06</v>
      </c>
      <c r="C2" s="20">
        <v>0.15</v>
      </c>
      <c r="D2" s="21">
        <f>(E2*C5)/C2</f>
        <v>0.53333333333333344</v>
      </c>
      <c r="E2" s="20">
        <v>0.8</v>
      </c>
    </row>
    <row r="3" spans="1:5" x14ac:dyDescent="0.25">
      <c r="A3" t="s">
        <v>78</v>
      </c>
      <c r="B3" s="20">
        <v>0.1</v>
      </c>
      <c r="C3" s="21">
        <f>(E3*C5)/D3</f>
        <v>0.24</v>
      </c>
      <c r="D3" s="20">
        <v>0.5</v>
      </c>
      <c r="E3" s="20">
        <v>1.2</v>
      </c>
    </row>
    <row r="4" spans="1:5" x14ac:dyDescent="0.25">
      <c r="A4" t="s">
        <v>79</v>
      </c>
      <c r="B4" s="20">
        <v>0.14000000000000001</v>
      </c>
      <c r="C4" s="20">
        <v>0.17499999999999999</v>
      </c>
      <c r="D4" s="20">
        <v>0.8</v>
      </c>
      <c r="E4" s="21">
        <f>(C4*D4)/C5</f>
        <v>1.3999999999999997</v>
      </c>
    </row>
    <row r="5" spans="1:5" x14ac:dyDescent="0.25">
      <c r="A5" t="s">
        <v>80</v>
      </c>
      <c r="B5" s="20">
        <v>0.09</v>
      </c>
      <c r="C5" s="20">
        <v>0.1</v>
      </c>
      <c r="E5" s="20">
        <v>1</v>
      </c>
    </row>
    <row r="7" spans="1:5" x14ac:dyDescent="0.25">
      <c r="A7" t="s">
        <v>81</v>
      </c>
      <c r="B7" s="2">
        <v>0.04</v>
      </c>
    </row>
    <row r="9" spans="1:5" x14ac:dyDescent="0.25">
      <c r="A9" t="s">
        <v>82</v>
      </c>
      <c r="B9" s="3">
        <f>$B$7+($B$5-$B$7)*E2</f>
        <v>0.08</v>
      </c>
      <c r="D9" t="s">
        <v>83</v>
      </c>
    </row>
    <row r="10" spans="1:5" x14ac:dyDescent="0.25">
      <c r="A10" t="s">
        <v>84</v>
      </c>
      <c r="B10" s="3">
        <f t="shared" ref="B10:B11" si="0">$B$7+($B$5-$B$7)*E3</f>
        <v>9.9999999999999992E-2</v>
      </c>
      <c r="D10" t="s">
        <v>85</v>
      </c>
    </row>
    <row r="11" spans="1:5" x14ac:dyDescent="0.25">
      <c r="A11" t="s">
        <v>86</v>
      </c>
      <c r="B11" s="3">
        <f t="shared" si="0"/>
        <v>0.10999999999999999</v>
      </c>
      <c r="D11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Oppgave 1</vt:lpstr>
      <vt:lpstr>Oppgave 2</vt:lpstr>
      <vt:lpstr>Oppgave 3</vt:lpstr>
      <vt:lpstr>Oppgave 4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2018-08-31T11:00:35Z</dcterms:created>
  <dcterms:modified xsi:type="dcterms:W3CDTF">2023-06-29T10:18:39Z</dcterms:modified>
  <cp:category/>
  <cp:contentStatus/>
</cp:coreProperties>
</file>