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w\Google Drive\Bokprosjekt\Innføring bedriftsøkonomi\Driftsregnskap\Løsninger industribedrifter\"/>
    </mc:Choice>
  </mc:AlternateContent>
  <xr:revisionPtr revIDLastSave="0" documentId="13_ncr:1_{D482E43E-A0C0-479A-BC7B-2AA8DD179270}" xr6:coauthVersionLast="45" xr6:coauthVersionMax="45" xr10:uidLastSave="{00000000-0000-0000-0000-000000000000}"/>
  <bookViews>
    <workbookView xWindow="-108" yWindow="-108" windowWidth="30936" windowHeight="16896" activeTab="18" xr2:uid="{00000000-000D-0000-FFFF-FFFF00000000}"/>
  </bookViews>
  <sheets>
    <sheet name="7,1-2" sheetId="16" r:id="rId1"/>
    <sheet name="7,3" sheetId="17" r:id="rId2"/>
    <sheet name="7,4" sheetId="18" r:id="rId3"/>
    <sheet name="7,5-6" sheetId="19" r:id="rId4"/>
    <sheet name="7,7" sheetId="20" r:id="rId5"/>
    <sheet name="7,8" sheetId="21" r:id="rId6"/>
    <sheet name="7,9" sheetId="22" r:id="rId7"/>
    <sheet name="7,10" sheetId="23" r:id="rId8"/>
    <sheet name="Diagram 7,10" sheetId="24" r:id="rId9"/>
    <sheet name="7,11" sheetId="25" r:id="rId10"/>
    <sheet name="Diagram 7,11" sheetId="26" r:id="rId11"/>
    <sheet name="7,12" sheetId="1" r:id="rId12"/>
    <sheet name="7,13-14" sheetId="2" r:id="rId13"/>
    <sheet name="7,15" sheetId="3" r:id="rId14"/>
    <sheet name="7,16" sheetId="4" r:id="rId15"/>
    <sheet name="7,17" sheetId="5" r:id="rId16"/>
    <sheet name="7,18" sheetId="6" r:id="rId17"/>
    <sheet name="7,19" sheetId="7" r:id="rId18"/>
    <sheet name="7,20" sheetId="8" r:id="rId19"/>
    <sheet name="7,21" sheetId="9" r:id="rId20"/>
    <sheet name="7,22" sheetId="10" r:id="rId21"/>
    <sheet name="7,23" sheetId="12" r:id="rId22"/>
    <sheet name="7,23 avviksanalyse" sheetId="13" r:id="rId23"/>
    <sheet name="7,24" sheetId="14" r:id="rId24"/>
    <sheet name="7,25" sheetId="1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25" l="1"/>
  <c r="C24" i="25"/>
  <c r="E39" i="25"/>
  <c r="B21" i="25"/>
  <c r="B20" i="25"/>
  <c r="B17" i="25"/>
  <c r="E14" i="25"/>
  <c r="E29" i="25"/>
  <c r="D14" i="25"/>
  <c r="D29" i="25"/>
  <c r="C13" i="25"/>
  <c r="C12" i="25"/>
  <c r="C14" i="25"/>
  <c r="C29" i="25"/>
  <c r="C11" i="25"/>
  <c r="C10" i="25"/>
  <c r="E8" i="25"/>
  <c r="E27" i="25"/>
  <c r="D8" i="25"/>
  <c r="D27" i="25"/>
  <c r="C8" i="25"/>
  <c r="C15" i="25"/>
  <c r="C7" i="25"/>
  <c r="D41" i="25"/>
  <c r="E41" i="25"/>
  <c r="C6" i="25"/>
  <c r="C41" i="25"/>
  <c r="B41" i="25"/>
  <c r="C26" i="23"/>
  <c r="B26" i="23"/>
  <c r="E24" i="23"/>
  <c r="B24" i="23"/>
  <c r="D10" i="23"/>
  <c r="D14" i="23"/>
  <c r="C9" i="23"/>
  <c r="C10" i="23"/>
  <c r="E8" i="23"/>
  <c r="E10" i="23"/>
  <c r="E14" i="23"/>
  <c r="D8" i="23"/>
  <c r="C8" i="23"/>
  <c r="C7" i="23"/>
  <c r="D26" i="23"/>
  <c r="E26" i="23"/>
  <c r="C6" i="23"/>
  <c r="D30" i="22"/>
  <c r="D25" i="22"/>
  <c r="D27" i="22"/>
  <c r="D29" i="22"/>
  <c r="D31" i="22"/>
  <c r="E19" i="22"/>
  <c r="F19" i="22"/>
  <c r="C18" i="22"/>
  <c r="E17" i="22"/>
  <c r="G17" i="22"/>
  <c r="H17" i="22"/>
  <c r="C17" i="22"/>
  <c r="D17" i="22"/>
  <c r="G16" i="22"/>
  <c r="H16" i="22"/>
  <c r="F16" i="22"/>
  <c r="D16" i="22"/>
  <c r="G15" i="22"/>
  <c r="H15" i="22"/>
  <c r="F15" i="22"/>
  <c r="D15" i="22"/>
  <c r="G14" i="22"/>
  <c r="H14" i="22"/>
  <c r="F14" i="22"/>
  <c r="D14" i="22"/>
  <c r="G13" i="22"/>
  <c r="H13" i="22"/>
  <c r="F13" i="22"/>
  <c r="D13" i="22"/>
  <c r="G12" i="22"/>
  <c r="H12" i="22"/>
  <c r="F12" i="22"/>
  <c r="D12" i="22"/>
  <c r="E9" i="22"/>
  <c r="F9" i="22"/>
  <c r="C9" i="22"/>
  <c r="C19" i="22"/>
  <c r="D19" i="22"/>
  <c r="H8" i="22"/>
  <c r="G8" i="22"/>
  <c r="F8" i="22"/>
  <c r="D8" i="22"/>
  <c r="G7" i="22"/>
  <c r="H7" i="22"/>
  <c r="F7" i="22"/>
  <c r="D7" i="22"/>
  <c r="D17" i="21"/>
  <c r="D15" i="21"/>
  <c r="D9" i="21"/>
  <c r="E9" i="21"/>
  <c r="F9" i="21"/>
  <c r="C9" i="21"/>
  <c r="C8" i="21"/>
  <c r="E8" i="21"/>
  <c r="F8" i="21"/>
  <c r="C7" i="21"/>
  <c r="F7" i="21"/>
  <c r="D10" i="20"/>
  <c r="E10" i="20"/>
  <c r="C10" i="20"/>
  <c r="E9" i="20"/>
  <c r="E8" i="20"/>
  <c r="D8" i="20"/>
  <c r="C8" i="20"/>
  <c r="C7" i="20"/>
  <c r="E7" i="20"/>
  <c r="E6" i="20"/>
  <c r="B28" i="19"/>
  <c r="D26" i="19"/>
  <c r="E26" i="19"/>
  <c r="C26" i="19"/>
  <c r="C28" i="19"/>
  <c r="B26" i="19"/>
  <c r="A26" i="19"/>
  <c r="E25" i="19"/>
  <c r="C33" i="19"/>
  <c r="B25" i="19"/>
  <c r="A25" i="19"/>
  <c r="E24" i="19"/>
  <c r="C30" i="19"/>
  <c r="B24" i="19"/>
  <c r="C8" i="19"/>
  <c r="C10" i="19"/>
  <c r="C7" i="19"/>
  <c r="F32" i="18"/>
  <c r="E32" i="18"/>
  <c r="G26" i="18"/>
  <c r="E26" i="18"/>
  <c r="G24" i="18"/>
  <c r="F24" i="18"/>
  <c r="E24" i="18"/>
  <c r="C24" i="18"/>
  <c r="C23" i="18"/>
  <c r="D23" i="18"/>
  <c r="D25" i="18"/>
  <c r="D26" i="18"/>
  <c r="G22" i="18"/>
  <c r="C22" i="18"/>
  <c r="F22" i="18"/>
  <c r="C20" i="18"/>
  <c r="C19" i="18"/>
  <c r="C18" i="18"/>
  <c r="C25" i="18"/>
  <c r="C27" i="18"/>
  <c r="G17" i="18"/>
  <c r="F17" i="18"/>
  <c r="E17" i="18"/>
  <c r="G16" i="18"/>
  <c r="F16" i="18"/>
  <c r="E16" i="18"/>
  <c r="G15" i="18"/>
  <c r="G25" i="18"/>
  <c r="G27" i="18"/>
  <c r="F15" i="18"/>
  <c r="F25" i="18"/>
  <c r="F27" i="18"/>
  <c r="E15" i="18"/>
  <c r="G12" i="18"/>
  <c r="G31" i="18"/>
  <c r="F12" i="18"/>
  <c r="F31" i="18"/>
  <c r="E12" i="18"/>
  <c r="E31" i="18"/>
  <c r="C11" i="18"/>
  <c r="C8" i="18"/>
  <c r="A3" i="18"/>
  <c r="A3" i="19"/>
  <c r="C13" i="17"/>
  <c r="G12" i="17"/>
  <c r="F12" i="17"/>
  <c r="E12" i="17"/>
  <c r="D12" i="17"/>
  <c r="G11" i="17"/>
  <c r="F11" i="17"/>
  <c r="E11" i="17"/>
  <c r="D11" i="17"/>
  <c r="G10" i="17"/>
  <c r="F10" i="17"/>
  <c r="E10" i="17"/>
  <c r="G9" i="17"/>
  <c r="F9" i="17"/>
  <c r="E9" i="17"/>
  <c r="D9" i="17"/>
  <c r="G8" i="17"/>
  <c r="F8" i="17"/>
  <c r="E8" i="17"/>
  <c r="D8" i="17"/>
  <c r="G7" i="17"/>
  <c r="G13" i="17"/>
  <c r="F7" i="17"/>
  <c r="F13" i="17"/>
  <c r="E7" i="17"/>
  <c r="E13" i="17"/>
  <c r="D7" i="17"/>
  <c r="D13" i="17"/>
  <c r="A3" i="17"/>
  <c r="C14" i="16"/>
  <c r="C12" i="16"/>
  <c r="C9" i="16"/>
  <c r="C7" i="16"/>
  <c r="C13" i="16"/>
  <c r="C20" i="16"/>
  <c r="C21" i="16"/>
  <c r="D27" i="7"/>
  <c r="C6" i="7"/>
  <c r="C12" i="7"/>
  <c r="C7" i="7"/>
  <c r="C13" i="7"/>
  <c r="C28" i="7"/>
  <c r="D28" i="7"/>
  <c r="G28" i="7"/>
  <c r="C18" i="7"/>
  <c r="B13" i="7"/>
  <c r="B12" i="7"/>
  <c r="E76" i="14"/>
  <c r="D75" i="14"/>
  <c r="C61" i="14"/>
  <c r="C67" i="14"/>
  <c r="B7" i="14"/>
  <c r="B61" i="14"/>
  <c r="B11" i="14"/>
  <c r="B59" i="14"/>
  <c r="B74" i="14"/>
  <c r="C59" i="14"/>
  <c r="B9" i="14"/>
  <c r="B58" i="14"/>
  <c r="B65" i="14"/>
  <c r="E77" i="14"/>
  <c r="G75" i="14"/>
  <c r="C19" i="14"/>
  <c r="D40" i="14"/>
  <c r="D43" i="14"/>
  <c r="D45" i="14"/>
  <c r="D47" i="14"/>
  <c r="C20" i="14"/>
  <c r="D41" i="14"/>
  <c r="C21" i="14"/>
  <c r="D42" i="14"/>
  <c r="C13" i="14"/>
  <c r="C22" i="14"/>
  <c r="E41" i="14"/>
  <c r="E42" i="14"/>
  <c r="C41" i="14"/>
  <c r="G41" i="14"/>
  <c r="I41" i="14"/>
  <c r="C42" i="14"/>
  <c r="G42" i="14"/>
  <c r="I42" i="14"/>
  <c r="F41" i="14"/>
  <c r="F42" i="14"/>
  <c r="G50" i="14"/>
  <c r="H50" i="14"/>
  <c r="G44" i="14"/>
  <c r="G37" i="14"/>
  <c r="C76" i="14"/>
  <c r="D76" i="14"/>
  <c r="G38" i="14"/>
  <c r="G36" i="14"/>
  <c r="H44" i="14"/>
  <c r="H38" i="14"/>
  <c r="H36" i="14"/>
  <c r="B3" i="14"/>
  <c r="B6" i="14"/>
  <c r="B8" i="14"/>
  <c r="B10" i="14"/>
  <c r="B19" i="14"/>
  <c r="B12" i="14"/>
  <c r="B21" i="14"/>
  <c r="B14" i="14"/>
  <c r="B22" i="14"/>
  <c r="C15" i="14"/>
  <c r="B20" i="14"/>
  <c r="B15" i="13"/>
  <c r="C15" i="13"/>
  <c r="B14" i="13"/>
  <c r="E14" i="13"/>
  <c r="B11" i="13"/>
  <c r="B12" i="13"/>
  <c r="B10" i="13"/>
  <c r="A3" i="13"/>
  <c r="E10" i="13"/>
  <c r="F10" i="13"/>
  <c r="D12" i="13"/>
  <c r="F14" i="13"/>
  <c r="B16" i="13"/>
  <c r="D16" i="13"/>
  <c r="F18" i="13"/>
  <c r="D20" i="13"/>
  <c r="B126" i="12"/>
  <c r="C43" i="7"/>
  <c r="D74" i="12"/>
  <c r="D73" i="12"/>
  <c r="D72" i="12"/>
  <c r="D101" i="12"/>
  <c r="C113" i="12"/>
  <c r="D113" i="12"/>
  <c r="C102" i="12"/>
  <c r="C105" i="12"/>
  <c r="E105" i="12"/>
  <c r="D27" i="12"/>
  <c r="D28" i="12"/>
  <c r="C37" i="12"/>
  <c r="E28" i="12"/>
  <c r="C83" i="12"/>
  <c r="C101" i="12"/>
  <c r="D24" i="12"/>
  <c r="D25" i="12"/>
  <c r="E25" i="12"/>
  <c r="C91" i="12"/>
  <c r="D91" i="12"/>
  <c r="D82" i="12"/>
  <c r="C82" i="12"/>
  <c r="C58" i="12"/>
  <c r="E58" i="12"/>
  <c r="C36" i="12"/>
  <c r="C38" i="12"/>
  <c r="D36" i="12"/>
  <c r="C45" i="12"/>
  <c r="D45" i="12"/>
  <c r="D68" i="12"/>
  <c r="D55" i="12"/>
  <c r="D56" i="12"/>
  <c r="B36" i="12"/>
  <c r="B37" i="12"/>
  <c r="B35" i="12"/>
  <c r="B34" i="12"/>
  <c r="A3" i="8"/>
  <c r="A3" i="12"/>
  <c r="D13" i="12"/>
  <c r="D15" i="12"/>
  <c r="D16" i="12"/>
  <c r="D17" i="12"/>
  <c r="D30" i="12"/>
  <c r="E30" i="12"/>
  <c r="D18" i="12"/>
  <c r="D20" i="12"/>
  <c r="C27" i="12"/>
  <c r="C30" i="12"/>
  <c r="C28" i="12"/>
  <c r="B62" i="10"/>
  <c r="D60" i="10"/>
  <c r="D62" i="10"/>
  <c r="D61" i="10"/>
  <c r="C29" i="3"/>
  <c r="C31" i="3"/>
  <c r="C35" i="3"/>
  <c r="C38" i="3"/>
  <c r="D56" i="10"/>
  <c r="D58" i="10"/>
  <c r="D30" i="10"/>
  <c r="D32" i="10"/>
  <c r="D36" i="10"/>
  <c r="D41" i="10"/>
  <c r="D42" i="10"/>
  <c r="D43" i="10"/>
  <c r="D24" i="10"/>
  <c r="D39" i="10"/>
  <c r="D44" i="10"/>
  <c r="D57" i="10"/>
  <c r="D25" i="10"/>
  <c r="C16" i="10"/>
  <c r="E16" i="10"/>
  <c r="C27" i="10"/>
  <c r="C17" i="10"/>
  <c r="E17" i="10"/>
  <c r="C28" i="10"/>
  <c r="E28" i="10"/>
  <c r="E34" i="10"/>
  <c r="C11" i="10"/>
  <c r="C18" i="10"/>
  <c r="D18" i="10"/>
  <c r="B3" i="10"/>
  <c r="B6" i="10"/>
  <c r="B7" i="10"/>
  <c r="B8" i="10"/>
  <c r="B9" i="10"/>
  <c r="B16" i="10"/>
  <c r="B10" i="10"/>
  <c r="B17" i="10"/>
  <c r="B12" i="10"/>
  <c r="B18" i="10"/>
  <c r="G5" i="9"/>
  <c r="G6" i="9"/>
  <c r="G7" i="9"/>
  <c r="E43" i="9"/>
  <c r="E45" i="9"/>
  <c r="G10" i="9"/>
  <c r="G11" i="9"/>
  <c r="G14" i="9"/>
  <c r="G15" i="9"/>
  <c r="G16" i="9"/>
  <c r="F43" i="9"/>
  <c r="F45" i="9"/>
  <c r="D18" i="9"/>
  <c r="D29" i="9"/>
  <c r="G18" i="9"/>
  <c r="E57" i="9"/>
  <c r="H57" i="9"/>
  <c r="D19" i="9"/>
  <c r="D36" i="9"/>
  <c r="G19" i="9"/>
  <c r="D20" i="9"/>
  <c r="G22" i="9"/>
  <c r="G24" i="9"/>
  <c r="H43" i="9"/>
  <c r="H45" i="9"/>
  <c r="G23" i="9"/>
  <c r="G39" i="9"/>
  <c r="F60" i="9"/>
  <c r="I60" i="9"/>
  <c r="D24" i="9"/>
  <c r="B29" i="9"/>
  <c r="G29" i="9"/>
  <c r="E30" i="9"/>
  <c r="G30" i="9"/>
  <c r="B32" i="9"/>
  <c r="D32" i="9"/>
  <c r="G32" i="9"/>
  <c r="D33" i="9"/>
  <c r="E33" i="9"/>
  <c r="G33" i="9"/>
  <c r="B35" i="9"/>
  <c r="D35" i="9"/>
  <c r="G35" i="9"/>
  <c r="F57" i="9"/>
  <c r="I57" i="9"/>
  <c r="E36" i="9"/>
  <c r="G36" i="9"/>
  <c r="B38" i="9"/>
  <c r="B59" i="9"/>
  <c r="B67" i="9"/>
  <c r="B99" i="9"/>
  <c r="G38" i="9"/>
  <c r="E39" i="9"/>
  <c r="E53" i="9"/>
  <c r="F53" i="9"/>
  <c r="H53" i="9"/>
  <c r="I53" i="9"/>
  <c r="E54" i="9"/>
  <c r="F54" i="9"/>
  <c r="I54" i="9"/>
  <c r="H54" i="9"/>
  <c r="E55" i="9"/>
  <c r="F55" i="9"/>
  <c r="H55" i="9"/>
  <c r="I55" i="9"/>
  <c r="E56" i="9"/>
  <c r="F56" i="9"/>
  <c r="I56" i="9"/>
  <c r="H56" i="9"/>
  <c r="E58" i="9"/>
  <c r="F58" i="9"/>
  <c r="I58" i="9"/>
  <c r="H58" i="9"/>
  <c r="D59" i="9"/>
  <c r="F59" i="9"/>
  <c r="I59" i="9"/>
  <c r="D60" i="9"/>
  <c r="B64" i="9"/>
  <c r="B96" i="9"/>
  <c r="D64" i="9"/>
  <c r="D96" i="9"/>
  <c r="F96" i="9"/>
  <c r="B65" i="9"/>
  <c r="B97" i="9"/>
  <c r="D65" i="9"/>
  <c r="D97" i="9"/>
  <c r="E65" i="9"/>
  <c r="B66" i="9"/>
  <c r="D66" i="9"/>
  <c r="D67" i="9"/>
  <c r="D94" i="9"/>
  <c r="E94" i="9"/>
  <c r="D95" i="9"/>
  <c r="E95" i="9"/>
  <c r="E96" i="9"/>
  <c r="E97" i="9"/>
  <c r="B98" i="9"/>
  <c r="D98" i="9"/>
  <c r="E98" i="9"/>
  <c r="F98" i="9"/>
  <c r="D99" i="9"/>
  <c r="E99" i="9"/>
  <c r="F99" i="9"/>
  <c r="D43" i="8"/>
  <c r="F43" i="8"/>
  <c r="B16" i="8"/>
  <c r="B17" i="8"/>
  <c r="D17" i="8"/>
  <c r="B36" i="8"/>
  <c r="C36" i="8"/>
  <c r="F36" i="8"/>
  <c r="F35" i="8"/>
  <c r="B35" i="8"/>
  <c r="E35" i="8"/>
  <c r="B40" i="8"/>
  <c r="C40" i="8"/>
  <c r="D41" i="8"/>
  <c r="B39" i="8"/>
  <c r="B41" i="8"/>
  <c r="C37" i="8"/>
  <c r="D37" i="8"/>
  <c r="D45" i="8"/>
  <c r="F39" i="8"/>
  <c r="E39" i="8"/>
  <c r="A34" i="8"/>
  <c r="A8" i="8"/>
  <c r="A7" i="8"/>
  <c r="A6" i="8"/>
  <c r="C13" i="8"/>
  <c r="C14" i="8"/>
  <c r="D16" i="8"/>
  <c r="C19" i="8"/>
  <c r="C21" i="8"/>
  <c r="C25" i="8"/>
  <c r="C28" i="8"/>
  <c r="G27" i="7"/>
  <c r="G30" i="7"/>
  <c r="F9" i="6"/>
  <c r="F12" i="6"/>
  <c r="G9" i="6"/>
  <c r="D10" i="6"/>
  <c r="G10" i="6"/>
  <c r="E16" i="5"/>
  <c r="F16" i="5"/>
  <c r="G16" i="5"/>
  <c r="H16" i="5"/>
  <c r="E17" i="5"/>
  <c r="E18" i="5"/>
  <c r="E41" i="5"/>
  <c r="F17" i="5"/>
  <c r="G17" i="5"/>
  <c r="H17" i="5"/>
  <c r="F18" i="5"/>
  <c r="E42" i="5"/>
  <c r="G18" i="5"/>
  <c r="H18" i="5"/>
  <c r="E44" i="5"/>
  <c r="E68" i="5"/>
  <c r="F68" i="5"/>
  <c r="F37" i="5"/>
  <c r="F38" i="5"/>
  <c r="F39" i="5"/>
  <c r="E43" i="5"/>
  <c r="E60" i="5"/>
  <c r="F60" i="5"/>
  <c r="E61" i="5"/>
  <c r="F61" i="5"/>
  <c r="F63" i="5"/>
  <c r="E64" i="5"/>
  <c r="F64" i="5"/>
  <c r="G64" i="5"/>
  <c r="F70" i="5"/>
  <c r="E72" i="5"/>
  <c r="F72" i="5"/>
  <c r="G80" i="5"/>
  <c r="H80" i="5"/>
  <c r="I80" i="5"/>
  <c r="G81" i="5"/>
  <c r="H81" i="5"/>
  <c r="I81" i="5"/>
  <c r="G82" i="5"/>
  <c r="B23" i="4"/>
  <c r="B35" i="4"/>
  <c r="D35" i="4"/>
  <c r="C43" i="4"/>
  <c r="C46" i="4"/>
  <c r="C29" i="4"/>
  <c r="C30" i="4"/>
  <c r="C31" i="4"/>
  <c r="C37" i="4"/>
  <c r="C39" i="4"/>
  <c r="B21" i="4"/>
  <c r="B33" i="4"/>
  <c r="B22" i="4"/>
  <c r="B34" i="4"/>
  <c r="D34" i="4"/>
  <c r="B13" i="4"/>
  <c r="B24" i="4"/>
  <c r="A12" i="4"/>
  <c r="A23" i="4"/>
  <c r="A8" i="4"/>
  <c r="A3" i="4"/>
  <c r="A6" i="4"/>
  <c r="A7" i="4"/>
  <c r="A9" i="4"/>
  <c r="A10" i="4"/>
  <c r="A21" i="4"/>
  <c r="A11" i="4"/>
  <c r="A22" i="4"/>
  <c r="A14" i="4"/>
  <c r="B15" i="4"/>
  <c r="A24" i="4"/>
  <c r="A3" i="3"/>
  <c r="B16" i="3"/>
  <c r="B26" i="3"/>
  <c r="B28" i="3"/>
  <c r="B30" i="3"/>
  <c r="B32" i="3"/>
  <c r="B17" i="3"/>
  <c r="B27" i="3"/>
  <c r="B11" i="3"/>
  <c r="B13" i="3"/>
  <c r="B18" i="3"/>
  <c r="D27" i="3"/>
  <c r="C23" i="3"/>
  <c r="C24" i="3"/>
  <c r="A12" i="3"/>
  <c r="A18" i="3"/>
  <c r="A10" i="3"/>
  <c r="A17" i="3"/>
  <c r="A9" i="3"/>
  <c r="A16" i="3"/>
  <c r="A7" i="3"/>
  <c r="A8" i="3"/>
  <c r="A6" i="3"/>
  <c r="C38" i="2"/>
  <c r="C39" i="2"/>
  <c r="C40" i="2"/>
  <c r="C42" i="2"/>
  <c r="C44" i="2"/>
  <c r="C46" i="2"/>
  <c r="C41" i="2"/>
  <c r="B26" i="2"/>
  <c r="B31" i="2"/>
  <c r="B34" i="2"/>
  <c r="B35" i="2"/>
  <c r="B38" i="2"/>
  <c r="B39" i="2"/>
  <c r="B40" i="2"/>
  <c r="B41" i="2"/>
  <c r="B42" i="2"/>
  <c r="B43" i="2"/>
  <c r="B44" i="2"/>
  <c r="B45" i="2"/>
  <c r="B46" i="2"/>
  <c r="B30" i="2"/>
  <c r="C13" i="2"/>
  <c r="C14" i="2"/>
  <c r="C15" i="2"/>
  <c r="C16" i="2"/>
  <c r="C17" i="2"/>
  <c r="C19" i="2"/>
  <c r="C21" i="2"/>
  <c r="C19" i="1"/>
  <c r="C30" i="1"/>
  <c r="C20" i="1"/>
  <c r="C31" i="1"/>
  <c r="C21" i="1"/>
  <c r="C32" i="1"/>
  <c r="C33" i="1"/>
  <c r="C34" i="1"/>
  <c r="C13" i="1"/>
  <c r="C22" i="1"/>
  <c r="B27" i="1"/>
  <c r="B28" i="1"/>
  <c r="B29" i="1"/>
  <c r="B30" i="1"/>
  <c r="B31" i="1"/>
  <c r="B32" i="1"/>
  <c r="B33" i="1"/>
  <c r="B34" i="1"/>
  <c r="B35" i="1"/>
  <c r="B26" i="1"/>
  <c r="B22" i="1"/>
  <c r="B20" i="1"/>
  <c r="B21" i="1"/>
  <c r="B19" i="1"/>
  <c r="C15" i="1"/>
  <c r="C70" i="15"/>
  <c r="D70" i="15"/>
  <c r="E70" i="15"/>
  <c r="F70" i="15"/>
  <c r="G70" i="15"/>
  <c r="H70" i="15"/>
  <c r="C71" i="15"/>
  <c r="G71" i="15"/>
  <c r="H71" i="15"/>
  <c r="D71" i="15"/>
  <c r="E71" i="15"/>
  <c r="F71" i="15"/>
  <c r="C72" i="15"/>
  <c r="G72" i="15"/>
  <c r="H72" i="15"/>
  <c r="D72" i="15"/>
  <c r="E72" i="15"/>
  <c r="E77" i="15"/>
  <c r="E79" i="15"/>
  <c r="E81" i="15"/>
  <c r="E83" i="15"/>
  <c r="F72" i="15"/>
  <c r="F77" i="15"/>
  <c r="F79" i="15"/>
  <c r="E10" i="15"/>
  <c r="E19" i="15"/>
  <c r="C74" i="15"/>
  <c r="G74" i="15"/>
  <c r="I74" i="15"/>
  <c r="D74" i="15"/>
  <c r="E74" i="15"/>
  <c r="F74" i="15"/>
  <c r="E11" i="15"/>
  <c r="E20" i="15"/>
  <c r="D104" i="15"/>
  <c r="E75" i="15"/>
  <c r="F75" i="15"/>
  <c r="E12" i="15"/>
  <c r="E21" i="15"/>
  <c r="D105" i="15"/>
  <c r="C76" i="15"/>
  <c r="G76" i="15"/>
  <c r="I76" i="15"/>
  <c r="D76" i="15"/>
  <c r="E76" i="15"/>
  <c r="F76" i="15"/>
  <c r="D103" i="15"/>
  <c r="D106" i="15"/>
  <c r="D78" i="15"/>
  <c r="G78" i="15"/>
  <c r="C103" i="15"/>
  <c r="C104" i="15"/>
  <c r="C105" i="15"/>
  <c r="C106" i="15"/>
  <c r="C80" i="15"/>
  <c r="C84" i="15"/>
  <c r="G84" i="15"/>
  <c r="H84" i="15"/>
  <c r="D84" i="15"/>
  <c r="E84" i="15"/>
  <c r="E85" i="15"/>
  <c r="F84" i="15"/>
  <c r="G51" i="15"/>
  <c r="H51" i="15"/>
  <c r="G37" i="15"/>
  <c r="H37" i="15"/>
  <c r="G38" i="15"/>
  <c r="H38" i="15"/>
  <c r="G39" i="15"/>
  <c r="H39" i="15"/>
  <c r="C19" i="15"/>
  <c r="E41" i="15"/>
  <c r="E44" i="15"/>
  <c r="E46" i="15"/>
  <c r="E48" i="15"/>
  <c r="D61" i="15"/>
  <c r="D64" i="15"/>
  <c r="D45" i="15"/>
  <c r="G45" i="15"/>
  <c r="C20" i="15"/>
  <c r="D62" i="15"/>
  <c r="C21" i="15"/>
  <c r="D63" i="15"/>
  <c r="C62" i="15"/>
  <c r="C63" i="15"/>
  <c r="F41" i="15"/>
  <c r="F44" i="15"/>
  <c r="F46" i="15"/>
  <c r="F42" i="15"/>
  <c r="F43" i="15"/>
  <c r="B99" i="15"/>
  <c r="B100" i="15"/>
  <c r="B101" i="15"/>
  <c r="B102" i="15"/>
  <c r="B106" i="15"/>
  <c r="B22" i="15"/>
  <c r="B49" i="15"/>
  <c r="B82" i="15"/>
  <c r="B20" i="15"/>
  <c r="B42" i="15"/>
  <c r="B62" i="15"/>
  <c r="B21" i="15"/>
  <c r="B43" i="15"/>
  <c r="B76" i="15"/>
  <c r="B105" i="15"/>
  <c r="B19" i="15"/>
  <c r="B41" i="15"/>
  <c r="C13" i="15"/>
  <c r="C22" i="15"/>
  <c r="D14" i="15"/>
  <c r="D22" i="15"/>
  <c r="D19" i="15"/>
  <c r="D20" i="15"/>
  <c r="D21" i="15"/>
  <c r="D56" i="15"/>
  <c r="C56" i="15"/>
  <c r="B64" i="15"/>
  <c r="B63" i="15"/>
  <c r="B60" i="15"/>
  <c r="B58" i="15"/>
  <c r="B59" i="15"/>
  <c r="B57" i="15"/>
  <c r="C41" i="15"/>
  <c r="C44" i="15"/>
  <c r="C42" i="15"/>
  <c r="G42" i="15"/>
  <c r="I42" i="15"/>
  <c r="C43" i="15"/>
  <c r="D41" i="15"/>
  <c r="D42" i="15"/>
  <c r="D43" i="15"/>
  <c r="G43" i="15"/>
  <c r="I43" i="15"/>
  <c r="E42" i="15"/>
  <c r="E43" i="15"/>
  <c r="C14" i="23"/>
  <c r="C16" i="23"/>
  <c r="C12" i="23"/>
  <c r="C25" i="25"/>
  <c r="C28" i="25"/>
  <c r="G33" i="18"/>
  <c r="G28" i="18"/>
  <c r="G29" i="18"/>
  <c r="G34" i="18"/>
  <c r="A3" i="20"/>
  <c r="A21" i="19"/>
  <c r="A3" i="21"/>
  <c r="F33" i="18"/>
  <c r="F28" i="18"/>
  <c r="F29" i="18"/>
  <c r="F34" i="18"/>
  <c r="C22" i="16"/>
  <c r="C23" i="16"/>
  <c r="C33" i="18"/>
  <c r="C28" i="18"/>
  <c r="C29" i="18"/>
  <c r="C34" i="18"/>
  <c r="D9" i="22"/>
  <c r="E18" i="22"/>
  <c r="F18" i="22"/>
  <c r="G19" i="22"/>
  <c r="H19" i="22"/>
  <c r="D15" i="25"/>
  <c r="D28" i="25"/>
  <c r="C31" i="25"/>
  <c r="C40" i="25"/>
  <c r="G32" i="18"/>
  <c r="D28" i="19"/>
  <c r="C11" i="21"/>
  <c r="E15" i="25"/>
  <c r="E28" i="25"/>
  <c r="D18" i="22"/>
  <c r="C27" i="25"/>
  <c r="C12" i="18"/>
  <c r="D11" i="21"/>
  <c r="G9" i="22"/>
  <c r="H9" i="22"/>
  <c r="E22" i="18"/>
  <c r="E25" i="18"/>
  <c r="E27" i="18"/>
  <c r="F17" i="22"/>
  <c r="E49" i="15"/>
  <c r="E50" i="15"/>
  <c r="E52" i="15"/>
  <c r="B36" i="4"/>
  <c r="B38" i="4"/>
  <c r="B40" i="4"/>
  <c r="D33" i="4"/>
  <c r="F80" i="15"/>
  <c r="F81" i="15"/>
  <c r="F83" i="15"/>
  <c r="F85" i="15"/>
  <c r="B61" i="15"/>
  <c r="B74" i="15"/>
  <c r="B103" i="15"/>
  <c r="C45" i="8"/>
  <c r="H44" i="15"/>
  <c r="H46" i="15"/>
  <c r="C84" i="12"/>
  <c r="H78" i="15"/>
  <c r="F75" i="5"/>
  <c r="F46" i="8"/>
  <c r="G41" i="15"/>
  <c r="I41" i="15"/>
  <c r="C16" i="13"/>
  <c r="F15" i="13"/>
  <c r="H53" i="14"/>
  <c r="G12" i="6"/>
  <c r="F13" i="6"/>
  <c r="C46" i="15"/>
  <c r="E66" i="5"/>
  <c r="F66" i="5"/>
  <c r="F97" i="9"/>
  <c r="D48" i="14"/>
  <c r="D49" i="14"/>
  <c r="D51" i="14"/>
  <c r="C14" i="7"/>
  <c r="C17" i="7"/>
  <c r="C19" i="7"/>
  <c r="C27" i="7"/>
  <c r="F27" i="7"/>
  <c r="F30" i="7"/>
  <c r="F31" i="7"/>
  <c r="F47" i="15"/>
  <c r="F48" i="15"/>
  <c r="D77" i="14"/>
  <c r="G76" i="14"/>
  <c r="G77" i="14"/>
  <c r="B33" i="3"/>
  <c r="D33" i="3"/>
  <c r="H45" i="15"/>
  <c r="C41" i="8"/>
  <c r="F40" i="8"/>
  <c r="E27" i="10"/>
  <c r="E38" i="10"/>
  <c r="C38" i="10"/>
  <c r="C29" i="10"/>
  <c r="C31" i="10"/>
  <c r="C33" i="10"/>
  <c r="C35" i="10"/>
  <c r="C37" i="10"/>
  <c r="C39" i="10"/>
  <c r="H37" i="14"/>
  <c r="C40" i="14"/>
  <c r="C66" i="14"/>
  <c r="C75" i="14"/>
  <c r="D75" i="15"/>
  <c r="D77" i="15"/>
  <c r="D79" i="15"/>
  <c r="D81" i="15"/>
  <c r="D83" i="15"/>
  <c r="D85" i="15"/>
  <c r="B18" i="8"/>
  <c r="B20" i="8"/>
  <c r="B22" i="8"/>
  <c r="D23" i="9"/>
  <c r="D39" i="9"/>
  <c r="D83" i="12"/>
  <c r="D84" i="12"/>
  <c r="C104" i="12"/>
  <c r="E104" i="12"/>
  <c r="E40" i="14"/>
  <c r="E43" i="14"/>
  <c r="E45" i="14"/>
  <c r="E47" i="14"/>
  <c r="C75" i="15"/>
  <c r="B75" i="15"/>
  <c r="B104" i="15"/>
  <c r="D30" i="9"/>
  <c r="D102" i="12"/>
  <c r="D92" i="12"/>
  <c r="D93" i="12"/>
  <c r="E59" i="9"/>
  <c r="H59" i="9"/>
  <c r="D22" i="9"/>
  <c r="D38" i="9"/>
  <c r="D46" i="12"/>
  <c r="D47" i="12"/>
  <c r="D37" i="12"/>
  <c r="D38" i="12"/>
  <c r="C61" i="12"/>
  <c r="D61" i="12"/>
  <c r="C11" i="13"/>
  <c r="D44" i="15"/>
  <c r="D46" i="15"/>
  <c r="D48" i="15"/>
  <c r="C35" i="1"/>
  <c r="D26" i="3"/>
  <c r="E63" i="5"/>
  <c r="G63" i="5"/>
  <c r="G20" i="9"/>
  <c r="G43" i="9"/>
  <c r="G45" i="9"/>
  <c r="C59" i="12"/>
  <c r="C92" i="12"/>
  <c r="C93" i="12"/>
  <c r="F40" i="14"/>
  <c r="F43" i="14"/>
  <c r="F45" i="14"/>
  <c r="F46" i="14"/>
  <c r="G46" i="14"/>
  <c r="H46" i="14"/>
  <c r="C61" i="15"/>
  <c r="C64" i="15"/>
  <c r="C47" i="15"/>
  <c r="C13" i="10"/>
  <c r="B37" i="8"/>
  <c r="E60" i="9"/>
  <c r="H60" i="9"/>
  <c r="C46" i="12"/>
  <c r="C47" i="12"/>
  <c r="C63" i="12"/>
  <c r="D63" i="12"/>
  <c r="E33" i="18"/>
  <c r="E28" i="18"/>
  <c r="E29" i="18"/>
  <c r="E34" i="18"/>
  <c r="C32" i="25"/>
  <c r="C33" i="25"/>
  <c r="C32" i="18"/>
  <c r="C31" i="18"/>
  <c r="A3" i="25"/>
  <c r="A3" i="22"/>
  <c r="A3" i="23"/>
  <c r="C25" i="23"/>
  <c r="C17" i="23"/>
  <c r="C18" i="23"/>
  <c r="B40" i="25"/>
  <c r="E40" i="25"/>
  <c r="D40" i="25"/>
  <c r="G18" i="22"/>
  <c r="H18" i="22"/>
  <c r="C77" i="14"/>
  <c r="F75" i="14"/>
  <c r="F77" i="14"/>
  <c r="F78" i="14"/>
  <c r="C109" i="12"/>
  <c r="D109" i="12"/>
  <c r="D124" i="12"/>
  <c r="D71" i="12"/>
  <c r="D75" i="12"/>
  <c r="D121" i="12"/>
  <c r="F49" i="15"/>
  <c r="F50" i="15"/>
  <c r="F52" i="15"/>
  <c r="B23" i="8"/>
  <c r="B24" i="8"/>
  <c r="B26" i="8"/>
  <c r="B34" i="3"/>
  <c r="B36" i="3"/>
  <c r="B41" i="4"/>
  <c r="D41" i="4"/>
  <c r="B42" i="4"/>
  <c r="B44" i="4"/>
  <c r="G75" i="15"/>
  <c r="I75" i="15"/>
  <c r="I86" i="15"/>
  <c r="G86" i="15"/>
  <c r="G47" i="15"/>
  <c r="H47" i="15"/>
  <c r="J104" i="15"/>
  <c r="C77" i="15"/>
  <c r="E48" i="14"/>
  <c r="E49" i="14"/>
  <c r="E51" i="14"/>
  <c r="E65" i="5"/>
  <c r="E67" i="5"/>
  <c r="E69" i="5"/>
  <c r="C107" i="12"/>
  <c r="D107" i="12"/>
  <c r="D125" i="12"/>
  <c r="C106" i="12"/>
  <c r="C108" i="12"/>
  <c r="C110" i="12"/>
  <c r="D45" i="4"/>
  <c r="B45" i="4"/>
  <c r="G80" i="15"/>
  <c r="C43" i="14"/>
  <c r="G40" i="14"/>
  <c r="I40" i="14"/>
  <c r="D49" i="15"/>
  <c r="D50" i="15"/>
  <c r="D52" i="15"/>
  <c r="G46" i="15"/>
  <c r="C48" i="15"/>
  <c r="E59" i="12"/>
  <c r="E70" i="12"/>
  <c r="C70" i="12"/>
  <c r="C60" i="12"/>
  <c r="C62" i="12"/>
  <c r="C64" i="12"/>
  <c r="C67" i="12"/>
  <c r="C69" i="12"/>
  <c r="C71" i="12"/>
  <c r="H48" i="15"/>
  <c r="H50" i="15"/>
  <c r="H54" i="15"/>
  <c r="J98" i="15"/>
  <c r="D37" i="3"/>
  <c r="B37" i="3"/>
  <c r="F11" i="13"/>
  <c r="F21" i="13"/>
  <c r="C12" i="13"/>
  <c r="C20" i="13"/>
  <c r="G44" i="15"/>
  <c r="B25" i="23"/>
  <c r="E25" i="23"/>
  <c r="D25" i="23"/>
  <c r="G48" i="15"/>
  <c r="C49" i="15"/>
  <c r="G49" i="15"/>
  <c r="I49" i="15"/>
  <c r="I53" i="15"/>
  <c r="G53" i="15"/>
  <c r="B18" i="13"/>
  <c r="C111" i="12"/>
  <c r="E111" i="12"/>
  <c r="E115" i="12"/>
  <c r="C115" i="12"/>
  <c r="D126" i="12"/>
  <c r="H82" i="5"/>
  <c r="I82" i="5"/>
  <c r="E70" i="5"/>
  <c r="G70" i="5"/>
  <c r="G74" i="5"/>
  <c r="E74" i="5"/>
  <c r="E71" i="5"/>
  <c r="E73" i="5"/>
  <c r="E75" i="5"/>
  <c r="B38" i="3"/>
  <c r="D116" i="12"/>
  <c r="D120" i="12"/>
  <c r="D122" i="12"/>
  <c r="B43" i="8"/>
  <c r="D23" i="8"/>
  <c r="D27" i="8"/>
  <c r="B27" i="8"/>
  <c r="B28" i="8"/>
  <c r="G77" i="15"/>
  <c r="C79" i="15"/>
  <c r="B46" i="4"/>
  <c r="G43" i="14"/>
  <c r="C45" i="14"/>
  <c r="H80" i="15"/>
  <c r="H87" i="15"/>
  <c r="H93" i="15"/>
  <c r="J99" i="15"/>
  <c r="J100" i="15"/>
  <c r="J103" i="15"/>
  <c r="J105" i="15"/>
  <c r="E43" i="8"/>
  <c r="E46" i="8" s="1"/>
  <c r="E47" i="8" s="1"/>
  <c r="B45" i="8"/>
  <c r="E18" i="13"/>
  <c r="E21" i="13"/>
  <c r="E22" i="13"/>
  <c r="B20" i="13"/>
  <c r="C47" i="14"/>
  <c r="G45" i="14"/>
  <c r="C112" i="12"/>
  <c r="C114" i="12"/>
  <c r="C116" i="12"/>
  <c r="G79" i="15"/>
  <c r="C81" i="15"/>
  <c r="C50" i="15"/>
  <c r="G50" i="15"/>
  <c r="C52" i="15"/>
  <c r="G52" i="15"/>
  <c r="G54" i="15"/>
  <c r="C83" i="15"/>
  <c r="G81" i="15"/>
  <c r="C48" i="14"/>
  <c r="G48" i="14"/>
  <c r="I48" i="14"/>
  <c r="I52" i="14"/>
  <c r="G52" i="14"/>
  <c r="C49" i="14"/>
  <c r="G47" i="14"/>
  <c r="G49" i="14"/>
  <c r="C51" i="14"/>
  <c r="G51" i="14"/>
  <c r="G53" i="14"/>
  <c r="G83" i="15"/>
  <c r="C85" i="15"/>
  <c r="G85" i="15"/>
  <c r="G87" i="15"/>
</calcChain>
</file>

<file path=xl/sharedStrings.xml><?xml version="1.0" encoding="utf-8"?>
<sst xmlns="http://schemas.openxmlformats.org/spreadsheetml/2006/main" count="1041" uniqueCount="476">
  <si>
    <t>Direkte materialer</t>
  </si>
  <si>
    <t>Indirekte tilvirkn.kostnader</t>
  </si>
  <si>
    <t>Materialavdelingen</t>
  </si>
  <si>
    <t>Driftsregnskapet (selvkost):</t>
  </si>
  <si>
    <t>Selvkost solgte varer</t>
  </si>
  <si>
    <t>Direkte lønn 2</t>
  </si>
  <si>
    <t>Direkte lønn 1</t>
  </si>
  <si>
    <t xml:space="preserve">Tilvirkningsavdeling 2 </t>
  </si>
  <si>
    <t>Tilvirkningsavdeling 1</t>
  </si>
  <si>
    <t>Tilvirkningskost</t>
  </si>
  <si>
    <t>Salgs- og adm. avdelingen</t>
  </si>
  <si>
    <t>Oppgave 7,12</t>
  </si>
  <si>
    <t>a)</t>
  </si>
  <si>
    <t>b)</t>
  </si>
  <si>
    <t>Kalkyle:</t>
  </si>
  <si>
    <t>Tilvirkningskost ferdige varer</t>
  </si>
  <si>
    <t>Reduksjon ferdige varer</t>
  </si>
  <si>
    <t>Økning varer i arbeid</t>
  </si>
  <si>
    <t>Tilvirkningskost solgte varer</t>
  </si>
  <si>
    <t>Salgsinntekt</t>
  </si>
  <si>
    <t>Produksjonresultat</t>
  </si>
  <si>
    <t>Oppgave 7,13</t>
  </si>
  <si>
    <t>Industriproduksjon AS</t>
  </si>
  <si>
    <t>Oppgave 7,14</t>
  </si>
  <si>
    <t>Larvik skoindustri AS</t>
  </si>
  <si>
    <t>Direkte lønn</t>
  </si>
  <si>
    <t xml:space="preserve">Tilvirkningsavdeling </t>
  </si>
  <si>
    <t>Tilvirkningsavdeling 2</t>
  </si>
  <si>
    <t xml:space="preserve">Klikk på cellene for å se utregningene </t>
  </si>
  <si>
    <t>NB mva i oppgavetekst</t>
  </si>
  <si>
    <t>Innkalk.</t>
  </si>
  <si>
    <t>Virkelige</t>
  </si>
  <si>
    <t>Deknings-</t>
  </si>
  <si>
    <t>kostnader</t>
  </si>
  <si>
    <t>differanser</t>
  </si>
  <si>
    <t>Endring varer i arbeid</t>
  </si>
  <si>
    <t>Endring ferdige varer</t>
  </si>
  <si>
    <t>Administrasjonsavd.</t>
  </si>
  <si>
    <t>Salgsinntekter</t>
  </si>
  <si>
    <t>Produktresultat</t>
  </si>
  <si>
    <t>Dekningsdifferanser</t>
  </si>
  <si>
    <t>Produksjonsresultrat</t>
  </si>
  <si>
    <t>Normalperioden:</t>
  </si>
  <si>
    <t xml:space="preserve">Direkte lønn </t>
  </si>
  <si>
    <t xml:space="preserve">Tilvirkningsavdelingen </t>
  </si>
  <si>
    <t>Kalkulert tilvirkningskost</t>
  </si>
  <si>
    <t>Kalkulert tilv.kost ferdigprod. varer</t>
  </si>
  <si>
    <t>Kalkulert tilv.kost solgte varer</t>
  </si>
  <si>
    <t>Selvkost</t>
  </si>
  <si>
    <t>Normalsatser:</t>
  </si>
  <si>
    <t>Oppgave 7,15</t>
  </si>
  <si>
    <t>Direkte lønn avdeling 2</t>
  </si>
  <si>
    <t>Direkte lønn avdeling 1</t>
  </si>
  <si>
    <t>Budsjettert beskjeftigelse tilvirkningsavdeling 2 er 1 000 timer.</t>
  </si>
  <si>
    <t>Oppgave 7,16</t>
  </si>
  <si>
    <t>A</t>
  </si>
  <si>
    <t>Tilleggssatser</t>
  </si>
  <si>
    <t>Innkjøpsavdelingen</t>
  </si>
  <si>
    <t>Tilvirkningsavdelingen</t>
  </si>
  <si>
    <t>Administrasjonsavdelingen</t>
  </si>
  <si>
    <t>B</t>
  </si>
  <si>
    <t>Varer i arbeid</t>
  </si>
  <si>
    <t>Ferdige varer</t>
  </si>
  <si>
    <t>1.1</t>
  </si>
  <si>
    <t>31.1</t>
  </si>
  <si>
    <t>Tillegg innkjøpsavdelingen</t>
  </si>
  <si>
    <t>Tillegg tilv.avdelingen</t>
  </si>
  <si>
    <t>Egentilvirkede varer (varer i arbeid og ferdige varer) skal vurderes til tilvirkningskost.</t>
  </si>
  <si>
    <t>Dette er norsk (og internasjonal) praksis og er nedfelt i den norske regnskapsloven.</t>
  </si>
  <si>
    <t>Derfor tar man ikke med administrasjonskostnader når varene skal verdsettes.</t>
  </si>
  <si>
    <t>C</t>
  </si>
  <si>
    <t>Når driftsregnskapet skal utarbeides, kan det være en idè å lage et inndataområde</t>
  </si>
  <si>
    <t>som kobles sammen med driftsregnskapet. Dette har mange fordeler. Regnskapet</t>
  </si>
  <si>
    <t>blir mer dynamisk. Man kan endre tall i inndataområdet som automatisk fører til</t>
  </si>
  <si>
    <t xml:space="preserve">endringer i regnskapet. For en bedrift som fører månedlige regnskap kan man </t>
  </si>
  <si>
    <t xml:space="preserve">eksempelvis legge inn regnskapsdataene for ny periode i inndataområdet - og </t>
  </si>
  <si>
    <t>man har regnskapet for den nye perioden.</t>
  </si>
  <si>
    <t>INNDATAOMRÅDE</t>
  </si>
  <si>
    <t>Beløp</t>
  </si>
  <si>
    <t>Tilleggs-</t>
  </si>
  <si>
    <t>satser</t>
  </si>
  <si>
    <t>Indirekte kostnader</t>
  </si>
  <si>
    <t>Varer i arbeid 1.1</t>
  </si>
  <si>
    <t>Varer i arbeid 31.1</t>
  </si>
  <si>
    <t>Ferdige varer 1.1</t>
  </si>
  <si>
    <t>Ferdige varer 31.1</t>
  </si>
  <si>
    <t>Tillegg</t>
  </si>
  <si>
    <t>Innkjøpsavdelingen: 25 % av 28.000 = 7.000</t>
  </si>
  <si>
    <t>Tilvirkningsavdelingen: 91 2/3 % av 45.000 = 41.250</t>
  </si>
  <si>
    <t>Administrasjonsavdelingen: 18,75 % av 114 350 = 21.441</t>
  </si>
  <si>
    <t>Normal-</t>
  </si>
  <si>
    <t>Dekn.</t>
  </si>
  <si>
    <t>kost</t>
  </si>
  <si>
    <t>diff.</t>
  </si>
  <si>
    <t>Ind.tilv.kostnader</t>
  </si>
  <si>
    <t>Innkjøpsavd.</t>
  </si>
  <si>
    <t>Tilvirkningsavd.</t>
  </si>
  <si>
    <t>Tilv.kost solgte varer</t>
  </si>
  <si>
    <t>S &amp; adm. avd</t>
  </si>
  <si>
    <t>Produksjonsresultat</t>
  </si>
  <si>
    <t>D</t>
  </si>
  <si>
    <t>Beskj.-</t>
  </si>
  <si>
    <t>Avdeling</t>
  </si>
  <si>
    <t>Aktivitetsmål</t>
  </si>
  <si>
    <t>Normal</t>
  </si>
  <si>
    <t>Januar</t>
  </si>
  <si>
    <t>grad</t>
  </si>
  <si>
    <t>Administrasjon</t>
  </si>
  <si>
    <t>Oppgave 7,18</t>
  </si>
  <si>
    <t>Faste:</t>
  </si>
  <si>
    <t>Variable:</t>
  </si>
  <si>
    <t>Innkalkulerte</t>
  </si>
  <si>
    <t>Budsjetterte</t>
  </si>
  <si>
    <t>Beskjeftigelses-</t>
  </si>
  <si>
    <t>avvik</t>
  </si>
  <si>
    <t>Kostnads-</t>
  </si>
  <si>
    <t>I</t>
  </si>
  <si>
    <t>V</t>
  </si>
  <si>
    <t>(I-B)</t>
  </si>
  <si>
    <t>(B-V)</t>
  </si>
  <si>
    <t>Tilvirkningsavdelingen:</t>
  </si>
  <si>
    <t>Total</t>
  </si>
  <si>
    <t>dekningsdifferanse</t>
  </si>
  <si>
    <t>NB husk at de budsjetterte indirekte variable kostnadene er lik de innkalkulerte variable indirekte kostnadene.</t>
  </si>
  <si>
    <t>N/A</t>
  </si>
  <si>
    <t>Beskjeftigelsesavvik:</t>
  </si>
  <si>
    <t>Kostnadsavvik:</t>
  </si>
  <si>
    <t>tilvirkningskostnadene.</t>
  </si>
  <si>
    <t>Det vil derfor heller ikke oppstå noe beskjeftigelsesavvik i de variable kostnadene (se lærebok)</t>
  </si>
  <si>
    <t>Positivt avvik tilsier høyere aktivitet enn normalt</t>
  </si>
  <si>
    <t xml:space="preserve">Positivt avvik tilsier lavere priser og/eller lavere mengde på/av de indirekte </t>
  </si>
  <si>
    <t>Oppgave 7,19</t>
  </si>
  <si>
    <t>Oppgave 7,20</t>
  </si>
  <si>
    <t>Faste</t>
  </si>
  <si>
    <t>Sum</t>
  </si>
  <si>
    <t>Variable</t>
  </si>
  <si>
    <t>Administrasjonsavdelingen:</t>
  </si>
  <si>
    <t xml:space="preserve">Beskjeftigelsesavviket oppstår kun som en følge av at vi behandler de innkalkulerte faste indirekte kostnadene </t>
  </si>
  <si>
    <t>Det vil derfor heller ikke oppstå noe beskjeftigelsesavvik i de variable kostnadene.</t>
  </si>
  <si>
    <t>som en variabel kostnad (aktivitetsmål * tilleggssats) i driftsregnskapet (se også lærebok).</t>
  </si>
  <si>
    <t>Negative avvik tilsier lavere aktivitet enn normalt.</t>
  </si>
  <si>
    <t xml:space="preserve">Negative avvik tilsier høyere priser og/eller høyere mengde på/av de indirekte </t>
  </si>
  <si>
    <t>kostnadene.</t>
  </si>
  <si>
    <t>INNKALKULERTE KOSTNADER I JANUAR</t>
  </si>
  <si>
    <t>Materialavd.</t>
  </si>
  <si>
    <t>5 % av 77.000 =</t>
  </si>
  <si>
    <t>2,5 % av 77.000 =</t>
  </si>
  <si>
    <t>SUM</t>
  </si>
  <si>
    <t>Direkte lønn i T - 1: 750 timer à kr 50,- =</t>
  </si>
  <si>
    <t>Direkte lønn i T - 2: 600 timer à kr 50,- =</t>
  </si>
  <si>
    <t>T - 1</t>
  </si>
  <si>
    <t>24 % av 37.500 =</t>
  </si>
  <si>
    <t>20 % av 37.500 =</t>
  </si>
  <si>
    <t>T-2</t>
  </si>
  <si>
    <t>600 timer à kr 3,- =</t>
  </si>
  <si>
    <t>600 timer à kr 5,- =</t>
  </si>
  <si>
    <t>Salgs- og adm.avd.</t>
  </si>
  <si>
    <t>8 % av 150.500 =</t>
  </si>
  <si>
    <t>2 % av 150.500 =</t>
  </si>
  <si>
    <t>NORMKOSTNADER FOR JANUAR</t>
  </si>
  <si>
    <t>42.000/12 =</t>
  </si>
  <si>
    <t>90.000/12 =</t>
  </si>
  <si>
    <t>27.000/12 =</t>
  </si>
  <si>
    <t>157.200/12 =</t>
  </si>
  <si>
    <t>M.-avd.</t>
  </si>
  <si>
    <t>T - 2</t>
  </si>
  <si>
    <t>S &amp; Adm</t>
  </si>
  <si>
    <t>Innkalkulerte kostnader</t>
  </si>
  <si>
    <t>Virkelige kostnader</t>
  </si>
  <si>
    <t>Fast</t>
  </si>
  <si>
    <t>Variabel</t>
  </si>
  <si>
    <t>Virkelig</t>
  </si>
  <si>
    <t>Aktivitets-</t>
  </si>
  <si>
    <t>beskj.</t>
  </si>
  <si>
    <t>mål</t>
  </si>
  <si>
    <t>DM</t>
  </si>
  <si>
    <t>DL</t>
  </si>
  <si>
    <t>timeverk</t>
  </si>
  <si>
    <t>I - B</t>
  </si>
  <si>
    <t>B - V</t>
  </si>
  <si>
    <t>Oppgave 7,22</t>
  </si>
  <si>
    <t>Driftsregnskapet (bidrag):</t>
  </si>
  <si>
    <t>Kalkulert tilvirkningsmerkost</t>
  </si>
  <si>
    <t>Kalkulert tilv.merkost ferdigprod. varer</t>
  </si>
  <si>
    <t>Kalkulert tilv. merkost solgte varer</t>
  </si>
  <si>
    <t>Kalkulert merkost solgte varer</t>
  </si>
  <si>
    <t>Kalkulert dekningsbidrag</t>
  </si>
  <si>
    <t>Virkelig dekningsbidrag</t>
  </si>
  <si>
    <t>Faste kostnader:</t>
  </si>
  <si>
    <t>Kalkulert DB baserer seg på de virkelige direkte kostnadene med et</t>
  </si>
  <si>
    <t>tillegg for de innkalkulerte indirekte kostnadene. Virkelig dekningsbidrag</t>
  </si>
  <si>
    <t xml:space="preserve">det ofte vil være forskjell på de innkalkulerte og de virkelige indirekte </t>
  </si>
  <si>
    <t>kostnadene vil det oppstå dekningsdifferanser.</t>
  </si>
  <si>
    <t>c)</t>
  </si>
  <si>
    <t>Produksjonsresultat etter selvkostmetoden</t>
  </si>
  <si>
    <t>Produksjonsresultat etter bidragsmetoden</t>
  </si>
  <si>
    <t>Differanse</t>
  </si>
  <si>
    <t>Beholdningsendringer selvkostmetoden (-60'+100)</t>
  </si>
  <si>
    <t>Beholdningsendringer bidragsmetoden (-30'+50')</t>
  </si>
  <si>
    <t>Forskjell i resultat kommer av forskjellig vurdering av beholdnings-</t>
  </si>
  <si>
    <t>endringene. Vi ser at differansen i resultat tilsvarer forskjellen mellom</t>
  </si>
  <si>
    <t>kost (40 000).</t>
  </si>
  <si>
    <r>
      <t>Indirekte</t>
    </r>
    <r>
      <rPr>
        <b/>
        <i/>
        <sz val="12"/>
        <rFont val="Arial"/>
        <family val="2"/>
      </rPr>
      <t xml:space="preserve"> variable</t>
    </r>
    <r>
      <rPr>
        <i/>
        <sz val="12"/>
        <rFont val="Arial"/>
      </rPr>
      <t xml:space="preserve"> tilvirkn.kostnader:</t>
    </r>
  </si>
  <si>
    <t>finner vi når tallene for de virkelige indirekte kostnadene er klare. Siden</t>
  </si>
  <si>
    <t>beholdningene vurdert til tilvirkningsmerkost (kr 20 000) og tilvirknings-</t>
  </si>
  <si>
    <t>Direkte kostnader</t>
  </si>
  <si>
    <t xml:space="preserve">   Materialavdelingen (faste)</t>
  </si>
  <si>
    <t xml:space="preserve">   Materialavdelingen (variable)</t>
  </si>
  <si>
    <t xml:space="preserve">   Tilvirkningsavdelingen (faste)</t>
  </si>
  <si>
    <t xml:space="preserve">   Tilvirkningsavdelingen (variable)</t>
  </si>
  <si>
    <t>Salgs- og adm.avd. (faste)</t>
  </si>
  <si>
    <t>Salgs og adm. avdelingen</t>
  </si>
  <si>
    <t>Kalkulert tilv.kost ferdigproduserte varer</t>
  </si>
  <si>
    <t>Kalkulert tilvirkningskost solgte varer</t>
  </si>
  <si>
    <t>Direkte material</t>
  </si>
  <si>
    <t>Kalkulert tilv.merkost ferdige varer</t>
  </si>
  <si>
    <t>Beholdningsnedgang ferdige varer</t>
  </si>
  <si>
    <t>Kalkulert tilv.merkost solgte varer</t>
  </si>
  <si>
    <t xml:space="preserve">Tillegg indirekte variable salgs og </t>
  </si>
  <si>
    <t>Indirekte variable tilvirkningskostnader</t>
  </si>
  <si>
    <t>Oppgave 7.23</t>
  </si>
  <si>
    <t>VIA</t>
  </si>
  <si>
    <t>IB</t>
  </si>
  <si>
    <t>UB</t>
  </si>
  <si>
    <t>Tilvirkningsmerkost</t>
  </si>
  <si>
    <t>FV</t>
  </si>
  <si>
    <t>Materialavdelingen (5 % av kr 350 000)</t>
  </si>
  <si>
    <t>Beholdningsreduksjon varer i arbeid</t>
  </si>
  <si>
    <t>Tilvirkningsavdeling (10 % av kr 250 000)</t>
  </si>
  <si>
    <t xml:space="preserve">       adm. kostnader </t>
  </si>
  <si>
    <t xml:space="preserve">   Materialavdelingen</t>
  </si>
  <si>
    <t xml:space="preserve">   Tilvirkningsavdelingen</t>
  </si>
  <si>
    <t xml:space="preserve">   Materialavdelingen </t>
  </si>
  <si>
    <t xml:space="preserve">   Tilvirkningsavdelingen </t>
  </si>
  <si>
    <t>Materialavdelingen (sum)</t>
  </si>
  <si>
    <t>Tilvirkningsavdelingen (sum)</t>
  </si>
  <si>
    <t>Reduksjon beholdning varer i arbeid</t>
  </si>
  <si>
    <t>Reduksjon beholdning ferdige varer</t>
  </si>
  <si>
    <t>Faste kostnader materialavdelingen</t>
  </si>
  <si>
    <t>Faste kostnader tilvirkningsavdelingen</t>
  </si>
  <si>
    <t>Faste kostnader S/A avdelingen</t>
  </si>
  <si>
    <t>Tilleggssatser:</t>
  </si>
  <si>
    <t>Kalkulert selvkost solgte varer</t>
  </si>
  <si>
    <t>Kalkulert tilv.kost</t>
  </si>
  <si>
    <t>Kalkulert tilv.kost ferdigproduksj.</t>
  </si>
  <si>
    <t>Se også oppgave 7,21 a)</t>
  </si>
  <si>
    <r>
      <t xml:space="preserve">Beskjeftigelsesavviket oppstår kun som en følge av at vi behandler de innkalkulerte </t>
    </r>
    <r>
      <rPr>
        <b/>
        <sz val="12"/>
        <rFont val="Arial"/>
        <family val="2"/>
      </rPr>
      <t>faste</t>
    </r>
    <r>
      <rPr>
        <sz val="12"/>
        <rFont val="Arial"/>
        <family val="2"/>
      </rPr>
      <t xml:space="preserve"> indirekte kostnadene </t>
    </r>
  </si>
  <si>
    <t>Avviksanalyse:</t>
  </si>
  <si>
    <t>Beholdningsvurdering (bidrag)</t>
  </si>
  <si>
    <t>Beholdningsvurdering (selvkost):</t>
  </si>
  <si>
    <t>Beholdningsendringer bidragsmetoden (+26'+160')</t>
  </si>
  <si>
    <t>Beholdningsendringer selvkostmetoden (+26'+160')</t>
  </si>
  <si>
    <t>beholdningene vurdert til tilvirkningsmerkost (kr 155 250) og tilvirknings-</t>
  </si>
  <si>
    <t>kost (186 000).</t>
  </si>
  <si>
    <t>Oppgave 7,23 avviksanalysen</t>
  </si>
  <si>
    <t>materialavdelingen:</t>
  </si>
  <si>
    <t>Positivt avvik tilsier høyere aktivitet enn normalt i de enkelte avdelingene.</t>
  </si>
  <si>
    <t>Vi ser at det er negative kostnadsavvik på alle de indirekte kostnadene med</t>
  </si>
  <si>
    <t>unntak av de variable tilvirkningskostnadene. Se også kommentarer til</t>
  </si>
  <si>
    <t>oppgave 7,21.</t>
  </si>
  <si>
    <t>Oppgave 7,24</t>
  </si>
  <si>
    <t>Ordre 1</t>
  </si>
  <si>
    <t>Ordre 2</t>
  </si>
  <si>
    <t>Ordre 3</t>
  </si>
  <si>
    <t>Ordre 4</t>
  </si>
  <si>
    <t>Beskj.</t>
  </si>
  <si>
    <t>Splitter opp normalsatsen i tilvirkningsavdeling 1 i en variabel og en fast del:</t>
  </si>
  <si>
    <t>Tilvirkningsavdeling 1: variable</t>
  </si>
  <si>
    <t>Tilvirkningsavdeling 1: faste</t>
  </si>
  <si>
    <t>variable</t>
  </si>
  <si>
    <t>Oppgave 7,25</t>
  </si>
  <si>
    <t>Klikk på cellene for å se utregningene.</t>
  </si>
  <si>
    <t>Materialforvaltning</t>
  </si>
  <si>
    <t xml:space="preserve">Tilvirkningsavdeling 1 </t>
  </si>
  <si>
    <t>Salgs og adm. avdeling</t>
  </si>
  <si>
    <t>Normalkost</t>
  </si>
  <si>
    <t>Kalk. tilv.kost ferdigprod. varer</t>
  </si>
  <si>
    <t>Varelagervurdering IB:</t>
  </si>
  <si>
    <t>Indir. var. tilvirkningskostnader</t>
  </si>
  <si>
    <t>Kalk. tilv.merkost ferdige varer</t>
  </si>
  <si>
    <t>Kalk.tilv.merkost solgte varer</t>
  </si>
  <si>
    <t>Merkost solgte varer</t>
  </si>
  <si>
    <t>Faste kostnader</t>
  </si>
  <si>
    <t>Tilvirkningsavdelingen 1</t>
  </si>
  <si>
    <t>Tilvirkningsavdelingen 2</t>
  </si>
  <si>
    <t>Salgs.- og adm.avd.</t>
  </si>
  <si>
    <t>Resulat selvkost</t>
  </si>
  <si>
    <t>Resultat bidrag</t>
  </si>
  <si>
    <t>Meroverskudd selvkost</t>
  </si>
  <si>
    <t>Har sin opprinnelse i forskjellig varelagervurdering:</t>
  </si>
  <si>
    <t>Tillegg på kostnadssiden bidrag</t>
  </si>
  <si>
    <t>Tillegg på kostnadssiden selvkost</t>
  </si>
  <si>
    <t>Mertillegg selvkost (resultatreduksjon)</t>
  </si>
  <si>
    <t>d)</t>
  </si>
  <si>
    <t>Faste indirekte kostnader</t>
  </si>
  <si>
    <t>Variable indirekte kostnader</t>
  </si>
  <si>
    <t>Innkalkulerte :</t>
  </si>
  <si>
    <t>Virkelig aktivitet i timer:</t>
  </si>
  <si>
    <t>Sum innkalkulert</t>
  </si>
  <si>
    <t xml:space="preserve">Innkalkulerte indirekte kostn. </t>
  </si>
  <si>
    <t>Virkelige indir. kostnader</t>
  </si>
  <si>
    <t>Underdekning (dekn.diff)</t>
  </si>
  <si>
    <t>tilvirkningskostnadene. Negative avvik vv.</t>
  </si>
  <si>
    <t>Oppgave 7.1</t>
  </si>
  <si>
    <t>Klikk på cellene for å se utregningen.</t>
  </si>
  <si>
    <t>Salgsinntekt u/mva</t>
  </si>
  <si>
    <t>-</t>
  </si>
  <si>
    <t>Varekostnad</t>
  </si>
  <si>
    <t>=</t>
  </si>
  <si>
    <t>Bruttofortjeneste</t>
  </si>
  <si>
    <t>Nettofortjeneste</t>
  </si>
  <si>
    <t>Indirekte kostnader:</t>
  </si>
  <si>
    <t>Avanse:</t>
  </si>
  <si>
    <t>Nettofortjeneste:</t>
  </si>
  <si>
    <t>Merverdiavgiftsats:</t>
  </si>
  <si>
    <t>Inntakskost</t>
  </si>
  <si>
    <t>+</t>
  </si>
  <si>
    <t>Avanse</t>
  </si>
  <si>
    <t>Salgspris u/mva</t>
  </si>
  <si>
    <t>mva</t>
  </si>
  <si>
    <t>Salgspris m/mva</t>
  </si>
  <si>
    <t>Oppgave 7.2</t>
  </si>
  <si>
    <t>Bedriften må opprette kontoer for varekjøp,  varesalg og varebeholdning for hver aveling</t>
  </si>
  <si>
    <t xml:space="preserve">og være nøye med å få en rett registrering av varekjøp og varesalg. De må også sørge </t>
  </si>
  <si>
    <t>for en korrekt vareopptelling for hver avdeling.</t>
  </si>
  <si>
    <t>Lønn til ansatte som bare arbeider i en aveling. Arbeidsgiveravgift på slik lønn. Avskrivninger</t>
  </si>
  <si>
    <t>på anleggsmidler som bare brukes i en bestemt avdeling.</t>
  </si>
  <si>
    <t>Noen eksempler:</t>
  </si>
  <si>
    <t>Husleie etter antall kvadratmeter hver aveling disponerer.</t>
  </si>
  <si>
    <t>Tap på fordringer etter kredittsalget i hver avdeling.</t>
  </si>
  <si>
    <t>Bilkostnader etter avdelingens forbruk for eksempel etter antall kjørte kilometer.</t>
  </si>
  <si>
    <t>Oppgave 7.3</t>
  </si>
  <si>
    <t>Barn og</t>
  </si>
  <si>
    <t>Adm.</t>
  </si>
  <si>
    <t>ungdom</t>
  </si>
  <si>
    <t>Dame</t>
  </si>
  <si>
    <t>Herre</t>
  </si>
  <si>
    <t>Lønn og feriepenger</t>
  </si>
  <si>
    <t>Arbeidsgiveravgift</t>
  </si>
  <si>
    <t>Husleiekostnad</t>
  </si>
  <si>
    <t>Salgskostnader</t>
  </si>
  <si>
    <t>Kalkulatoriske avskrivninger</t>
  </si>
  <si>
    <t>Kalkulatoriske renter</t>
  </si>
  <si>
    <t>Oppgave 7,4</t>
  </si>
  <si>
    <t>Kostnad/</t>
  </si>
  <si>
    <t>inntekt</t>
  </si>
  <si>
    <t>Bildrift</t>
  </si>
  <si>
    <t>Avd. A</t>
  </si>
  <si>
    <t>Avd. B</t>
  </si>
  <si>
    <t>Avd. C</t>
  </si>
  <si>
    <t>Driftsinntekter:</t>
  </si>
  <si>
    <t>Varesalg</t>
  </si>
  <si>
    <t>Direkte kostnader:</t>
  </si>
  <si>
    <t>Betalbare:</t>
  </si>
  <si>
    <t>Lønn</t>
  </si>
  <si>
    <t>Husleie</t>
  </si>
  <si>
    <t>Salg / adm.</t>
  </si>
  <si>
    <t>Diverse dr. kostnader</t>
  </si>
  <si>
    <t>Bilkostnader</t>
  </si>
  <si>
    <t>Tap på fordringer</t>
  </si>
  <si>
    <t>Kalkulatoriske:</t>
  </si>
  <si>
    <t>Avskr. inventer</t>
  </si>
  <si>
    <t>Avskr. biler</t>
  </si>
  <si>
    <t>Rentekostnad</t>
  </si>
  <si>
    <t>Sum indirekte kostnader</t>
  </si>
  <si>
    <t>Bildrift fordeles</t>
  </si>
  <si>
    <t>Bruttofortjeneste:</t>
  </si>
  <si>
    <t>Indirekte kostnader i %:</t>
  </si>
  <si>
    <t>Nettofortjenesten:</t>
  </si>
  <si>
    <t xml:space="preserve">Vi ser at det er problemer i avdeling C. Dette kommer av lavere avanse/bruttofortjeneste </t>
  </si>
  <si>
    <t>og høyere indirekte kostnader enn i de to andre avdelingene.</t>
  </si>
  <si>
    <t>Oppgave 7.5</t>
  </si>
  <si>
    <t>(3 450 000 + 50 000)</t>
  </si>
  <si>
    <t>Br.fortjeneste i %</t>
  </si>
  <si>
    <t xml:space="preserve">Årsaker til forskjell mellom oppnådd bruttofortjeneste og budsjettert </t>
  </si>
  <si>
    <t>bruttofortjeneste:</t>
  </si>
  <si>
    <t>*</t>
  </si>
  <si>
    <t>lavere salgsinntekter fordi det er gitt rabatter og prisavslag</t>
  </si>
  <si>
    <t>varekostnaden er høyere enn den burde være pga. svinn.</t>
  </si>
  <si>
    <t>feil i vareopptellingen.</t>
  </si>
  <si>
    <t>Oppgave 7.6</t>
  </si>
  <si>
    <t>Budsjett</t>
  </si>
  <si>
    <t>Regnskap</t>
  </si>
  <si>
    <t>Avvik</t>
  </si>
  <si>
    <t xml:space="preserve">Salgsinntekt </t>
  </si>
  <si>
    <t>* Solgt mindre mengde varer enn budsjettert og / eller gitt rabatter og prisavslag.</t>
  </si>
  <si>
    <t>* Svinn og / eller feil vareopptelling</t>
  </si>
  <si>
    <t>Dersom vi forutsetter at alle varene er kalkulert med 66 2/3 % avanse (tilsvarer</t>
  </si>
  <si>
    <t xml:space="preserve">40 % bruttofortjeneste) og solgt til full pris, burde varekostnaden ha vært </t>
  </si>
  <si>
    <r>
      <t xml:space="preserve">kr 560 000 * 100 / 166 2/3 = </t>
    </r>
    <r>
      <rPr>
        <u/>
        <sz val="12"/>
        <rFont val="Arial"/>
        <family val="2"/>
      </rPr>
      <t>kr 336 000</t>
    </r>
    <r>
      <rPr>
        <sz val="12"/>
        <rFont val="Arial"/>
      </rPr>
      <t>.</t>
    </r>
  </si>
  <si>
    <t>Varekostnaden er med denne forutsetningen kr (355 000 - 336 000) = kr 19 000</t>
  </si>
  <si>
    <t>for høy. Dersom varetellingen er korrekt, er svinnet i perioden kr 19 000.</t>
  </si>
  <si>
    <t>Oppgave 7.7</t>
  </si>
  <si>
    <r>
      <t xml:space="preserve">Varekostnaden burde vært: kr 183 000 * 55 / 100 = </t>
    </r>
    <r>
      <rPr>
        <u/>
        <sz val="12"/>
        <rFont val="Arial"/>
        <family val="2"/>
      </rPr>
      <t>kr 100 650</t>
    </r>
  </si>
  <si>
    <t>Varekostnaden er kr (108 000 - 100 650) = kr 7 350 for høy. Forutsatt korrekt</t>
  </si>
  <si>
    <r>
      <t xml:space="preserve">vareopptelling i april er svinnet </t>
    </r>
    <r>
      <rPr>
        <u/>
        <sz val="12"/>
        <rFont val="Arial"/>
        <family val="2"/>
      </rPr>
      <t>kr 7 350</t>
    </r>
    <r>
      <rPr>
        <sz val="12"/>
        <rFont val="Arial"/>
      </rPr>
      <t>.</t>
    </r>
  </si>
  <si>
    <t>Forutsetter at det ikke er gitt rabatter og at varetellingen er korrekt.</t>
  </si>
  <si>
    <t>Avvik i salgsinntekten</t>
  </si>
  <si>
    <t>Kommer av at det er solgt en større mengde</t>
  </si>
  <si>
    <t>Avviket i varekostnaden:</t>
  </si>
  <si>
    <r>
      <t xml:space="preserve">Kommer av at det er solgt en større mengde kr (100 650 - 88 000) = </t>
    </r>
    <r>
      <rPr>
        <u/>
        <sz val="12"/>
        <rFont val="Arial"/>
        <family val="2"/>
      </rPr>
      <t>kr 12 650</t>
    </r>
    <r>
      <rPr>
        <sz val="12"/>
        <rFont val="Arial"/>
      </rPr>
      <t>.</t>
    </r>
  </si>
  <si>
    <r>
      <t xml:space="preserve">Resten må komme i fra svinn kr (20 000 - 12 650) = </t>
    </r>
    <r>
      <rPr>
        <u/>
        <sz val="12"/>
        <rFont val="Arial"/>
        <family val="2"/>
      </rPr>
      <t>7 350</t>
    </r>
  </si>
  <si>
    <t>Avvik i de indirekte kostnadene:</t>
  </si>
  <si>
    <t>Vanskelig å si noe annet enn at siden en kostnad består av en prisdel og</t>
  </si>
  <si>
    <t>en mengedel må en eller begge disse delene være høyere enn budsjettert.</t>
  </si>
  <si>
    <t>Oppgave 7.8</t>
  </si>
  <si>
    <t>a og b)</t>
  </si>
  <si>
    <t>Avvik kr</t>
  </si>
  <si>
    <t>Avvik %</t>
  </si>
  <si>
    <t>Bruttofortjeneste i %:</t>
  </si>
  <si>
    <t>Salgsinntekt etter rab. og prisavsl.</t>
  </si>
  <si>
    <t>Rabatter og prisavslag</t>
  </si>
  <si>
    <t>Salgsinntekt før rab. og prisavsl.</t>
  </si>
  <si>
    <r>
      <t xml:space="preserve">kalkulert varekostnad kr 1 850 000 * 100 / 125 = </t>
    </r>
    <r>
      <rPr>
        <u/>
        <sz val="12"/>
        <rFont val="Arial"/>
        <family val="2"/>
      </rPr>
      <t>kr 1 480 000</t>
    </r>
  </si>
  <si>
    <r>
      <t xml:space="preserve">svinnet utgjør kr (1 510 000 - 1 480 000) = </t>
    </r>
    <r>
      <rPr>
        <u/>
        <sz val="12"/>
        <rFont val="Arial"/>
        <family val="2"/>
      </rPr>
      <t>kr 30 000</t>
    </r>
  </si>
  <si>
    <t>Oppgave 7,9</t>
  </si>
  <si>
    <t>Tekst</t>
  </si>
  <si>
    <t>kroner</t>
  </si>
  <si>
    <t>prosent</t>
  </si>
  <si>
    <t>Andre driftskostnader</t>
  </si>
  <si>
    <t>Avskrivninger</t>
  </si>
  <si>
    <t>Renter</t>
  </si>
  <si>
    <r>
      <t xml:space="preserve">Varekjøpet = varekostnad + beholdningsøkning = kr (1 750 000 + 60 000) = </t>
    </r>
    <r>
      <rPr>
        <u/>
        <sz val="12"/>
        <rFont val="Arial"/>
        <family val="2"/>
      </rPr>
      <t>kr 1 810 000</t>
    </r>
  </si>
  <si>
    <t>kalkulert varekostnad (2 700'*0,7)</t>
  </si>
  <si>
    <t>virkelig varekostnad</t>
  </si>
  <si>
    <t>Mulige årsaker til den positive differansen:</t>
  </si>
  <si>
    <t>* feil vareopptelling</t>
  </si>
  <si>
    <t>* det er kalkulert med en høyere avansesats enn budsjettert.</t>
  </si>
  <si>
    <t>Avvik på de indirekte kostnadene:</t>
  </si>
  <si>
    <t>Avviket er så stort at det antagelig må skyldes at bedriften har økt bemanningen, dvs. et mengdeavvik.</t>
  </si>
  <si>
    <t>Husleiekostnad:</t>
  </si>
  <si>
    <t>*Prisavvik: prisen per kvadratmeter er økt mer enn budsjettert.</t>
  </si>
  <si>
    <t>*mengdeavvik: bedriften leier flere kvadratmeter enn budsjettert.</t>
  </si>
  <si>
    <t>Andre driftskostnader:</t>
  </si>
  <si>
    <t>Vanskelig å kommentere utover at avviket er positivt.</t>
  </si>
  <si>
    <t>Avskrivninger:</t>
  </si>
  <si>
    <t>Mest sannsynlig et mengdeavvik: Bedriften har skaffet seg flere driftsmidler enn budsjettert.</t>
  </si>
  <si>
    <t>Rentekostnader:</t>
  </si>
  <si>
    <t>Mest sannsynlig et prisavvik: høyere rentesats enn budsjettert.</t>
  </si>
  <si>
    <t>Oppgave 7,10</t>
  </si>
  <si>
    <t>Garn</t>
  </si>
  <si>
    <t>Stoffer</t>
  </si>
  <si>
    <t>Indirekte var. kostnader</t>
  </si>
  <si>
    <t>Dekningsbidrag</t>
  </si>
  <si>
    <t>Dekningsgraden:</t>
  </si>
  <si>
    <t>Dekningspunktomsetning:</t>
  </si>
  <si>
    <t>(53 500 * 100 / 29,9)</t>
  </si>
  <si>
    <t>Sikkerhetsmargin:</t>
  </si>
  <si>
    <t>(228 400 - 179 170)</t>
  </si>
  <si>
    <t>Sikkerhetsmargin i %:</t>
  </si>
  <si>
    <t>(49 230 * 100 / 228 400)</t>
  </si>
  <si>
    <t xml:space="preserve">Hjelpediagram for diagrammet på neste ark. Marker i diagramet </t>
  </si>
  <si>
    <t>(se diagram lærebok).</t>
  </si>
  <si>
    <t>Omsetning</t>
  </si>
  <si>
    <t>STI</t>
  </si>
  <si>
    <t>VTK</t>
  </si>
  <si>
    <t>STK</t>
  </si>
  <si>
    <t>Oppgave 7,11</t>
  </si>
  <si>
    <t>Tekst:</t>
  </si>
  <si>
    <t>Klær</t>
  </si>
  <si>
    <t>Skotøy</t>
  </si>
  <si>
    <t>Indirekte variable kostnader</t>
  </si>
  <si>
    <t>Lønn og sosiale kostnader</t>
  </si>
  <si>
    <t>Div. felleskostnader</t>
  </si>
  <si>
    <t>Div. kostnader klær</t>
  </si>
  <si>
    <t>Div. kostnader skotøy</t>
  </si>
  <si>
    <t>Sum indirekte var. kostnader</t>
  </si>
  <si>
    <t>Indirekte faste kostnader</t>
  </si>
  <si>
    <t>Diverse felleskostnader</t>
  </si>
  <si>
    <t>Kalkulatoriske rentekostnader</t>
  </si>
  <si>
    <t>Sum indirekte faste kostnader</t>
  </si>
  <si>
    <t>Bruttofortjeneste i %</t>
  </si>
  <si>
    <t>Tilleggssats indirekte kostnader:</t>
  </si>
  <si>
    <t>(243 500* 100 / 43,6)</t>
  </si>
  <si>
    <t>(700 000 - 558 669)</t>
  </si>
  <si>
    <t>(141 331 * 100 / 700 000)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</si>
</sst>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0.0\ %"/>
    <numFmt numFmtId="167" formatCode="_(* #,##0_);_(* \(#,##0\);_(* &quot;-&quot;??_);_(@_)"/>
    <numFmt numFmtId="168" formatCode="_(&quot;kr&quot;\ * #,##0_);_(&quot;kr&quot;\ * \(#,##0\);_(&quot;kr&quot;\ * &quot;-&quot;??_);_(@_)"/>
    <numFmt numFmtId="169" formatCode="&quot;kr&quot;\ #,##0"/>
  </numFmts>
  <fonts count="29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"/>
      <name val="Arial"/>
    </font>
    <font>
      <sz val="12"/>
      <name val="Arial"/>
    </font>
    <font>
      <i/>
      <sz val="12"/>
      <name val="Arial"/>
    </font>
    <font>
      <b/>
      <i/>
      <sz val="12"/>
      <name val="Arial"/>
      <family val="2"/>
    </font>
    <font>
      <u/>
      <sz val="12"/>
      <name val="Arial"/>
      <family val="2"/>
    </font>
    <font>
      <b/>
      <sz val="12"/>
      <name val="Arial"/>
    </font>
    <font>
      <sz val="12"/>
      <name val="MS Sans Serif"/>
      <family val="2"/>
    </font>
    <font>
      <i/>
      <sz val="12"/>
      <name val="MS Sans Serif"/>
      <family val="2"/>
    </font>
    <font>
      <sz val="11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u/>
      <sz val="11"/>
      <name val="Arial"/>
      <family val="2"/>
    </font>
    <font>
      <i/>
      <sz val="11"/>
      <name val="Arial"/>
    </font>
    <font>
      <sz val="11"/>
      <name val="Arial"/>
    </font>
    <font>
      <b/>
      <sz val="12"/>
      <name val="Times New Roman"/>
      <family val="1"/>
    </font>
    <font>
      <b/>
      <sz val="11"/>
      <name val="Arial"/>
      <family val="2"/>
    </font>
    <font>
      <b/>
      <i/>
      <sz val="11"/>
      <name val="Arial"/>
    </font>
    <font>
      <b/>
      <i/>
      <sz val="11"/>
      <name val="Arial"/>
      <family val="2"/>
    </font>
    <font>
      <sz val="11"/>
      <name val="MS Sans Serif"/>
      <family val="2"/>
    </font>
    <font>
      <i/>
      <sz val="11"/>
      <name val="MS Sans Serif"/>
      <family val="2"/>
    </font>
    <font>
      <i/>
      <sz val="11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373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Border="1"/>
    <xf numFmtId="3" fontId="2" fillId="0" borderId="0" xfId="0" applyNumberFormat="1" applyFont="1" applyFill="1" applyBorder="1"/>
    <xf numFmtId="10" fontId="2" fillId="0" borderId="0" xfId="3" applyNumberFormat="1" applyFont="1"/>
    <xf numFmtId="0" fontId="3" fillId="0" borderId="0" xfId="0" applyFont="1" applyBorder="1"/>
    <xf numFmtId="0" fontId="3" fillId="0" borderId="0" xfId="0" quotePrefix="1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/>
    <xf numFmtId="4" fontId="2" fillId="0" borderId="0" xfId="0" applyNumberFormat="1" applyFont="1"/>
    <xf numFmtId="0" fontId="2" fillId="0" borderId="1" xfId="0" quotePrefix="1" applyFont="1" applyBorder="1" applyAlignment="1">
      <alignment horizontal="left"/>
    </xf>
    <xf numFmtId="3" fontId="2" fillId="0" borderId="1" xfId="0" applyNumberFormat="1" applyFont="1" applyBorder="1"/>
    <xf numFmtId="0" fontId="2" fillId="0" borderId="2" xfId="0" applyFont="1" applyBorder="1"/>
    <xf numFmtId="3" fontId="2" fillId="0" borderId="2" xfId="0" applyNumberFormat="1" applyFont="1" applyBorder="1"/>
    <xf numFmtId="4" fontId="2" fillId="0" borderId="2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0" fontId="3" fillId="0" borderId="0" xfId="0" quotePrefix="1" applyFont="1" applyBorder="1" applyAlignment="1">
      <alignment horizontal="left"/>
    </xf>
    <xf numFmtId="0" fontId="3" fillId="0" borderId="0" xfId="0" applyFont="1"/>
    <xf numFmtId="0" fontId="6" fillId="0" borderId="0" xfId="0" applyFont="1"/>
    <xf numFmtId="0" fontId="7" fillId="0" borderId="0" xfId="0" applyFont="1"/>
    <xf numFmtId="3" fontId="6" fillId="0" borderId="0" xfId="0" applyNumberFormat="1" applyFont="1"/>
    <xf numFmtId="0" fontId="6" fillId="0" borderId="3" xfId="0" applyFont="1" applyBorder="1"/>
    <xf numFmtId="3" fontId="6" fillId="0" borderId="4" xfId="0" quotePrefix="1" applyNumberFormat="1" applyFont="1" applyBorder="1" applyAlignment="1">
      <alignment horizontal="center"/>
    </xf>
    <xf numFmtId="3" fontId="6" fillId="0" borderId="5" xfId="0" applyNumberFormat="1" applyFont="1" applyBorder="1"/>
    <xf numFmtId="3" fontId="6" fillId="0" borderId="4" xfId="0" applyNumberFormat="1" applyFont="1" applyBorder="1"/>
    <xf numFmtId="0" fontId="6" fillId="0" borderId="6" xfId="0" applyFont="1" applyBorder="1"/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/>
    <xf numFmtId="3" fontId="6" fillId="0" borderId="7" xfId="0" applyNumberFormat="1" applyFont="1" applyBorder="1"/>
    <xf numFmtId="0" fontId="6" fillId="0" borderId="9" xfId="0" applyFont="1" applyBorder="1"/>
    <xf numFmtId="3" fontId="6" fillId="0" borderId="9" xfId="0" applyNumberFormat="1" applyFont="1" applyBorder="1"/>
    <xf numFmtId="0" fontId="6" fillId="0" borderId="9" xfId="0" quotePrefix="1" applyFont="1" applyBorder="1" applyAlignment="1">
      <alignment horizontal="left"/>
    </xf>
    <xf numFmtId="0" fontId="7" fillId="0" borderId="9" xfId="0" applyFont="1" applyBorder="1"/>
    <xf numFmtId="0" fontId="6" fillId="0" borderId="10" xfId="0" quotePrefix="1" applyFont="1" applyBorder="1" applyAlignment="1">
      <alignment horizontal="left"/>
    </xf>
    <xf numFmtId="3" fontId="6" fillId="0" borderId="11" xfId="0" applyNumberFormat="1" applyFont="1" applyBorder="1"/>
    <xf numFmtId="0" fontId="6" fillId="0" borderId="7" xfId="0" applyFont="1" applyBorder="1"/>
    <xf numFmtId="10" fontId="6" fillId="0" borderId="0" xfId="3" applyNumberFormat="1" applyFont="1"/>
    <xf numFmtId="0" fontId="8" fillId="0" borderId="0" xfId="0" applyFont="1"/>
    <xf numFmtId="0" fontId="6" fillId="0" borderId="1" xfId="0" applyFont="1" applyBorder="1"/>
    <xf numFmtId="3" fontId="6" fillId="0" borderId="1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0" fontId="6" fillId="0" borderId="9" xfId="0" applyFont="1" applyBorder="1" applyAlignment="1">
      <alignment horizontal="left"/>
    </xf>
    <xf numFmtId="0" fontId="6" fillId="0" borderId="0" xfId="0" applyFont="1" applyBorder="1"/>
    <xf numFmtId="3" fontId="6" fillId="0" borderId="0" xfId="0" applyNumberFormat="1" applyFont="1" applyBorder="1"/>
    <xf numFmtId="164" fontId="6" fillId="0" borderId="0" xfId="5" applyFont="1" applyBorder="1"/>
    <xf numFmtId="0" fontId="6" fillId="0" borderId="0" xfId="0" quotePrefix="1" applyFont="1" applyBorder="1" applyAlignment="1">
      <alignment horizontal="left"/>
    </xf>
    <xf numFmtId="0" fontId="9" fillId="0" borderId="0" xfId="0" applyFont="1"/>
    <xf numFmtId="0" fontId="2" fillId="0" borderId="12" xfId="0" applyFont="1" applyBorder="1"/>
    <xf numFmtId="0" fontId="2" fillId="0" borderId="13" xfId="0" applyFont="1" applyBorder="1"/>
    <xf numFmtId="0" fontId="10" fillId="0" borderId="14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10" fillId="0" borderId="16" xfId="0" applyFont="1" applyBorder="1" applyAlignment="1">
      <alignment horizontal="centerContinuous"/>
    </xf>
    <xf numFmtId="0" fontId="10" fillId="0" borderId="17" xfId="0" applyFont="1" applyBorder="1" applyAlignment="1">
      <alignment horizontal="centerContinuous"/>
    </xf>
    <xf numFmtId="0" fontId="2" fillId="0" borderId="18" xfId="0" applyFont="1" applyBorder="1"/>
    <xf numFmtId="0" fontId="2" fillId="0" borderId="6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9" xfId="0" quotePrefix="1" applyFont="1" applyBorder="1" applyAlignment="1">
      <alignment horizontal="center"/>
    </xf>
    <xf numFmtId="0" fontId="2" fillId="0" borderId="20" xfId="0" applyFont="1" applyBorder="1"/>
    <xf numFmtId="3" fontId="2" fillId="0" borderId="10" xfId="0" applyNumberFormat="1" applyFont="1" applyBorder="1"/>
    <xf numFmtId="3" fontId="2" fillId="0" borderId="21" xfId="0" applyNumberFormat="1" applyFont="1" applyBorder="1"/>
    <xf numFmtId="0" fontId="2" fillId="0" borderId="22" xfId="0" applyFont="1" applyBorder="1"/>
    <xf numFmtId="0" fontId="2" fillId="0" borderId="23" xfId="0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0" fontId="2" fillId="0" borderId="3" xfId="0" applyFont="1" applyBorder="1"/>
    <xf numFmtId="0" fontId="2" fillId="0" borderId="26" xfId="0" applyFont="1" applyBorder="1"/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10" xfId="0" applyFont="1" applyBorder="1"/>
    <xf numFmtId="3" fontId="2" fillId="0" borderId="9" xfId="0" applyNumberFormat="1" applyFont="1" applyBorder="1"/>
    <xf numFmtId="0" fontId="2" fillId="0" borderId="27" xfId="0" applyFont="1" applyBorder="1"/>
    <xf numFmtId="3" fontId="2" fillId="0" borderId="27" xfId="0" applyNumberFormat="1" applyFont="1" applyBorder="1"/>
    <xf numFmtId="0" fontId="4" fillId="0" borderId="10" xfId="0" applyFont="1" applyBorder="1"/>
    <xf numFmtId="166" fontId="2" fillId="0" borderId="27" xfId="3" applyNumberFormat="1" applyFont="1" applyBorder="1"/>
    <xf numFmtId="10" fontId="2" fillId="0" borderId="27" xfId="3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11" fillId="0" borderId="3" xfId="0" applyFont="1" applyBorder="1"/>
    <xf numFmtId="0" fontId="11" fillId="0" borderId="26" xfId="0" applyFont="1" applyBorder="1"/>
    <xf numFmtId="0" fontId="2" fillId="0" borderId="5" xfId="0" applyFont="1" applyBorder="1"/>
    <xf numFmtId="3" fontId="11" fillId="0" borderId="4" xfId="0" applyNumberFormat="1" applyFont="1" applyBorder="1" applyAlignment="1">
      <alignment horizontal="center"/>
    </xf>
    <xf numFmtId="3" fontId="11" fillId="0" borderId="26" xfId="0" applyNumberFormat="1" applyFont="1" applyBorder="1" applyAlignment="1">
      <alignment horizontal="center"/>
    </xf>
    <xf numFmtId="0" fontId="11" fillId="0" borderId="6" xfId="0" applyFont="1" applyBorder="1"/>
    <xf numFmtId="0" fontId="11" fillId="0" borderId="1" xfId="0" applyFont="1" applyBorder="1"/>
    <xf numFmtId="0" fontId="2" fillId="0" borderId="8" xfId="0" applyFont="1" applyBorder="1"/>
    <xf numFmtId="3" fontId="11" fillId="0" borderId="7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10" xfId="0" applyFont="1" applyBorder="1"/>
    <xf numFmtId="0" fontId="11" fillId="0" borderId="0" xfId="0" applyFont="1" applyBorder="1"/>
    <xf numFmtId="3" fontId="11" fillId="0" borderId="9" xfId="0" applyNumberFormat="1" applyFont="1" applyBorder="1"/>
    <xf numFmtId="3" fontId="11" fillId="0" borderId="0" xfId="0" applyNumberFormat="1" applyFont="1" applyBorder="1"/>
    <xf numFmtId="0" fontId="12" fillId="0" borderId="10" xfId="0" applyFont="1" applyBorder="1"/>
    <xf numFmtId="3" fontId="11" fillId="0" borderId="7" xfId="0" applyNumberFormat="1" applyFont="1" applyBorder="1"/>
    <xf numFmtId="3" fontId="11" fillId="0" borderId="11" xfId="0" applyNumberFormat="1" applyFont="1" applyBorder="1"/>
    <xf numFmtId="3" fontId="2" fillId="0" borderId="0" xfId="0" applyNumberFormat="1" applyFont="1"/>
    <xf numFmtId="0" fontId="10" fillId="0" borderId="3" xfId="0" applyFont="1" applyBorder="1"/>
    <xf numFmtId="0" fontId="10" fillId="0" borderId="26" xfId="0" applyFont="1" applyBorder="1"/>
    <xf numFmtId="3" fontId="10" fillId="0" borderId="3" xfId="0" applyNumberFormat="1" applyFont="1" applyBorder="1"/>
    <xf numFmtId="3" fontId="10" fillId="0" borderId="26" xfId="0" applyNumberFormat="1" applyFont="1" applyBorder="1"/>
    <xf numFmtId="3" fontId="10" fillId="0" borderId="5" xfId="0" applyNumberFormat="1" applyFont="1" applyBorder="1"/>
    <xf numFmtId="3" fontId="10" fillId="0" borderId="4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1" xfId="0" applyFont="1" applyBorder="1"/>
    <xf numFmtId="3" fontId="10" fillId="0" borderId="1" xfId="0" applyNumberFormat="1" applyFont="1" applyBorder="1"/>
    <xf numFmtId="3" fontId="10" fillId="0" borderId="8" xfId="0" applyNumberFormat="1" applyFont="1" applyBorder="1"/>
    <xf numFmtId="3" fontId="10" fillId="0" borderId="1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6" fontId="2" fillId="0" borderId="8" xfId="3" applyNumberFormat="1" applyFont="1" applyBorder="1"/>
    <xf numFmtId="3" fontId="14" fillId="0" borderId="11" xfId="0" applyNumberFormat="1" applyFont="1" applyBorder="1" applyAlignment="1">
      <alignment horizontal="center" vertical="top" wrapText="1"/>
    </xf>
    <xf numFmtId="3" fontId="14" fillId="0" borderId="3" xfId="0" applyNumberFormat="1" applyFont="1" applyBorder="1" applyAlignment="1">
      <alignment vertical="top" wrapText="1"/>
    </xf>
    <xf numFmtId="3" fontId="14" fillId="0" borderId="26" xfId="0" applyNumberFormat="1" applyFont="1" applyBorder="1" applyAlignment="1">
      <alignment horizontal="center" vertical="top" wrapText="1"/>
    </xf>
    <xf numFmtId="3" fontId="14" fillId="0" borderId="5" xfId="0" applyNumberFormat="1" applyFont="1" applyBorder="1" applyAlignment="1">
      <alignment horizontal="center" vertical="top" wrapText="1"/>
    </xf>
    <xf numFmtId="3" fontId="14" fillId="0" borderId="6" xfId="0" applyNumberFormat="1" applyFont="1" applyBorder="1" applyAlignment="1">
      <alignment vertical="top" wrapText="1"/>
    </xf>
    <xf numFmtId="3" fontId="14" fillId="0" borderId="1" xfId="0" applyNumberFormat="1" applyFont="1" applyBorder="1" applyAlignment="1">
      <alignment horizontal="center" vertical="top" wrapText="1"/>
    </xf>
    <xf numFmtId="3" fontId="14" fillId="0" borderId="8" xfId="0" applyNumberFormat="1" applyFont="1" applyBorder="1" applyAlignment="1">
      <alignment horizontal="center" vertical="top" wrapText="1"/>
    </xf>
    <xf numFmtId="3" fontId="14" fillId="0" borderId="4" xfId="0" applyNumberFormat="1" applyFont="1" applyBorder="1" applyAlignment="1">
      <alignment vertical="top" wrapText="1"/>
    </xf>
    <xf numFmtId="3" fontId="14" fillId="0" borderId="9" xfId="0" applyNumberFormat="1" applyFont="1" applyBorder="1" applyAlignment="1">
      <alignment vertical="top" wrapText="1"/>
    </xf>
    <xf numFmtId="3" fontId="14" fillId="0" borderId="7" xfId="0" applyNumberFormat="1" applyFont="1" applyBorder="1" applyAlignment="1">
      <alignment vertical="top" wrapText="1"/>
    </xf>
    <xf numFmtId="3" fontId="14" fillId="0" borderId="4" xfId="0" applyNumberFormat="1" applyFont="1" applyBorder="1" applyAlignment="1">
      <alignment horizontal="center" vertical="top" wrapText="1"/>
    </xf>
    <xf numFmtId="3" fontId="14" fillId="0" borderId="9" xfId="0" applyNumberFormat="1" applyFont="1" applyBorder="1" applyAlignment="1">
      <alignment horizontal="center" vertical="top" wrapText="1"/>
    </xf>
    <xf numFmtId="3" fontId="14" fillId="0" borderId="7" xfId="0" applyNumberFormat="1" applyFont="1" applyBorder="1" applyAlignment="1">
      <alignment horizontal="center" vertical="top" wrapText="1"/>
    </xf>
    <xf numFmtId="3" fontId="6" fillId="0" borderId="0" xfId="0" applyNumberFormat="1" applyFont="1" applyAlignment="1">
      <alignment horizontal="center"/>
    </xf>
    <xf numFmtId="3" fontId="14" fillId="0" borderId="10" xfId="0" applyNumberFormat="1" applyFont="1" applyBorder="1" applyAlignment="1">
      <alignment vertical="top" wrapText="1"/>
    </xf>
    <xf numFmtId="3" fontId="14" fillId="0" borderId="9" xfId="0" applyNumberFormat="1" applyFont="1" applyBorder="1" applyAlignment="1">
      <alignment horizontal="right" vertical="top" wrapText="1"/>
    </xf>
    <xf numFmtId="3" fontId="14" fillId="0" borderId="7" xfId="0" applyNumberFormat="1" applyFont="1" applyBorder="1" applyAlignment="1">
      <alignment horizontal="right" vertical="top" wrapText="1"/>
    </xf>
    <xf numFmtId="3" fontId="14" fillId="0" borderId="0" xfId="0" applyNumberFormat="1" applyFont="1" applyBorder="1" applyAlignment="1">
      <alignment horizontal="right" vertical="top" wrapText="1"/>
    </xf>
    <xf numFmtId="3" fontId="14" fillId="0" borderId="27" xfId="0" applyNumberFormat="1" applyFont="1" applyBorder="1" applyAlignment="1">
      <alignment horizontal="right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4" fillId="0" borderId="8" xfId="0" applyNumberFormat="1" applyFont="1" applyBorder="1" applyAlignment="1">
      <alignment horizontal="right" vertical="top" wrapText="1"/>
    </xf>
    <xf numFmtId="0" fontId="2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13" fillId="0" borderId="0" xfId="0" applyFont="1"/>
    <xf numFmtId="0" fontId="16" fillId="0" borderId="0" xfId="0" applyFont="1"/>
    <xf numFmtId="3" fontId="13" fillId="0" borderId="0" xfId="0" applyNumberFormat="1" applyFont="1"/>
    <xf numFmtId="3" fontId="13" fillId="0" borderId="2" xfId="0" applyNumberFormat="1" applyFont="1" applyBorder="1"/>
    <xf numFmtId="3" fontId="13" fillId="0" borderId="0" xfId="0" applyNumberFormat="1" applyFont="1" applyBorder="1"/>
    <xf numFmtId="0" fontId="13" fillId="0" borderId="3" xfId="0" applyFont="1" applyBorder="1"/>
    <xf numFmtId="0" fontId="13" fillId="0" borderId="26" xfId="0" applyFont="1" applyBorder="1"/>
    <xf numFmtId="3" fontId="13" fillId="0" borderId="5" xfId="0" applyNumberFormat="1" applyFont="1" applyBorder="1"/>
    <xf numFmtId="0" fontId="13" fillId="0" borderId="6" xfId="0" applyFont="1" applyBorder="1"/>
    <xf numFmtId="0" fontId="13" fillId="0" borderId="1" xfId="0" applyFont="1" applyBorder="1"/>
    <xf numFmtId="3" fontId="13" fillId="0" borderId="8" xfId="0" applyNumberFormat="1" applyFont="1" applyBorder="1"/>
    <xf numFmtId="0" fontId="13" fillId="0" borderId="0" xfId="0" applyFont="1" applyBorder="1"/>
    <xf numFmtId="0" fontId="13" fillId="0" borderId="2" xfId="0" applyFont="1" applyBorder="1" applyAlignment="1">
      <alignment horizontal="center"/>
    </xf>
    <xf numFmtId="0" fontId="13" fillId="0" borderId="28" xfId="0" applyFont="1" applyBorder="1"/>
    <xf numFmtId="0" fontId="13" fillId="0" borderId="16" xfId="0" applyFont="1" applyBorder="1"/>
    <xf numFmtId="0" fontId="13" fillId="0" borderId="14" xfId="0" applyFont="1" applyBorder="1"/>
    <xf numFmtId="0" fontId="8" fillId="0" borderId="11" xfId="0" applyFont="1" applyBorder="1"/>
    <xf numFmtId="0" fontId="13" fillId="0" borderId="14" xfId="0" applyFont="1" applyBorder="1" applyAlignment="1">
      <alignment horizontal="center"/>
    </xf>
    <xf numFmtId="0" fontId="13" fillId="0" borderId="20" xfId="0" applyFont="1" applyBorder="1"/>
    <xf numFmtId="0" fontId="13" fillId="0" borderId="10" xfId="0" applyFont="1" applyBorder="1"/>
    <xf numFmtId="3" fontId="13" fillId="0" borderId="10" xfId="0" applyNumberFormat="1" applyFont="1" applyBorder="1"/>
    <xf numFmtId="3" fontId="13" fillId="0" borderId="3" xfId="0" applyNumberFormat="1" applyFont="1" applyBorder="1"/>
    <xf numFmtId="3" fontId="13" fillId="0" borderId="29" xfId="0" applyNumberFormat="1" applyFont="1" applyBorder="1"/>
    <xf numFmtId="0" fontId="13" fillId="0" borderId="18" xfId="0" applyFont="1" applyBorder="1"/>
    <xf numFmtId="3" fontId="13" fillId="0" borderId="7" xfId="0" applyNumberFormat="1" applyFont="1" applyBorder="1"/>
    <xf numFmtId="3" fontId="13" fillId="0" borderId="6" xfId="0" applyNumberFormat="1" applyFont="1" applyBorder="1"/>
    <xf numFmtId="3" fontId="13" fillId="0" borderId="30" xfId="0" applyNumberFormat="1" applyFont="1" applyBorder="1"/>
    <xf numFmtId="3" fontId="13" fillId="0" borderId="4" xfId="0" applyNumberFormat="1" applyFont="1" applyBorder="1"/>
    <xf numFmtId="3" fontId="13" fillId="0" borderId="21" xfId="0" applyNumberFormat="1" applyFont="1" applyBorder="1"/>
    <xf numFmtId="0" fontId="13" fillId="0" borderId="22" xfId="0" applyFont="1" applyBorder="1"/>
    <xf numFmtId="0" fontId="13" fillId="0" borderId="23" xfId="0" applyFont="1" applyBorder="1"/>
    <xf numFmtId="0" fontId="13" fillId="0" borderId="31" xfId="0" applyFont="1" applyBorder="1"/>
    <xf numFmtId="3" fontId="13" fillId="0" borderId="31" xfId="0" applyNumberFormat="1" applyFont="1" applyBorder="1"/>
    <xf numFmtId="3" fontId="13" fillId="0" borderId="32" xfId="0" applyNumberFormat="1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/>
    <xf numFmtId="0" fontId="13" fillId="0" borderId="7" xfId="0" applyFont="1" applyBorder="1"/>
    <xf numFmtId="166" fontId="13" fillId="0" borderId="9" xfId="3" applyNumberFormat="1" applyFont="1" applyBorder="1"/>
    <xf numFmtId="166" fontId="13" fillId="0" borderId="7" xfId="3" applyNumberFormat="1" applyFont="1" applyBorder="1"/>
    <xf numFmtId="0" fontId="13" fillId="0" borderId="14" xfId="0" quotePrefix="1" applyFont="1" applyBorder="1" applyAlignment="1">
      <alignment horizontal="center"/>
    </xf>
    <xf numFmtId="0" fontId="13" fillId="0" borderId="33" xfId="0" quotePrefix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10" fontId="6" fillId="0" borderId="9" xfId="3" applyNumberFormat="1" applyFont="1" applyBorder="1"/>
    <xf numFmtId="10" fontId="6" fillId="0" borderId="7" xfId="3" applyNumberFormat="1" applyFont="1" applyBorder="1"/>
    <xf numFmtId="3" fontId="6" fillId="0" borderId="34" xfId="0" applyNumberFormat="1" applyFont="1" applyBorder="1"/>
    <xf numFmtId="3" fontId="2" fillId="0" borderId="9" xfId="0" applyNumberFormat="1" applyFont="1" applyBorder="1" applyAlignment="1">
      <alignment horizontal="center"/>
    </xf>
    <xf numFmtId="3" fontId="6" fillId="0" borderId="10" xfId="0" applyNumberFormat="1" applyFont="1" applyBorder="1"/>
    <xf numFmtId="3" fontId="6" fillId="0" borderId="6" xfId="0" applyNumberFormat="1" applyFont="1" applyBorder="1"/>
    <xf numFmtId="3" fontId="6" fillId="0" borderId="35" xfId="0" applyNumberFormat="1" applyFont="1" applyBorder="1"/>
    <xf numFmtId="3" fontId="6" fillId="0" borderId="27" xfId="0" applyNumberFormat="1" applyFont="1" applyBorder="1"/>
    <xf numFmtId="0" fontId="6" fillId="0" borderId="35" xfId="0" applyFont="1" applyBorder="1"/>
    <xf numFmtId="0" fontId="6" fillId="0" borderId="4" xfId="0" applyFont="1" applyBorder="1"/>
    <xf numFmtId="0" fontId="6" fillId="0" borderId="10" xfId="0" applyFont="1" applyBorder="1"/>
    <xf numFmtId="10" fontId="6" fillId="0" borderId="0" xfId="3" applyNumberFormat="1" applyFont="1" applyBorder="1"/>
    <xf numFmtId="0" fontId="2" fillId="0" borderId="6" xfId="0" quotePrefix="1" applyFont="1" applyBorder="1" applyAlignment="1">
      <alignment horizontal="left"/>
    </xf>
    <xf numFmtId="0" fontId="2" fillId="0" borderId="0" xfId="0" applyFont="1" applyFill="1" applyBorder="1"/>
    <xf numFmtId="9" fontId="2" fillId="0" borderId="0" xfId="3" applyFont="1" applyFill="1" applyBorder="1"/>
    <xf numFmtId="3" fontId="2" fillId="0" borderId="4" xfId="0" quotePrefix="1" applyNumberFormat="1" applyFont="1" applyBorder="1" applyAlignment="1">
      <alignment horizontal="center"/>
    </xf>
    <xf numFmtId="3" fontId="2" fillId="0" borderId="5" xfId="0" applyNumberFormat="1" applyFont="1" applyBorder="1"/>
    <xf numFmtId="3" fontId="2" fillId="0" borderId="4" xfId="0" applyNumberFormat="1" applyFont="1" applyBorder="1"/>
    <xf numFmtId="0" fontId="4" fillId="0" borderId="10" xfId="0" quotePrefix="1" applyFont="1" applyBorder="1" applyAlignment="1">
      <alignment horizontal="left"/>
    </xf>
    <xf numFmtId="0" fontId="2" fillId="0" borderId="9" xfId="0" applyFont="1" applyBorder="1"/>
    <xf numFmtId="0" fontId="2" fillId="0" borderId="9" xfId="0" quotePrefix="1" applyFont="1" applyBorder="1" applyAlignment="1">
      <alignment horizontal="left"/>
    </xf>
    <xf numFmtId="0" fontId="4" fillId="0" borderId="9" xfId="0" applyFont="1" applyBorder="1"/>
    <xf numFmtId="3" fontId="2" fillId="0" borderId="11" xfId="0" applyNumberFormat="1" applyFont="1" applyBorder="1"/>
    <xf numFmtId="0" fontId="2" fillId="0" borderId="7" xfId="0" applyFont="1" applyBorder="1"/>
    <xf numFmtId="0" fontId="11" fillId="0" borderId="35" xfId="0" applyFont="1" applyBorder="1"/>
    <xf numFmtId="3" fontId="2" fillId="0" borderId="36" xfId="0" applyNumberFormat="1" applyFont="1" applyBorder="1"/>
    <xf numFmtId="0" fontId="6" fillId="0" borderId="5" xfId="0" applyFont="1" applyBorder="1"/>
    <xf numFmtId="10" fontId="2" fillId="0" borderId="0" xfId="3" applyNumberFormat="1" applyFont="1" applyFill="1" applyBorder="1"/>
    <xf numFmtId="0" fontId="6" fillId="0" borderId="11" xfId="0" applyFont="1" applyBorder="1"/>
    <xf numFmtId="0" fontId="2" fillId="0" borderId="9" xfId="0" applyFont="1" applyFill="1" applyBorder="1"/>
    <xf numFmtId="0" fontId="2" fillId="0" borderId="7" xfId="0" applyFont="1" applyBorder="1" applyAlignment="1">
      <alignment horizontal="left"/>
    </xf>
    <xf numFmtId="0" fontId="8" fillId="0" borderId="0" xfId="0" applyFont="1" applyBorder="1"/>
    <xf numFmtId="0" fontId="6" fillId="0" borderId="6" xfId="0" quotePrefix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3" fontId="15" fillId="0" borderId="11" xfId="0" applyNumberFormat="1" applyFont="1" applyBorder="1" applyAlignment="1">
      <alignment horizontal="right" vertical="top" wrapText="1"/>
    </xf>
    <xf numFmtId="3" fontId="19" fillId="0" borderId="11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0" xfId="0" applyFont="1" applyFill="1" applyBorder="1"/>
    <xf numFmtId="0" fontId="6" fillId="0" borderId="11" xfId="0" applyFont="1" applyBorder="1" applyAlignment="1">
      <alignment horizontal="center"/>
    </xf>
    <xf numFmtId="0" fontId="11" fillId="0" borderId="7" xfId="0" applyFont="1" applyBorder="1"/>
    <xf numFmtId="3" fontId="14" fillId="0" borderId="10" xfId="0" applyNumberFormat="1" applyFont="1" applyBorder="1" applyAlignment="1">
      <alignment horizontal="left" vertical="top" wrapText="1"/>
    </xf>
    <xf numFmtId="3" fontId="6" fillId="0" borderId="8" xfId="0" applyNumberFormat="1" applyFont="1" applyBorder="1" applyAlignment="1">
      <alignment horizontal="center"/>
    </xf>
    <xf numFmtId="9" fontId="6" fillId="0" borderId="0" xfId="3" applyFont="1"/>
    <xf numFmtId="3" fontId="15" fillId="0" borderId="35" xfId="0" applyNumberFormat="1" applyFont="1" applyBorder="1" applyAlignment="1">
      <alignment horizontal="right" vertical="top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0" xfId="0" applyNumberFormat="1" applyFont="1" applyBorder="1" applyAlignment="1">
      <alignment horizontal="left" vertical="top" wrapText="1"/>
    </xf>
    <xf numFmtId="3" fontId="14" fillId="0" borderId="7" xfId="0" applyNumberFormat="1" applyFont="1" applyBorder="1" applyAlignment="1">
      <alignment horizontal="left" vertical="top" wrapText="1"/>
    </xf>
    <xf numFmtId="0" fontId="20" fillId="0" borderId="0" xfId="0" applyFont="1"/>
    <xf numFmtId="0" fontId="18" fillId="0" borderId="0" xfId="0" applyFont="1"/>
    <xf numFmtId="0" fontId="21" fillId="0" borderId="0" xfId="0" applyFont="1"/>
    <xf numFmtId="0" fontId="18" fillId="0" borderId="4" xfId="0" applyFont="1" applyBorder="1"/>
    <xf numFmtId="167" fontId="18" fillId="0" borderId="4" xfId="1" applyNumberFormat="1" applyFont="1" applyBorder="1"/>
    <xf numFmtId="167" fontId="18" fillId="0" borderId="0" xfId="1" applyNumberFormat="1" applyFont="1"/>
    <xf numFmtId="0" fontId="18" fillId="0" borderId="9" xfId="0" applyFont="1" applyBorder="1"/>
    <xf numFmtId="167" fontId="18" fillId="0" borderId="9" xfId="1" applyNumberFormat="1" applyFont="1" applyBorder="1"/>
    <xf numFmtId="167" fontId="18" fillId="0" borderId="0" xfId="1" applyNumberFormat="1" applyFont="1" applyBorder="1" applyAlignment="1">
      <alignment horizontal="center"/>
    </xf>
    <xf numFmtId="167" fontId="18" fillId="0" borderId="34" xfId="1" applyNumberFormat="1" applyFont="1" applyBorder="1" applyAlignment="1">
      <alignment horizontal="center"/>
    </xf>
    <xf numFmtId="167" fontId="18" fillId="0" borderId="11" xfId="1" applyNumberFormat="1" applyFont="1" applyBorder="1" applyAlignment="1">
      <alignment horizontal="center"/>
    </xf>
    <xf numFmtId="167" fontId="18" fillId="0" borderId="5" xfId="1" applyNumberFormat="1" applyFont="1" applyBorder="1"/>
    <xf numFmtId="167" fontId="18" fillId="0" borderId="27" xfId="1" applyNumberFormat="1" applyFont="1" applyBorder="1"/>
    <xf numFmtId="0" fontId="18" fillId="0" borderId="7" xfId="0" applyFont="1" applyBorder="1"/>
    <xf numFmtId="167" fontId="18" fillId="0" borderId="7" xfId="1" applyNumberFormat="1" applyFont="1" applyBorder="1"/>
    <xf numFmtId="0" fontId="18" fillId="0" borderId="0" xfId="0" applyFont="1" applyFill="1" applyBorder="1"/>
    <xf numFmtId="167" fontId="18" fillId="0" borderId="8" xfId="1" applyNumberFormat="1" applyFont="1" applyBorder="1"/>
    <xf numFmtId="0" fontId="18" fillId="0" borderId="11" xfId="0" applyFont="1" applyBorder="1" applyAlignment="1">
      <alignment horizontal="center"/>
    </xf>
    <xf numFmtId="0" fontId="18" fillId="0" borderId="11" xfId="0" quotePrefix="1" applyFont="1" applyBorder="1" applyAlignment="1">
      <alignment horizontal="center"/>
    </xf>
    <xf numFmtId="9" fontId="18" fillId="0" borderId="4" xfId="3" applyFont="1" applyBorder="1" applyAlignment="1">
      <alignment horizontal="right"/>
    </xf>
    <xf numFmtId="9" fontId="18" fillId="0" borderId="9" xfId="3" applyFont="1" applyBorder="1" applyAlignment="1">
      <alignment horizontal="right"/>
    </xf>
    <xf numFmtId="9" fontId="18" fillId="0" borderId="7" xfId="3" applyFont="1" applyBorder="1" applyAlignment="1">
      <alignment horizontal="right"/>
    </xf>
    <xf numFmtId="3" fontId="18" fillId="0" borderId="0" xfId="0" applyNumberFormat="1" applyFont="1"/>
    <xf numFmtId="3" fontId="18" fillId="0" borderId="11" xfId="0" applyNumberFormat="1" applyFont="1" applyBorder="1" applyAlignment="1">
      <alignment horizontal="center"/>
    </xf>
    <xf numFmtId="3" fontId="18" fillId="0" borderId="4" xfId="0" applyNumberFormat="1" applyFont="1" applyBorder="1"/>
    <xf numFmtId="3" fontId="18" fillId="0" borderId="7" xfId="0" applyNumberFormat="1" applyFont="1" applyBorder="1"/>
    <xf numFmtId="3" fontId="18" fillId="0" borderId="9" xfId="0" applyNumberFormat="1" applyFont="1" applyBorder="1"/>
    <xf numFmtId="0" fontId="17" fillId="0" borderId="9" xfId="0" applyFont="1" applyBorder="1"/>
    <xf numFmtId="3" fontId="18" fillId="0" borderId="10" xfId="0" applyNumberFormat="1" applyFont="1" applyBorder="1"/>
    <xf numFmtId="3" fontId="18" fillId="0" borderId="11" xfId="0" applyNumberFormat="1" applyFont="1" applyBorder="1"/>
    <xf numFmtId="0" fontId="21" fillId="0" borderId="0" xfId="0" quotePrefix="1" applyFont="1" applyFill="1" applyBorder="1" applyAlignment="1">
      <alignment horizontal="left"/>
    </xf>
    <xf numFmtId="0" fontId="18" fillId="0" borderId="11" xfId="0" applyFont="1" applyFill="1" applyBorder="1" applyAlignment="1">
      <alignment horizontal="center"/>
    </xf>
    <xf numFmtId="0" fontId="18" fillId="0" borderId="4" xfId="0" applyFont="1" applyFill="1" applyBorder="1"/>
    <xf numFmtId="0" fontId="18" fillId="0" borderId="9" xfId="0" applyFont="1" applyFill="1" applyBorder="1"/>
    <xf numFmtId="0" fontId="18" fillId="0" borderId="11" xfId="0" applyFont="1" applyFill="1" applyBorder="1"/>
    <xf numFmtId="0" fontId="22" fillId="0" borderId="0" xfId="0" applyFont="1"/>
    <xf numFmtId="0" fontId="13" fillId="0" borderId="4" xfId="0" applyFont="1" applyBorder="1"/>
    <xf numFmtId="3" fontId="13" fillId="0" borderId="11" xfId="0" applyNumberFormat="1" applyFont="1" applyBorder="1" applyAlignment="1">
      <alignment horizontal="center"/>
    </xf>
    <xf numFmtId="0" fontId="23" fillId="0" borderId="10" xfId="0" applyFont="1" applyBorder="1"/>
    <xf numFmtId="3" fontId="13" fillId="0" borderId="9" xfId="0" applyNumberFormat="1" applyFont="1" applyBorder="1"/>
    <xf numFmtId="0" fontId="13" fillId="0" borderId="9" xfId="0" applyFont="1" applyFill="1" applyBorder="1"/>
    <xf numFmtId="0" fontId="23" fillId="0" borderId="7" xfId="0" applyFont="1" applyBorder="1"/>
    <xf numFmtId="3" fontId="13" fillId="0" borderId="11" xfId="0" applyNumberFormat="1" applyFont="1" applyBorder="1"/>
    <xf numFmtId="0" fontId="24" fillId="0" borderId="10" xfId="0" applyFont="1" applyBorder="1"/>
    <xf numFmtId="0" fontId="23" fillId="0" borderId="35" xfId="0" applyFont="1" applyBorder="1"/>
    <xf numFmtId="0" fontId="18" fillId="0" borderId="35" xfId="0" applyFont="1" applyBorder="1"/>
    <xf numFmtId="0" fontId="18" fillId="0" borderId="2" xfId="0" applyFont="1" applyBorder="1"/>
    <xf numFmtId="3" fontId="13" fillId="0" borderId="36" xfId="0" applyNumberFormat="1" applyFont="1" applyBorder="1"/>
    <xf numFmtId="0" fontId="23" fillId="0" borderId="0" xfId="0" applyFont="1" applyBorder="1"/>
    <xf numFmtId="0" fontId="18" fillId="0" borderId="0" xfId="0" applyFont="1" applyBorder="1"/>
    <xf numFmtId="0" fontId="22" fillId="0" borderId="0" xfId="0" quotePrefix="1" applyFont="1" applyFill="1" applyBorder="1" applyAlignment="1">
      <alignment horizontal="left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4" xfId="0" applyFont="1" applyFill="1" applyBorder="1"/>
    <xf numFmtId="0" fontId="13" fillId="0" borderId="37" xfId="0" applyFont="1" applyFill="1" applyBorder="1"/>
    <xf numFmtId="0" fontId="18" fillId="0" borderId="37" xfId="0" applyFont="1" applyBorder="1"/>
    <xf numFmtId="3" fontId="18" fillId="0" borderId="37" xfId="0" applyNumberFormat="1" applyFont="1" applyBorder="1"/>
    <xf numFmtId="0" fontId="25" fillId="0" borderId="9" xfId="0" applyFont="1" applyFill="1" applyBorder="1"/>
    <xf numFmtId="0" fontId="13" fillId="0" borderId="0" xfId="0" quotePrefix="1" applyFont="1" applyFill="1" applyBorder="1" applyAlignment="1">
      <alignment horizontal="left"/>
    </xf>
    <xf numFmtId="0" fontId="13" fillId="0" borderId="37" xfId="0" quotePrefix="1" applyFont="1" applyFill="1" applyBorder="1" applyAlignment="1">
      <alignment horizontal="left"/>
    </xf>
    <xf numFmtId="0" fontId="13" fillId="0" borderId="11" xfId="0" applyFont="1" applyFill="1" applyBorder="1"/>
    <xf numFmtId="168" fontId="2" fillId="0" borderId="0" xfId="5" applyNumberFormat="1" applyFont="1"/>
    <xf numFmtId="0" fontId="27" fillId="0" borderId="0" xfId="0" applyFont="1"/>
    <xf numFmtId="0" fontId="28" fillId="0" borderId="0" xfId="0" applyFont="1"/>
    <xf numFmtId="167" fontId="28" fillId="0" borderId="0" xfId="2" applyNumberFormat="1" applyFont="1"/>
    <xf numFmtId="0" fontId="28" fillId="0" borderId="0" xfId="0" quotePrefix="1" applyFont="1"/>
    <xf numFmtId="0" fontId="28" fillId="0" borderId="1" xfId="0" quotePrefix="1" applyFont="1" applyBorder="1"/>
    <xf numFmtId="167" fontId="28" fillId="0" borderId="1" xfId="2" applyNumberFormat="1" applyFont="1" applyBorder="1"/>
    <xf numFmtId="0" fontId="28" fillId="0" borderId="2" xfId="0" applyFont="1" applyBorder="1"/>
    <xf numFmtId="167" fontId="28" fillId="0" borderId="2" xfId="2" applyNumberFormat="1" applyFont="1" applyBorder="1"/>
    <xf numFmtId="10" fontId="28" fillId="0" borderId="0" xfId="4" applyNumberFormat="1" applyFont="1"/>
    <xf numFmtId="9" fontId="28" fillId="0" borderId="0" xfId="4" applyFont="1"/>
    <xf numFmtId="165" fontId="28" fillId="0" borderId="0" xfId="2" applyFont="1"/>
    <xf numFmtId="0" fontId="28" fillId="0" borderId="1" xfId="0" applyFont="1" applyBorder="1"/>
    <xf numFmtId="165" fontId="28" fillId="0" borderId="1" xfId="2" applyFont="1" applyBorder="1"/>
    <xf numFmtId="165" fontId="28" fillId="0" borderId="2" xfId="0" applyNumberFormat="1" applyFont="1" applyBorder="1"/>
    <xf numFmtId="0" fontId="10" fillId="0" borderId="0" xfId="0" applyFont="1"/>
    <xf numFmtId="0" fontId="6" fillId="0" borderId="4" xfId="0" applyFont="1" applyBorder="1" applyAlignment="1">
      <alignment horizontal="center"/>
    </xf>
    <xf numFmtId="0" fontId="6" fillId="0" borderId="8" xfId="0" applyFont="1" applyBorder="1"/>
    <xf numFmtId="0" fontId="6" fillId="0" borderId="7" xfId="0" applyFont="1" applyBorder="1" applyAlignment="1">
      <alignment horizontal="center"/>
    </xf>
    <xf numFmtId="167" fontId="6" fillId="0" borderId="3" xfId="2" applyNumberFormat="1" applyFont="1" applyBorder="1"/>
    <xf numFmtId="167" fontId="6" fillId="0" borderId="9" xfId="2" applyNumberFormat="1" applyFont="1" applyBorder="1"/>
    <xf numFmtId="167" fontId="6" fillId="0" borderId="10" xfId="2" applyNumberFormat="1" applyFont="1" applyBorder="1"/>
    <xf numFmtId="167" fontId="6" fillId="0" borderId="0" xfId="2" applyNumberFormat="1" applyFont="1"/>
    <xf numFmtId="167" fontId="6" fillId="0" borderId="7" xfId="2" applyNumberFormat="1" applyFont="1" applyBorder="1"/>
    <xf numFmtId="167" fontId="6" fillId="0" borderId="11" xfId="2" applyNumberFormat="1" applyFont="1" applyBorder="1"/>
    <xf numFmtId="0" fontId="4" fillId="0" borderId="4" xfId="0" applyFont="1" applyBorder="1"/>
    <xf numFmtId="3" fontId="6" fillId="0" borderId="5" xfId="2" applyNumberFormat="1" applyFont="1" applyBorder="1"/>
    <xf numFmtId="3" fontId="6" fillId="0" borderId="4" xfId="2" applyNumberFormat="1" applyFont="1" applyBorder="1"/>
    <xf numFmtId="3" fontId="6" fillId="0" borderId="27" xfId="2" applyNumberFormat="1" applyFont="1" applyBorder="1"/>
    <xf numFmtId="3" fontId="6" fillId="0" borderId="9" xfId="2" applyNumberFormat="1" applyFont="1" applyBorder="1"/>
    <xf numFmtId="3" fontId="6" fillId="0" borderId="8" xfId="2" applyNumberFormat="1" applyFont="1" applyBorder="1"/>
    <xf numFmtId="3" fontId="6" fillId="0" borderId="7" xfId="2" applyNumberFormat="1" applyFont="1" applyBorder="1"/>
    <xf numFmtId="167" fontId="6" fillId="0" borderId="0" xfId="0" applyNumberFormat="1" applyFont="1"/>
    <xf numFmtId="10" fontId="6" fillId="0" borderId="9" xfId="4" applyNumberFormat="1" applyFont="1" applyBorder="1"/>
    <xf numFmtId="10" fontId="6" fillId="0" borderId="0" xfId="4" applyNumberFormat="1" applyFont="1"/>
    <xf numFmtId="10" fontId="6" fillId="0" borderId="7" xfId="4" applyNumberFormat="1" applyFont="1" applyBorder="1"/>
    <xf numFmtId="167" fontId="6" fillId="0" borderId="2" xfId="2" applyNumberFormat="1" applyFont="1" applyBorder="1"/>
    <xf numFmtId="9" fontId="6" fillId="0" borderId="1" xfId="4" applyFont="1" applyBorder="1"/>
    <xf numFmtId="166" fontId="6" fillId="0" borderId="1" xfId="4" applyNumberFormat="1" applyFont="1" applyBorder="1"/>
    <xf numFmtId="169" fontId="6" fillId="0" borderId="0" xfId="6" applyNumberFormat="1" applyFont="1"/>
    <xf numFmtId="169" fontId="4" fillId="0" borderId="0" xfId="6" applyNumberFormat="1" applyFont="1"/>
    <xf numFmtId="0" fontId="6" fillId="0" borderId="11" xfId="0" quotePrefix="1" applyFont="1" applyBorder="1" applyAlignment="1">
      <alignment horizontal="center"/>
    </xf>
    <xf numFmtId="3" fontId="6" fillId="0" borderId="3" xfId="0" applyNumberFormat="1" applyFont="1" applyBorder="1"/>
    <xf numFmtId="10" fontId="6" fillId="0" borderId="4" xfId="4" applyNumberFormat="1" applyFont="1" applyBorder="1"/>
    <xf numFmtId="10" fontId="6" fillId="0" borderId="11" xfId="4" applyNumberFormat="1" applyFont="1" applyBorder="1"/>
    <xf numFmtId="10" fontId="6" fillId="0" borderId="1" xfId="4" applyNumberFormat="1" applyFont="1" applyBorder="1"/>
    <xf numFmtId="0" fontId="6" fillId="0" borderId="2" xfId="0" quotePrefix="1" applyFont="1" applyBorder="1" applyAlignment="1">
      <alignment horizontal="left"/>
    </xf>
    <xf numFmtId="3" fontId="3" fillId="0" borderId="0" xfId="0" applyNumberFormat="1" applyFont="1"/>
    <xf numFmtId="3" fontId="6" fillId="0" borderId="8" xfId="0" quotePrefix="1" applyNumberFormat="1" applyFont="1" applyBorder="1" applyAlignment="1">
      <alignment horizontal="left"/>
    </xf>
    <xf numFmtId="3" fontId="6" fillId="0" borderId="0" xfId="0" quotePrefix="1" applyNumberFormat="1" applyFont="1" applyAlignment="1">
      <alignment horizontal="left"/>
    </xf>
    <xf numFmtId="3" fontId="4" fillId="0" borderId="0" xfId="0" applyNumberFormat="1" applyFont="1"/>
    <xf numFmtId="3" fontId="6" fillId="0" borderId="0" xfId="0" applyNumberFormat="1" applyFont="1" applyAlignment="1">
      <alignment horizontal="left"/>
    </xf>
    <xf numFmtId="3" fontId="6" fillId="0" borderId="1" xfId="0" quotePrefix="1" applyNumberFormat="1" applyFont="1" applyBorder="1" applyAlignment="1">
      <alignment horizontal="left"/>
    </xf>
    <xf numFmtId="166" fontId="6" fillId="0" borderId="0" xfId="4" applyNumberFormat="1" applyFont="1"/>
    <xf numFmtId="3" fontId="6" fillId="0" borderId="0" xfId="0" applyNumberFormat="1" applyFont="1" applyAlignment="1">
      <alignment horizontal="right"/>
    </xf>
    <xf numFmtId="3" fontId="6" fillId="0" borderId="2" xfId="0" quotePrefix="1" applyNumberFormat="1" applyFont="1" applyBorder="1" applyAlignment="1">
      <alignment horizontal="left"/>
    </xf>
    <xf numFmtId="3" fontId="4" fillId="0" borderId="0" xfId="0" quotePrefix="1" applyNumberFormat="1" applyFont="1" applyAlignment="1">
      <alignment horizontal="left"/>
    </xf>
    <xf numFmtId="3" fontId="6" fillId="0" borderId="11" xfId="0" quotePrefix="1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14" fillId="0" borderId="35" xfId="0" applyNumberFormat="1" applyFont="1" applyBorder="1" applyAlignment="1">
      <alignment vertical="top" wrapText="1"/>
    </xf>
    <xf numFmtId="3" fontId="14" fillId="0" borderId="11" xfId="0" applyNumberFormat="1" applyFont="1" applyBorder="1" applyAlignment="1">
      <alignment horizontal="center" vertical="top" wrapText="1"/>
    </xf>
    <xf numFmtId="3" fontId="14" fillId="0" borderId="11" xfId="0" applyNumberFormat="1" applyFont="1" applyBorder="1" applyAlignment="1">
      <alignment vertical="top" wrapText="1"/>
    </xf>
    <xf numFmtId="3" fontId="14" fillId="0" borderId="35" xfId="0" applyNumberFormat="1" applyFont="1" applyBorder="1" applyAlignment="1">
      <alignment horizontal="center" vertical="top" wrapText="1"/>
    </xf>
    <xf numFmtId="3" fontId="14" fillId="0" borderId="34" xfId="0" applyNumberFormat="1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3" fontId="6" fillId="0" borderId="35" xfId="0" quotePrefix="1" applyNumberFormat="1" applyFont="1" applyBorder="1" applyAlignment="1">
      <alignment horizontal="center"/>
    </xf>
    <xf numFmtId="3" fontId="6" fillId="0" borderId="2" xfId="0" quotePrefix="1" applyNumberFormat="1" applyFont="1" applyBorder="1" applyAlignment="1">
      <alignment horizontal="center"/>
    </xf>
    <xf numFmtId="3" fontId="6" fillId="0" borderId="34" xfId="0" quotePrefix="1" applyNumberFormat="1" applyFont="1" applyBorder="1" applyAlignment="1">
      <alignment horizontal="center"/>
    </xf>
    <xf numFmtId="3" fontId="14" fillId="0" borderId="35" xfId="0" applyNumberFormat="1" applyFont="1" applyBorder="1" applyAlignment="1">
      <alignment horizontal="center"/>
    </xf>
    <xf numFmtId="3" fontId="14" fillId="0" borderId="34" xfId="0" applyNumberFormat="1" applyFont="1" applyBorder="1" applyAlignment="1">
      <alignment horizontal="center"/>
    </xf>
    <xf numFmtId="3" fontId="18" fillId="0" borderId="11" xfId="0" applyNumberFormat="1" applyFont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</cellXfs>
  <cellStyles count="7">
    <cellStyle name="Komma" xfId="1" builtinId="3"/>
    <cellStyle name="Komma 2" xfId="2" xr:uid="{00000000-0005-0000-0000-000001000000}"/>
    <cellStyle name="Normal" xfId="0" builtinId="0"/>
    <cellStyle name="Prosent" xfId="3" builtinId="5"/>
    <cellStyle name="Prosent 2" xfId="4" xr:uid="{00000000-0005-0000-0000-000004000000}"/>
    <cellStyle name="Valuta" xfId="5" builtinId="4"/>
    <cellStyle name="Valuta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worksheet" Target="worksheets/sheet2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2.xml"/><Relationship Id="rId24" Type="http://schemas.openxmlformats.org/officeDocument/2006/relationships/worksheet" Target="worksheets/sheet2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23" Type="http://schemas.openxmlformats.org/officeDocument/2006/relationships/worksheet" Target="worksheets/sheet2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Dekningsdiagram</a:t>
            </a:r>
          </a:p>
        </c:rich>
      </c:tx>
      <c:layout>
        <c:manualLayout>
          <c:xMode val="edge"/>
          <c:yMode val="edge"/>
          <c:x val="0.42777777777777776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6666666666667"/>
          <c:y val="0.12556053811659193"/>
          <c:w val="0.85555555555555551"/>
          <c:h val="0.7197309417040358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'7,10'!$C$23</c:f>
              <c:strCache>
                <c:ptCount val="1"/>
                <c:pt idx="0">
                  <c:v>STI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xVal>
            <c:numRef>
              <c:f>'7,10'!$B$24:$B$26</c:f>
              <c:numCache>
                <c:formatCode>#,##0</c:formatCode>
                <c:ptCount val="3"/>
                <c:pt idx="0">
                  <c:v>0</c:v>
                </c:pt>
                <c:pt idx="1">
                  <c:v>179170.08797653959</c:v>
                </c:pt>
                <c:pt idx="2">
                  <c:v>228400</c:v>
                </c:pt>
              </c:numCache>
            </c:numRef>
          </c:xVal>
          <c:yVal>
            <c:numRef>
              <c:f>'7,10'!$C$24:$C$26</c:f>
              <c:numCache>
                <c:formatCode>#,##0</c:formatCode>
                <c:ptCount val="3"/>
                <c:pt idx="0">
                  <c:v>0</c:v>
                </c:pt>
                <c:pt idx="1">
                  <c:v>179170.08797653959</c:v>
                </c:pt>
                <c:pt idx="2">
                  <c:v>228400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86-4003-94D6-6F88F4C2C20B}"/>
            </c:ext>
          </c:extLst>
        </c:ser>
        <c:ser>
          <c:idx val="1"/>
          <c:order val="1"/>
          <c:tx>
            <c:strRef>
              <c:f>'7,10'!$D$23</c:f>
              <c:strCache>
                <c:ptCount val="1"/>
                <c:pt idx="0">
                  <c:v>VTK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'7,10'!$B$24:$B$26</c:f>
              <c:numCache>
                <c:formatCode>#,##0</c:formatCode>
                <c:ptCount val="3"/>
                <c:pt idx="0">
                  <c:v>0</c:v>
                </c:pt>
                <c:pt idx="1">
                  <c:v>179170.08797653959</c:v>
                </c:pt>
                <c:pt idx="2">
                  <c:v>228400</c:v>
                </c:pt>
              </c:numCache>
            </c:numRef>
          </c:xVal>
          <c:yVal>
            <c:numRef>
              <c:f>'7,10'!$D$24:$D$26</c:f>
              <c:numCache>
                <c:formatCode>#,##0</c:formatCode>
                <c:ptCount val="3"/>
                <c:pt idx="0">
                  <c:v>0</c:v>
                </c:pt>
                <c:pt idx="1">
                  <c:v>125670.08797653959</c:v>
                </c:pt>
                <c:pt idx="2">
                  <c:v>160200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86-4003-94D6-6F88F4C2C20B}"/>
            </c:ext>
          </c:extLst>
        </c:ser>
        <c:ser>
          <c:idx val="2"/>
          <c:order val="2"/>
          <c:tx>
            <c:strRef>
              <c:f>'7,10'!$E$23</c:f>
              <c:strCache>
                <c:ptCount val="1"/>
                <c:pt idx="0">
                  <c:v>STK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Dot"/>
            </a:ln>
          </c:spPr>
          <c:marker>
            <c:symbol val="none"/>
          </c:marker>
          <c:xVal>
            <c:numRef>
              <c:f>'7,10'!$B$24:$B$26</c:f>
              <c:numCache>
                <c:formatCode>#,##0</c:formatCode>
                <c:ptCount val="3"/>
                <c:pt idx="0">
                  <c:v>0</c:v>
                </c:pt>
                <c:pt idx="1">
                  <c:v>179170.08797653959</c:v>
                </c:pt>
                <c:pt idx="2">
                  <c:v>228400</c:v>
                </c:pt>
              </c:numCache>
            </c:numRef>
          </c:xVal>
          <c:yVal>
            <c:numRef>
              <c:f>'7,10'!$E$24:$E$26</c:f>
              <c:numCache>
                <c:formatCode>#,##0</c:formatCode>
                <c:ptCount val="3"/>
                <c:pt idx="0">
                  <c:v>53500</c:v>
                </c:pt>
                <c:pt idx="1">
                  <c:v>179170.08797653959</c:v>
                </c:pt>
                <c:pt idx="2">
                  <c:v>213700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86-4003-94D6-6F88F4C2C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537680"/>
        <c:axId val="1"/>
      </c:scatterChart>
      <c:valAx>
        <c:axId val="35853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Kroner</a:t>
                </a:r>
              </a:p>
            </c:rich>
          </c:tx>
          <c:layout>
            <c:manualLayout>
              <c:xMode val="edge"/>
              <c:yMode val="edge"/>
              <c:x val="0.50694444444444442"/>
              <c:y val="0.896860986547085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Kroner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443946188340807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5376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605839416058393"/>
          <c:y val="0.95611814345991564"/>
          <c:w val="0.22940563086548488"/>
          <c:h val="3.7130801687763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29281767955794E-2"/>
          <c:y val="3.6199095022624438E-2"/>
          <c:w val="0.88121546961325969"/>
          <c:h val="0.848416289592760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'7,11'!$C$38</c:f>
              <c:strCache>
                <c:ptCount val="1"/>
                <c:pt idx="0">
                  <c:v>STI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'7,11'!$B$39:$B$41</c:f>
              <c:numCache>
                <c:formatCode>#,##0</c:formatCode>
                <c:ptCount val="3"/>
                <c:pt idx="0">
                  <c:v>0</c:v>
                </c:pt>
                <c:pt idx="1">
                  <c:v>558669.28875778441</c:v>
                </c:pt>
                <c:pt idx="2">
                  <c:v>700000</c:v>
                </c:pt>
              </c:numCache>
            </c:numRef>
          </c:xVal>
          <c:yVal>
            <c:numRef>
              <c:f>'7,11'!$C$39:$C$41</c:f>
              <c:numCache>
                <c:formatCode>#,##0</c:formatCode>
                <c:ptCount val="3"/>
                <c:pt idx="0">
                  <c:v>0</c:v>
                </c:pt>
                <c:pt idx="1">
                  <c:v>558669.28875778441</c:v>
                </c:pt>
                <c:pt idx="2">
                  <c:v>700000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C1-489D-BB1B-F0DF07AA2E0A}"/>
            </c:ext>
          </c:extLst>
        </c:ser>
        <c:ser>
          <c:idx val="1"/>
          <c:order val="1"/>
          <c:tx>
            <c:strRef>
              <c:f>'7,11'!$D$38</c:f>
              <c:strCache>
                <c:ptCount val="1"/>
                <c:pt idx="0">
                  <c:v>VTK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Dot"/>
            </a:ln>
          </c:spPr>
          <c:marker>
            <c:symbol val="none"/>
          </c:marker>
          <c:xVal>
            <c:numRef>
              <c:f>'7,11'!$B$39:$B$41</c:f>
              <c:numCache>
                <c:formatCode>#,##0</c:formatCode>
                <c:ptCount val="3"/>
                <c:pt idx="0">
                  <c:v>0</c:v>
                </c:pt>
                <c:pt idx="1">
                  <c:v>558669.28875778441</c:v>
                </c:pt>
                <c:pt idx="2">
                  <c:v>700000</c:v>
                </c:pt>
              </c:numCache>
            </c:numRef>
          </c:xVal>
          <c:yVal>
            <c:numRef>
              <c:f>'7,11'!$D$39:$D$41</c:f>
              <c:numCache>
                <c:formatCode>#,##0</c:formatCode>
                <c:ptCount val="3"/>
                <c:pt idx="0">
                  <c:v>0</c:v>
                </c:pt>
                <c:pt idx="1">
                  <c:v>315169.28875778441</c:v>
                </c:pt>
                <c:pt idx="2">
                  <c:v>394900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C1-489D-BB1B-F0DF07AA2E0A}"/>
            </c:ext>
          </c:extLst>
        </c:ser>
        <c:ser>
          <c:idx val="2"/>
          <c:order val="2"/>
          <c:tx>
            <c:strRef>
              <c:f>'7,11'!$E$38</c:f>
              <c:strCache>
                <c:ptCount val="1"/>
                <c:pt idx="0">
                  <c:v>STK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'7,11'!$B$39:$B$41</c:f>
              <c:numCache>
                <c:formatCode>#,##0</c:formatCode>
                <c:ptCount val="3"/>
                <c:pt idx="0">
                  <c:v>0</c:v>
                </c:pt>
                <c:pt idx="1">
                  <c:v>558669.28875778441</c:v>
                </c:pt>
                <c:pt idx="2">
                  <c:v>700000</c:v>
                </c:pt>
              </c:numCache>
            </c:numRef>
          </c:xVal>
          <c:yVal>
            <c:numRef>
              <c:f>'7,11'!$E$39:$E$41</c:f>
              <c:numCache>
                <c:formatCode>#,##0</c:formatCode>
                <c:ptCount val="3"/>
                <c:pt idx="0">
                  <c:v>243500</c:v>
                </c:pt>
                <c:pt idx="1">
                  <c:v>558669.28875778441</c:v>
                </c:pt>
                <c:pt idx="2">
                  <c:v>638400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C1-489D-BB1B-F0DF07AA2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075552"/>
        <c:axId val="1"/>
      </c:scatterChart>
      <c:valAx>
        <c:axId val="3590755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0755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569948186528498"/>
          <c:y val="0.95585738539898135"/>
          <c:w val="0.22797927461139897"/>
          <c:h val="3.73514431239388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93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93" workbookViewId="0"/>
  </sheetViews>
  <pageMargins left="0.75" right="0.75" top="1" bottom="1" header="0.5" footer="0.5"/>
  <pageSetup paperSize="9" orientation="landscape" r:id="rId1"/>
  <headerFooter alignWithMargins="0">
    <oddHeader>&amp;A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4356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</xdr:row>
          <xdr:rowOff>45720</xdr:rowOff>
        </xdr:from>
        <xdr:to>
          <xdr:col>6</xdr:col>
          <xdr:colOff>449580</xdr:colOff>
          <xdr:row>4</xdr:row>
          <xdr:rowOff>22860</xdr:rowOff>
        </xdr:to>
        <xdr:sp macro="" textlink="">
          <xdr:nvSpPr>
            <xdr:cNvPr id="1025" name="Bilde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F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4</xdr:row>
          <xdr:rowOff>68580</xdr:rowOff>
        </xdr:from>
        <xdr:to>
          <xdr:col>6</xdr:col>
          <xdr:colOff>655320</xdr:colOff>
          <xdr:row>7</xdr:row>
          <xdr:rowOff>68580</xdr:rowOff>
        </xdr:to>
        <xdr:sp macro="" textlink="">
          <xdr:nvSpPr>
            <xdr:cNvPr id="1026" name="Bilde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F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7</xdr:row>
          <xdr:rowOff>137160</xdr:rowOff>
        </xdr:from>
        <xdr:to>
          <xdr:col>6</xdr:col>
          <xdr:colOff>754380</xdr:colOff>
          <xdr:row>10</xdr:row>
          <xdr:rowOff>114300</xdr:rowOff>
        </xdr:to>
        <xdr:sp macro="" textlink="">
          <xdr:nvSpPr>
            <xdr:cNvPr id="1027" name="Bilde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F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12700</xdr:colOff>
      <xdr:row>82</xdr:row>
      <xdr:rowOff>63500</xdr:rowOff>
    </xdr:from>
    <xdr:to>
      <xdr:col>8</xdr:col>
      <xdr:colOff>420675</xdr:colOff>
      <xdr:row>85</xdr:row>
      <xdr:rowOff>71450</xdr:rowOff>
    </xdr:to>
    <xdr:sp macro="" textlink="">
      <xdr:nvSpPr>
        <xdr:cNvPr id="1028" name="Tekst 4">
          <a:extLst>
            <a:ext uri="{FF2B5EF4-FFF2-40B4-BE49-F238E27FC236}">
              <a16:creationId xmlns:a16="http://schemas.microsoft.com/office/drawing/2014/main" id="{00000000-0008-0000-0F00-000004040000}"/>
            </a:ext>
          </a:extLst>
        </xdr:cNvPr>
        <xdr:cNvSpPr txBox="1">
          <a:spLocks noChangeArrowheads="1"/>
        </xdr:cNvSpPr>
      </xdr:nvSpPr>
      <xdr:spPr bwMode="auto">
        <a:xfrm>
          <a:off x="406400" y="16751300"/>
          <a:ext cx="6197600" cy="622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Beskjeftigelsen i januar har vært lavere enn normal. Lavere beskjeftigelse enn normal fører til negative dekningsdifferanser</a:t>
          </a:r>
        </a:p>
      </xdr:txBody>
    </xdr:sp>
    <xdr:clientData/>
  </xdr:twoCellAnchor>
  <xdr:twoCellAnchor>
    <xdr:from>
      <xdr:col>5</xdr:col>
      <xdr:colOff>119063</xdr:colOff>
      <xdr:row>73</xdr:row>
      <xdr:rowOff>109538</xdr:rowOff>
    </xdr:from>
    <xdr:to>
      <xdr:col>5</xdr:col>
      <xdr:colOff>704850</xdr:colOff>
      <xdr:row>73</xdr:row>
      <xdr:rowOff>109538</xdr:rowOff>
    </xdr:to>
    <xdr:sp macro="" textlink="">
      <xdr:nvSpPr>
        <xdr:cNvPr id="1033" name="Line 5">
          <a:extLst>
            <a:ext uri="{FF2B5EF4-FFF2-40B4-BE49-F238E27FC236}">
              <a16:creationId xmlns:a16="http://schemas.microsoft.com/office/drawing/2014/main" id="{00000000-0008-0000-0F00-000009040000}"/>
            </a:ext>
          </a:extLst>
        </xdr:cNvPr>
        <xdr:cNvSpPr>
          <a:spLocks noChangeShapeType="1"/>
        </xdr:cNvSpPr>
      </xdr:nvSpPr>
      <xdr:spPr bwMode="auto">
        <a:xfrm flipH="1">
          <a:off x="3605213" y="14106525"/>
          <a:ext cx="58578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68</xdr:row>
      <xdr:rowOff>134937</xdr:rowOff>
    </xdr:from>
    <xdr:to>
      <xdr:col>9</xdr:col>
      <xdr:colOff>492118</xdr:colOff>
      <xdr:row>91</xdr:row>
      <xdr:rowOff>155578</xdr:rowOff>
    </xdr:to>
    <xdr:sp macro="" textlink="">
      <xdr:nvSpPr>
        <xdr:cNvPr id="3073" name="Tekst 1">
          <a:extLst>
            <a:ext uri="{FF2B5EF4-FFF2-40B4-BE49-F238E27FC236}">
              <a16:creationId xmlns:a16="http://schemas.microsoft.com/office/drawing/2014/main" id="{00000000-0008-0000-1300-0000010C0000}"/>
            </a:ext>
          </a:extLst>
        </xdr:cNvPr>
        <xdr:cNvSpPr>
          <a:spLocks noChangeArrowheads="1"/>
        </xdr:cNvSpPr>
      </xdr:nvSpPr>
      <xdr:spPr bwMode="auto">
        <a:xfrm>
          <a:off x="38100" y="12255500"/>
          <a:ext cx="6489700" cy="41148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b-NO" sz="1100" b="0" i="0" u="sng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Beskjeftigelsesavvik</a:t>
          </a:r>
          <a:endParaRPr lang="nb-NO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Som man kan se av tabellen ovenfor er beskjeftigelsen, målt ved aktivitetsmålet i de forskjellige avdelingene, større enn normal i Materialavd. og T - 1, mens det er lavere beskjeftigelse enn normalt i T - 2 og Salgs- og adm.avd.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defRPr sz="1000"/>
          </a:pPr>
          <a:r>
            <a:rPr lang="nb-NO" sz="1100" b="0" i="0" u="sng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Kostnadsavvik</a:t>
          </a:r>
          <a:endParaRPr lang="nb-NO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To av avdelingene har negativt forbruksavvik for både faste og variable kostnader.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nb-NO" sz="1100" b="0" i="1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Mulige årsaker:</a:t>
          </a:r>
          <a:endParaRPr lang="nb-NO" sz="1100" b="0" i="0" u="none" strike="noStrike" baseline="0">
            <a:solidFill>
              <a:srgbClr val="000000"/>
            </a:solidFill>
            <a:latin typeface="Arial" charset="0"/>
            <a:cs typeface="Arial" charset="0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- uforutsett prisstigning på indirekte kostnader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- større mengdemessig forbruk 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- overproporsjonale variable kostnader</a:t>
          </a:r>
        </a:p>
        <a:p>
          <a:pPr algn="l" rtl="0">
            <a:lnSpc>
              <a:spcPts val="1200"/>
            </a:lnSpc>
            <a:defRPr sz="1000"/>
          </a:pPr>
          <a:endParaRPr lang="nb-NO" sz="1100" b="0" i="0" u="none" strike="noStrike" baseline="0">
            <a:solidFill>
              <a:srgbClr val="000000"/>
            </a:solidFill>
            <a:latin typeface="Arial" charset="0"/>
            <a:cs typeface="Arial" charset="0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Når det gjelder de positive avvikene, kan man skifte "fortegn" på punktene ovenfor.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Arial" charset="0"/>
            <a:cs typeface="Arial" charset="0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Dessuten kan beregningene av normalsatser være basert på sviktende forutsetninger. I så fall bør de snarest mulig rettes. Det er imidlertid ikke noe grunnlag for å endre tilleggssatsene på grunnlag av erfaringene utelukkende fra en måneds regnskap.</a:t>
          </a:r>
          <a:endParaRPr lang="nb-NO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lnSpc>
              <a:spcPts val="1200"/>
            </a:lnSpc>
            <a:defRPr sz="1000"/>
          </a:pPr>
          <a:endParaRPr lang="nb-NO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5123" name="Line 1">
          <a:extLst>
            <a:ext uri="{FF2B5EF4-FFF2-40B4-BE49-F238E27FC236}">
              <a16:creationId xmlns:a16="http://schemas.microsoft.com/office/drawing/2014/main" id="{00000000-0008-0000-1500-000003140000}"/>
            </a:ext>
          </a:extLst>
        </xdr:cNvPr>
        <xdr:cNvSpPr>
          <a:spLocks noChangeShapeType="1"/>
        </xdr:cNvSpPr>
      </xdr:nvSpPr>
      <xdr:spPr bwMode="auto">
        <a:xfrm flipH="1">
          <a:off x="4243388" y="381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workbookViewId="0"/>
  </sheetViews>
  <sheetFormatPr baseColWidth="10" defaultColWidth="11.44140625" defaultRowHeight="13.2" x14ac:dyDescent="0.25"/>
  <cols>
    <col min="1" max="1" width="2.33203125" style="302" customWidth="1"/>
    <col min="2" max="2" width="18.33203125" style="302" customWidth="1"/>
    <col min="3" max="3" width="12.77734375" style="302" bestFit="1" customWidth="1"/>
    <col min="4" max="16384" width="11.44140625" style="302"/>
  </cols>
  <sheetData>
    <row r="1" spans="1:4" x14ac:dyDescent="0.25">
      <c r="A1" s="301" t="s">
        <v>303</v>
      </c>
    </row>
    <row r="3" spans="1:4" x14ac:dyDescent="0.25">
      <c r="A3" s="301" t="s">
        <v>304</v>
      </c>
    </row>
    <row r="5" spans="1:4" x14ac:dyDescent="0.25">
      <c r="B5" s="302" t="s">
        <v>305</v>
      </c>
      <c r="C5" s="303">
        <v>8700000</v>
      </c>
      <c r="D5" s="303"/>
    </row>
    <row r="6" spans="1:4" x14ac:dyDescent="0.25">
      <c r="A6" s="304" t="s">
        <v>306</v>
      </c>
      <c r="B6" s="305" t="s">
        <v>307</v>
      </c>
      <c r="C6" s="306">
        <v>5200000</v>
      </c>
      <c r="D6" s="303"/>
    </row>
    <row r="7" spans="1:4" x14ac:dyDescent="0.25">
      <c r="A7" s="302" t="s">
        <v>308</v>
      </c>
      <c r="B7" s="302" t="s">
        <v>309</v>
      </c>
      <c r="C7" s="303">
        <f>C5-C6</f>
        <v>3500000</v>
      </c>
      <c r="D7" s="303"/>
    </row>
    <row r="8" spans="1:4" x14ac:dyDescent="0.25">
      <c r="A8" s="302" t="s">
        <v>306</v>
      </c>
      <c r="B8" s="302" t="s">
        <v>81</v>
      </c>
      <c r="C8" s="303">
        <v>3100000</v>
      </c>
      <c r="D8" s="303"/>
    </row>
    <row r="9" spans="1:4" x14ac:dyDescent="0.25">
      <c r="A9" s="302" t="s">
        <v>308</v>
      </c>
      <c r="B9" s="307" t="s">
        <v>310</v>
      </c>
      <c r="C9" s="308">
        <f>C7-C8</f>
        <v>400000</v>
      </c>
      <c r="D9" s="303"/>
    </row>
    <row r="10" spans="1:4" x14ac:dyDescent="0.25">
      <c r="C10" s="303"/>
      <c r="D10" s="303"/>
    </row>
    <row r="11" spans="1:4" x14ac:dyDescent="0.25">
      <c r="A11" s="302" t="s">
        <v>12</v>
      </c>
      <c r="C11" s="303"/>
      <c r="D11" s="303"/>
    </row>
    <row r="12" spans="1:4" x14ac:dyDescent="0.25">
      <c r="B12" s="302" t="s">
        <v>311</v>
      </c>
      <c r="C12" s="309">
        <f>C8/C6</f>
        <v>0.59615384615384615</v>
      </c>
      <c r="D12" s="303"/>
    </row>
    <row r="13" spans="1:4" x14ac:dyDescent="0.25">
      <c r="B13" s="302" t="s">
        <v>312</v>
      </c>
      <c r="C13" s="309">
        <f>C7/C6</f>
        <v>0.67307692307692313</v>
      </c>
      <c r="D13" s="303"/>
    </row>
    <row r="14" spans="1:4" x14ac:dyDescent="0.25">
      <c r="B14" s="302" t="s">
        <v>313</v>
      </c>
      <c r="C14" s="309">
        <f>C9/(C6+C8)</f>
        <v>4.8192771084337352E-2</v>
      </c>
      <c r="D14" s="303"/>
    </row>
    <row r="15" spans="1:4" x14ac:dyDescent="0.25">
      <c r="C15" s="303"/>
      <c r="D15" s="303"/>
    </row>
    <row r="16" spans="1:4" x14ac:dyDescent="0.25">
      <c r="A16" s="302" t="s">
        <v>13</v>
      </c>
      <c r="C16" s="303"/>
      <c r="D16" s="303"/>
    </row>
    <row r="17" spans="1:4" x14ac:dyDescent="0.25">
      <c r="B17" s="302" t="s">
        <v>314</v>
      </c>
      <c r="C17" s="310">
        <v>0.25</v>
      </c>
      <c r="D17" s="303"/>
    </row>
    <row r="18" spans="1:4" x14ac:dyDescent="0.25">
      <c r="C18" s="303"/>
      <c r="D18" s="303"/>
    </row>
    <row r="19" spans="1:4" x14ac:dyDescent="0.25">
      <c r="B19" s="302" t="s">
        <v>315</v>
      </c>
      <c r="C19" s="311">
        <v>29</v>
      </c>
      <c r="D19" s="303"/>
    </row>
    <row r="20" spans="1:4" x14ac:dyDescent="0.25">
      <c r="A20" s="302" t="s">
        <v>316</v>
      </c>
      <c r="B20" s="312" t="s">
        <v>317</v>
      </c>
      <c r="C20" s="313">
        <f>C19*C13</f>
        <v>19.51923076923077</v>
      </c>
      <c r="D20" s="303"/>
    </row>
    <row r="21" spans="1:4" x14ac:dyDescent="0.25">
      <c r="A21" s="302" t="s">
        <v>308</v>
      </c>
      <c r="B21" s="302" t="s">
        <v>318</v>
      </c>
      <c r="C21" s="311">
        <f>SUM(C19:C20)</f>
        <v>48.519230769230774</v>
      </c>
      <c r="D21" s="303"/>
    </row>
    <row r="22" spans="1:4" x14ac:dyDescent="0.25">
      <c r="A22" s="302" t="s">
        <v>316</v>
      </c>
      <c r="B22" s="302" t="s">
        <v>319</v>
      </c>
      <c r="C22" s="311">
        <f>C21*C17</f>
        <v>12.129807692307693</v>
      </c>
      <c r="D22" s="303"/>
    </row>
    <row r="23" spans="1:4" x14ac:dyDescent="0.25">
      <c r="A23" s="302" t="s">
        <v>308</v>
      </c>
      <c r="B23" s="307" t="s">
        <v>320</v>
      </c>
      <c r="C23" s="314">
        <f>SUM(C21:C22)</f>
        <v>60.649038461538467</v>
      </c>
    </row>
    <row r="26" spans="1:4" x14ac:dyDescent="0.25">
      <c r="A26" s="301" t="s">
        <v>321</v>
      </c>
    </row>
    <row r="28" spans="1:4" x14ac:dyDescent="0.25">
      <c r="A28" s="302" t="s">
        <v>12</v>
      </c>
      <c r="B28" s="302" t="s">
        <v>322</v>
      </c>
    </row>
    <row r="29" spans="1:4" x14ac:dyDescent="0.25">
      <c r="B29" s="302" t="s">
        <v>323</v>
      </c>
    </row>
    <row r="30" spans="1:4" x14ac:dyDescent="0.25">
      <c r="B30" s="302" t="s">
        <v>324</v>
      </c>
    </row>
    <row r="32" spans="1:4" x14ac:dyDescent="0.25">
      <c r="A32" s="302" t="s">
        <v>13</v>
      </c>
      <c r="B32" s="302" t="s">
        <v>325</v>
      </c>
    </row>
    <row r="33" spans="1:2" x14ac:dyDescent="0.25">
      <c r="B33" s="302" t="s">
        <v>326</v>
      </c>
    </row>
    <row r="35" spans="1:2" x14ac:dyDescent="0.25">
      <c r="A35" s="302" t="s">
        <v>193</v>
      </c>
      <c r="B35" s="302" t="s">
        <v>327</v>
      </c>
    </row>
    <row r="36" spans="1:2" x14ac:dyDescent="0.25">
      <c r="B36" s="302" t="s">
        <v>328</v>
      </c>
    </row>
    <row r="37" spans="1:2" x14ac:dyDescent="0.25">
      <c r="B37" s="302" t="s">
        <v>329</v>
      </c>
    </row>
    <row r="38" spans="1:2" x14ac:dyDescent="0.25">
      <c r="B38" s="302" t="s">
        <v>330</v>
      </c>
    </row>
  </sheetData>
  <pageMargins left="0.75" right="0.75" top="1" bottom="1" header="0.5" footer="0.5"/>
  <pageSetup paperSize="9" orientation="portrait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35"/>
  <sheetViews>
    <sheetView zoomScale="125" workbookViewId="0">
      <selection activeCell="B4" sqref="B4"/>
    </sheetView>
  </sheetViews>
  <sheetFormatPr baseColWidth="10" defaultColWidth="11.44140625" defaultRowHeight="13.95" customHeight="1" x14ac:dyDescent="0.25"/>
  <cols>
    <col min="1" max="1" width="4.109375" style="1" customWidth="1"/>
    <col min="2" max="2" width="33.44140625" style="1" customWidth="1"/>
    <col min="3" max="3" width="12.6640625" style="1" bestFit="1" customWidth="1"/>
    <col min="4" max="16384" width="11.44140625" style="1"/>
  </cols>
  <sheetData>
    <row r="1" spans="1:3" ht="13.95" customHeight="1" x14ac:dyDescent="0.3">
      <c r="B1" s="7" t="s">
        <v>11</v>
      </c>
      <c r="C1" s="2"/>
    </row>
    <row r="3" spans="1:3" ht="13.95" customHeight="1" x14ac:dyDescent="0.3">
      <c r="B3" s="8" t="s">
        <v>28</v>
      </c>
    </row>
    <row r="5" spans="1:3" ht="13.95" customHeight="1" x14ac:dyDescent="0.3">
      <c r="A5" s="1" t="s">
        <v>12</v>
      </c>
      <c r="B5" s="7" t="s">
        <v>3</v>
      </c>
      <c r="C5" s="4"/>
    </row>
    <row r="6" spans="1:3" ht="13.95" customHeight="1" x14ac:dyDescent="0.25">
      <c r="B6" s="2" t="s">
        <v>0</v>
      </c>
      <c r="C6" s="5">
        <v>500000</v>
      </c>
    </row>
    <row r="7" spans="1:3" ht="13.95" customHeight="1" x14ac:dyDescent="0.25">
      <c r="B7" s="9" t="s">
        <v>6</v>
      </c>
      <c r="C7" s="5">
        <v>160000</v>
      </c>
    </row>
    <row r="8" spans="1:3" ht="13.95" customHeight="1" x14ac:dyDescent="0.25">
      <c r="B8" s="10" t="s">
        <v>5</v>
      </c>
      <c r="C8" s="5">
        <v>170000</v>
      </c>
    </row>
    <row r="9" spans="1:3" ht="13.95" customHeight="1" x14ac:dyDescent="0.3">
      <c r="B9" s="11" t="s">
        <v>1</v>
      </c>
      <c r="C9" s="3"/>
    </row>
    <row r="10" spans="1:3" ht="13.95" customHeight="1" x14ac:dyDescent="0.25">
      <c r="B10" s="2" t="s">
        <v>2</v>
      </c>
      <c r="C10" s="3">
        <v>28000</v>
      </c>
    </row>
    <row r="11" spans="1:3" ht="13.95" customHeight="1" x14ac:dyDescent="0.25">
      <c r="B11" s="9" t="s">
        <v>8</v>
      </c>
      <c r="C11" s="3">
        <v>40000</v>
      </c>
    </row>
    <row r="12" spans="1:3" ht="13.95" customHeight="1" x14ac:dyDescent="0.25">
      <c r="B12" s="14" t="s">
        <v>7</v>
      </c>
      <c r="C12" s="15">
        <v>102000</v>
      </c>
    </row>
    <row r="13" spans="1:3" ht="13.95" customHeight="1" x14ac:dyDescent="0.25">
      <c r="B13" s="2" t="s">
        <v>9</v>
      </c>
      <c r="C13" s="3">
        <f>SUM(C6:C12)</f>
        <v>1000000</v>
      </c>
    </row>
    <row r="14" spans="1:3" ht="13.95" customHeight="1" x14ac:dyDescent="0.25">
      <c r="B14" s="9" t="s">
        <v>10</v>
      </c>
      <c r="C14" s="3">
        <v>130000</v>
      </c>
    </row>
    <row r="15" spans="1:3" ht="13.95" customHeight="1" x14ac:dyDescent="0.25">
      <c r="B15" s="16" t="s">
        <v>4</v>
      </c>
      <c r="C15" s="17">
        <f>SUM(C14:C14)</f>
        <v>130000</v>
      </c>
    </row>
    <row r="16" spans="1:3" ht="13.95" customHeight="1" x14ac:dyDescent="0.25">
      <c r="C16" s="2"/>
    </row>
    <row r="17" spans="1:3" ht="13.95" customHeight="1" x14ac:dyDescent="0.25">
      <c r="C17" s="2"/>
    </row>
    <row r="18" spans="1:3" ht="13.95" customHeight="1" x14ac:dyDescent="0.3">
      <c r="B18" s="44" t="s">
        <v>241</v>
      </c>
    </row>
    <row r="19" spans="1:3" ht="13.95" customHeight="1" x14ac:dyDescent="0.25">
      <c r="B19" s="1" t="str">
        <f>B10</f>
        <v>Materialavdelingen</v>
      </c>
      <c r="C19" s="6">
        <f>C10/C6</f>
        <v>5.6000000000000001E-2</v>
      </c>
    </row>
    <row r="20" spans="1:3" ht="13.95" customHeight="1" x14ac:dyDescent="0.25">
      <c r="B20" s="1" t="str">
        <f>B11</f>
        <v>Tilvirkningsavdeling 1</v>
      </c>
      <c r="C20" s="6">
        <f>C11/C7</f>
        <v>0.25</v>
      </c>
    </row>
    <row r="21" spans="1:3" ht="13.95" customHeight="1" x14ac:dyDescent="0.25">
      <c r="B21" s="1" t="str">
        <f>B12</f>
        <v xml:space="preserve">Tilvirkningsavdeling 2 </v>
      </c>
      <c r="C21" s="6">
        <f>C12/C8</f>
        <v>0.6</v>
      </c>
    </row>
    <row r="22" spans="1:3" ht="13.95" customHeight="1" x14ac:dyDescent="0.25">
      <c r="B22" s="1" t="str">
        <f>B14</f>
        <v>Salgs- og adm. avdelingen</v>
      </c>
      <c r="C22" s="6">
        <f>C14/C13</f>
        <v>0.13</v>
      </c>
    </row>
    <row r="25" spans="1:3" ht="13.95" customHeight="1" x14ac:dyDescent="0.3">
      <c r="A25" s="1" t="s">
        <v>13</v>
      </c>
      <c r="B25" s="44" t="s">
        <v>14</v>
      </c>
    </row>
    <row r="26" spans="1:3" ht="13.95" customHeight="1" x14ac:dyDescent="0.25">
      <c r="B26" s="1" t="str">
        <f>B6</f>
        <v>Direkte materialer</v>
      </c>
      <c r="C26" s="13">
        <v>500</v>
      </c>
    </row>
    <row r="27" spans="1:3" ht="13.95" customHeight="1" x14ac:dyDescent="0.25">
      <c r="B27" s="1" t="str">
        <f t="shared" ref="B27:B35" si="0">B7</f>
        <v>Direkte lønn 1</v>
      </c>
      <c r="C27" s="13">
        <v>100</v>
      </c>
    </row>
    <row r="28" spans="1:3" ht="13.95" customHeight="1" x14ac:dyDescent="0.25">
      <c r="B28" s="1" t="str">
        <f t="shared" si="0"/>
        <v>Direkte lønn 2</v>
      </c>
      <c r="C28" s="13">
        <v>150</v>
      </c>
    </row>
    <row r="29" spans="1:3" ht="13.95" customHeight="1" x14ac:dyDescent="0.3">
      <c r="B29" s="12" t="str">
        <f t="shared" si="0"/>
        <v>Indirekte tilvirkn.kostnader</v>
      </c>
      <c r="C29" s="13"/>
    </row>
    <row r="30" spans="1:3" ht="13.95" customHeight="1" x14ac:dyDescent="0.25">
      <c r="B30" s="1" t="str">
        <f t="shared" si="0"/>
        <v>Materialavdelingen</v>
      </c>
      <c r="C30" s="13">
        <f>C26*C19</f>
        <v>28</v>
      </c>
    </row>
    <row r="31" spans="1:3" ht="13.95" customHeight="1" x14ac:dyDescent="0.25">
      <c r="B31" s="1" t="str">
        <f t="shared" si="0"/>
        <v>Tilvirkningsavdeling 1</v>
      </c>
      <c r="C31" s="13">
        <f>C27*C20</f>
        <v>25</v>
      </c>
    </row>
    <row r="32" spans="1:3" ht="13.95" customHeight="1" x14ac:dyDescent="0.25">
      <c r="B32" s="19" t="str">
        <f t="shared" si="0"/>
        <v xml:space="preserve">Tilvirkningsavdeling 2 </v>
      </c>
      <c r="C32" s="20">
        <f>C28*C21</f>
        <v>90</v>
      </c>
    </row>
    <row r="33" spans="2:3" ht="13.95" customHeight="1" x14ac:dyDescent="0.25">
      <c r="B33" s="1" t="str">
        <f t="shared" si="0"/>
        <v>Tilvirkningskost</v>
      </c>
      <c r="C33" s="13">
        <f>SUM(C26:C32)</f>
        <v>893</v>
      </c>
    </row>
    <row r="34" spans="2:3" ht="13.95" customHeight="1" x14ac:dyDescent="0.25">
      <c r="B34" s="1" t="str">
        <f t="shared" si="0"/>
        <v>Salgs- og adm. avdelingen</v>
      </c>
      <c r="C34" s="13">
        <f>C33*C22</f>
        <v>116.09</v>
      </c>
    </row>
    <row r="35" spans="2:3" ht="13.95" customHeight="1" x14ac:dyDescent="0.25">
      <c r="B35" s="16" t="str">
        <f t="shared" si="0"/>
        <v>Selvkost solgte varer</v>
      </c>
      <c r="C35" s="18">
        <f>SUM(C33:C34)</f>
        <v>1009.09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1200" verticalDpi="1200"/>
  <headerFooter alignWithMargins="0">
    <oddHeader>&amp;A</oddHeader>
    <oddFooter>Side &amp;P av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48"/>
  <sheetViews>
    <sheetView zoomScale="110" workbookViewId="0">
      <selection activeCell="C46" sqref="C46"/>
    </sheetView>
  </sheetViews>
  <sheetFormatPr baseColWidth="10" defaultColWidth="11.44140625" defaultRowHeight="13.95" customHeight="1" x14ac:dyDescent="0.25"/>
  <cols>
    <col min="1" max="1" width="4.109375" style="1" customWidth="1"/>
    <col min="2" max="2" width="33.44140625" style="1" customWidth="1"/>
    <col min="3" max="3" width="12.6640625" style="1" bestFit="1" customWidth="1"/>
    <col min="4" max="16384" width="11.44140625" style="1"/>
  </cols>
  <sheetData>
    <row r="1" spans="1:7" ht="13.95" customHeight="1" x14ac:dyDescent="0.3">
      <c r="B1" s="23" t="s">
        <v>21</v>
      </c>
      <c r="C1" s="2"/>
    </row>
    <row r="3" spans="1:7" ht="13.95" customHeight="1" x14ac:dyDescent="0.3">
      <c r="B3" s="8" t="s">
        <v>28</v>
      </c>
    </row>
    <row r="4" spans="1:7" ht="13.95" customHeight="1" x14ac:dyDescent="0.3">
      <c r="B4" s="8"/>
    </row>
    <row r="5" spans="1:7" ht="13.95" customHeight="1" x14ac:dyDescent="0.3">
      <c r="B5" s="24" t="s">
        <v>22</v>
      </c>
    </row>
    <row r="7" spans="1:7" ht="13.95" customHeight="1" x14ac:dyDescent="0.3">
      <c r="A7" s="1" t="s">
        <v>12</v>
      </c>
      <c r="B7" s="221" t="s">
        <v>3</v>
      </c>
      <c r="C7" s="4"/>
    </row>
    <row r="8" spans="1:7" ht="13.95" customHeight="1" x14ac:dyDescent="0.25">
      <c r="B8" s="2" t="s">
        <v>0</v>
      </c>
      <c r="C8" s="5">
        <v>712000</v>
      </c>
    </row>
    <row r="9" spans="1:7" ht="13.95" customHeight="1" x14ac:dyDescent="0.25">
      <c r="B9" s="9" t="s">
        <v>25</v>
      </c>
      <c r="C9" s="5">
        <v>608000</v>
      </c>
      <c r="D9" s="5"/>
      <c r="E9" s="5"/>
      <c r="F9" s="5"/>
      <c r="G9" s="5"/>
    </row>
    <row r="10" spans="1:7" ht="13.95" customHeight="1" x14ac:dyDescent="0.3">
      <c r="B10" s="11" t="s">
        <v>1</v>
      </c>
      <c r="C10" s="5"/>
      <c r="D10" s="5"/>
      <c r="E10" s="5"/>
      <c r="F10" s="5"/>
      <c r="G10" s="5"/>
    </row>
    <row r="11" spans="1:7" ht="13.95" customHeight="1" x14ac:dyDescent="0.25">
      <c r="B11" s="2" t="s">
        <v>2</v>
      </c>
      <c r="C11" s="5">
        <v>188000</v>
      </c>
      <c r="D11" s="5"/>
      <c r="E11" s="5"/>
      <c r="F11" s="5"/>
      <c r="G11" s="5"/>
    </row>
    <row r="12" spans="1:7" ht="13.95" customHeight="1" x14ac:dyDescent="0.25">
      <c r="B12" s="14" t="s">
        <v>26</v>
      </c>
      <c r="C12" s="21">
        <v>284000</v>
      </c>
      <c r="D12" s="5"/>
      <c r="E12" s="5"/>
      <c r="F12" s="5"/>
      <c r="G12" s="5"/>
    </row>
    <row r="13" spans="1:7" ht="13.95" customHeight="1" x14ac:dyDescent="0.25">
      <c r="B13" s="2" t="s">
        <v>9</v>
      </c>
      <c r="C13" s="5">
        <f>SUM(C8:C12)</f>
        <v>1792000</v>
      </c>
      <c r="D13" s="5"/>
      <c r="E13" s="5"/>
      <c r="F13" s="5"/>
      <c r="G13" s="5"/>
    </row>
    <row r="14" spans="1:7" ht="13.95" customHeight="1" x14ac:dyDescent="0.25">
      <c r="B14" s="14" t="s">
        <v>17</v>
      </c>
      <c r="C14" s="21">
        <f>100800-120000</f>
        <v>-19200</v>
      </c>
      <c r="D14" s="5"/>
      <c r="E14" s="5"/>
      <c r="F14" s="5"/>
      <c r="G14" s="5"/>
    </row>
    <row r="15" spans="1:7" ht="13.95" customHeight="1" x14ac:dyDescent="0.25">
      <c r="B15" s="1" t="s">
        <v>15</v>
      </c>
      <c r="C15" s="5">
        <f>SUM(C13:C14)</f>
        <v>1772800</v>
      </c>
      <c r="D15" s="5"/>
      <c r="E15" s="5"/>
      <c r="F15" s="5"/>
      <c r="G15" s="5"/>
    </row>
    <row r="16" spans="1:7" ht="13.95" customHeight="1" x14ac:dyDescent="0.25">
      <c r="B16" s="19" t="s">
        <v>16</v>
      </c>
      <c r="C16" s="21">
        <f>208000-184000</f>
        <v>24000</v>
      </c>
      <c r="D16" s="5"/>
      <c r="E16" s="5"/>
      <c r="F16" s="5"/>
      <c r="G16" s="5"/>
    </row>
    <row r="17" spans="2:7" ht="13.95" customHeight="1" x14ac:dyDescent="0.25">
      <c r="B17" s="1" t="s">
        <v>18</v>
      </c>
      <c r="C17" s="5">
        <f>SUM(C15:C16)</f>
        <v>1796800</v>
      </c>
      <c r="D17" s="5"/>
      <c r="E17" s="5"/>
      <c r="F17" s="5"/>
      <c r="G17" s="5"/>
    </row>
    <row r="18" spans="2:7" ht="13.95" customHeight="1" x14ac:dyDescent="0.25">
      <c r="B18" s="14" t="s">
        <v>10</v>
      </c>
      <c r="C18" s="21">
        <v>366400</v>
      </c>
      <c r="D18" s="5"/>
      <c r="E18" s="5"/>
      <c r="F18" s="5"/>
      <c r="G18" s="5"/>
    </row>
    <row r="19" spans="2:7" ht="13.95" customHeight="1" x14ac:dyDescent="0.25">
      <c r="B19" s="2" t="s">
        <v>4</v>
      </c>
      <c r="C19" s="5">
        <f>SUM(C17:C18)</f>
        <v>2163200</v>
      </c>
      <c r="D19" s="5"/>
      <c r="E19" s="5"/>
      <c r="F19" s="5"/>
      <c r="G19" s="5"/>
    </row>
    <row r="20" spans="2:7" ht="13.95" customHeight="1" x14ac:dyDescent="0.25">
      <c r="B20" s="1" t="s">
        <v>19</v>
      </c>
      <c r="C20" s="5">
        <v>2336000</v>
      </c>
      <c r="D20" s="5"/>
      <c r="E20" s="5"/>
      <c r="F20" s="5"/>
      <c r="G20" s="5"/>
    </row>
    <row r="21" spans="2:7" ht="13.95" customHeight="1" x14ac:dyDescent="0.25">
      <c r="B21" s="16" t="s">
        <v>20</v>
      </c>
      <c r="C21" s="22">
        <f>C20-C19</f>
        <v>172800</v>
      </c>
      <c r="D21" s="5"/>
      <c r="E21" s="5"/>
      <c r="F21" s="5"/>
      <c r="G21" s="5"/>
    </row>
    <row r="22" spans="2:7" ht="13.95" customHeight="1" x14ac:dyDescent="0.25">
      <c r="B22" s="2"/>
      <c r="C22" s="5"/>
      <c r="D22" s="5"/>
      <c r="E22" s="5"/>
      <c r="F22" s="5"/>
      <c r="G22" s="5"/>
    </row>
    <row r="23" spans="2:7" ht="13.95" customHeight="1" x14ac:dyDescent="0.25">
      <c r="C23" s="5"/>
      <c r="D23" s="5"/>
      <c r="E23" s="5"/>
      <c r="F23" s="5"/>
      <c r="G23" s="5"/>
    </row>
    <row r="24" spans="2:7" ht="13.95" customHeight="1" x14ac:dyDescent="0.3">
      <c r="B24" s="24" t="s">
        <v>23</v>
      </c>
      <c r="C24" s="5"/>
      <c r="D24" s="5"/>
      <c r="E24" s="5"/>
      <c r="F24" s="5"/>
      <c r="G24" s="5"/>
    </row>
    <row r="25" spans="2:7" ht="13.95" customHeight="1" x14ac:dyDescent="0.25">
      <c r="C25" s="5"/>
      <c r="D25" s="5"/>
      <c r="E25" s="5"/>
      <c r="F25" s="5"/>
      <c r="G25" s="5"/>
    </row>
    <row r="26" spans="2:7" ht="13.95" customHeight="1" x14ac:dyDescent="0.3">
      <c r="B26" s="24" t="str">
        <f>B3</f>
        <v xml:space="preserve">Klikk på cellene for å se utregningene </v>
      </c>
      <c r="C26" s="5"/>
      <c r="D26" s="5"/>
      <c r="E26" s="5"/>
      <c r="F26" s="5"/>
      <c r="G26" s="5"/>
    </row>
    <row r="27" spans="2:7" ht="13.95" customHeight="1" x14ac:dyDescent="0.25">
      <c r="C27" s="5"/>
      <c r="D27" s="5"/>
      <c r="E27" s="5"/>
      <c r="F27" s="5"/>
      <c r="G27" s="5"/>
    </row>
    <row r="28" spans="2:7" ht="13.95" customHeight="1" x14ac:dyDescent="0.3">
      <c r="B28" s="24" t="s">
        <v>24</v>
      </c>
      <c r="C28" s="5"/>
      <c r="D28" s="5"/>
      <c r="E28" s="5"/>
      <c r="F28" s="5"/>
      <c r="G28" s="5"/>
    </row>
    <row r="29" spans="2:7" ht="13.95" customHeight="1" x14ac:dyDescent="0.25">
      <c r="C29" s="5"/>
      <c r="D29" s="5"/>
      <c r="E29" s="5"/>
      <c r="F29" s="5"/>
      <c r="G29" s="5"/>
    </row>
    <row r="30" spans="2:7" ht="13.95" customHeight="1" x14ac:dyDescent="0.3">
      <c r="B30" s="24" t="str">
        <f>B7</f>
        <v>Driftsregnskapet (selvkost):</v>
      </c>
      <c r="C30" s="5"/>
      <c r="D30" s="5"/>
      <c r="E30" s="5"/>
      <c r="F30" s="5"/>
      <c r="G30" s="5"/>
    </row>
    <row r="31" spans="2:7" ht="13.95" customHeight="1" x14ac:dyDescent="0.25">
      <c r="B31" s="1" t="str">
        <f>B8</f>
        <v>Direkte materialer</v>
      </c>
      <c r="C31" s="5">
        <v>2640000</v>
      </c>
      <c r="D31" s="5"/>
      <c r="E31" s="5"/>
      <c r="F31" s="5"/>
      <c r="G31" s="5"/>
    </row>
    <row r="32" spans="2:7" ht="13.95" customHeight="1" x14ac:dyDescent="0.25">
      <c r="B32" s="1" t="s">
        <v>6</v>
      </c>
      <c r="C32" s="5">
        <v>1340000</v>
      </c>
      <c r="D32" s="5"/>
      <c r="E32" s="5"/>
      <c r="F32" s="5"/>
      <c r="G32" s="5"/>
    </row>
    <row r="33" spans="2:7" ht="13.95" customHeight="1" x14ac:dyDescent="0.25">
      <c r="B33" s="1" t="s">
        <v>5</v>
      </c>
      <c r="C33" s="5">
        <v>820000</v>
      </c>
      <c r="D33" s="5"/>
      <c r="E33" s="5"/>
      <c r="F33" s="5"/>
      <c r="G33" s="5"/>
    </row>
    <row r="34" spans="2:7" ht="13.95" customHeight="1" x14ac:dyDescent="0.3">
      <c r="B34" s="12" t="str">
        <f>B10</f>
        <v>Indirekte tilvirkn.kostnader</v>
      </c>
      <c r="C34" s="5"/>
      <c r="D34" s="5"/>
      <c r="E34" s="5"/>
      <c r="F34" s="5"/>
      <c r="G34" s="5"/>
    </row>
    <row r="35" spans="2:7" ht="13.95" customHeight="1" x14ac:dyDescent="0.25">
      <c r="B35" s="1" t="str">
        <f>B11</f>
        <v>Materialavdelingen</v>
      </c>
      <c r="C35" s="5">
        <v>240000</v>
      </c>
      <c r="D35" s="5"/>
      <c r="E35" s="5"/>
      <c r="F35" s="5"/>
      <c r="G35" s="5"/>
    </row>
    <row r="36" spans="2:7" ht="13.95" customHeight="1" x14ac:dyDescent="0.25">
      <c r="B36" s="1" t="s">
        <v>8</v>
      </c>
      <c r="C36" s="5">
        <v>540000</v>
      </c>
      <c r="D36" s="5"/>
      <c r="E36" s="5"/>
      <c r="F36" s="5"/>
      <c r="G36" s="5"/>
    </row>
    <row r="37" spans="2:7" ht="13.95" customHeight="1" x14ac:dyDescent="0.25">
      <c r="B37" s="19" t="s">
        <v>27</v>
      </c>
      <c r="C37" s="21">
        <v>660000</v>
      </c>
      <c r="D37" s="5"/>
      <c r="E37" s="5"/>
      <c r="F37" s="5"/>
      <c r="G37" s="5"/>
    </row>
    <row r="38" spans="2:7" ht="13.95" customHeight="1" x14ac:dyDescent="0.25">
      <c r="B38" s="1" t="str">
        <f t="shared" ref="B38:B46" si="0">B13</f>
        <v>Tilvirkningskost</v>
      </c>
      <c r="C38" s="5">
        <f>SUM(C31:C37)</f>
        <v>6240000</v>
      </c>
      <c r="D38" s="5"/>
      <c r="E38" s="5"/>
      <c r="F38" s="5"/>
      <c r="G38" s="5"/>
    </row>
    <row r="39" spans="2:7" ht="13.95" customHeight="1" x14ac:dyDescent="0.25">
      <c r="B39" s="19" t="str">
        <f t="shared" si="0"/>
        <v>Økning varer i arbeid</v>
      </c>
      <c r="C39" s="21">
        <f>120000-145000</f>
        <v>-25000</v>
      </c>
      <c r="D39" s="5"/>
      <c r="E39" s="5"/>
      <c r="F39" s="5"/>
      <c r="G39" s="5"/>
    </row>
    <row r="40" spans="2:7" ht="13.95" customHeight="1" x14ac:dyDescent="0.25">
      <c r="B40" s="1" t="str">
        <f t="shared" si="0"/>
        <v>Tilvirkningskost ferdige varer</v>
      </c>
      <c r="C40" s="5">
        <f>SUM(C38:C39)</f>
        <v>6215000</v>
      </c>
      <c r="D40" s="5"/>
      <c r="E40" s="5"/>
      <c r="F40" s="5"/>
      <c r="G40" s="5"/>
    </row>
    <row r="41" spans="2:7" ht="13.95" customHeight="1" x14ac:dyDescent="0.25">
      <c r="B41" s="19" t="str">
        <f t="shared" si="0"/>
        <v>Reduksjon ferdige varer</v>
      </c>
      <c r="C41" s="21">
        <f>720000-580000</f>
        <v>140000</v>
      </c>
      <c r="D41" s="5"/>
      <c r="E41" s="5"/>
      <c r="F41" s="5"/>
      <c r="G41" s="5"/>
    </row>
    <row r="42" spans="2:7" ht="13.95" customHeight="1" x14ac:dyDescent="0.25">
      <c r="B42" s="1" t="str">
        <f t="shared" si="0"/>
        <v>Tilvirkningskost solgte varer</v>
      </c>
      <c r="C42" s="5">
        <f>SUM(C40:C41)</f>
        <v>6355000</v>
      </c>
      <c r="D42" s="5"/>
      <c r="E42" s="5"/>
      <c r="F42" s="5"/>
      <c r="G42" s="5"/>
    </row>
    <row r="43" spans="2:7" ht="13.95" customHeight="1" x14ac:dyDescent="0.25">
      <c r="B43" s="19" t="str">
        <f t="shared" si="0"/>
        <v>Salgs- og adm. avdelingen</v>
      </c>
      <c r="C43" s="21">
        <v>960000</v>
      </c>
      <c r="D43" s="5"/>
      <c r="E43" s="5"/>
      <c r="F43" s="5"/>
      <c r="G43" s="5"/>
    </row>
    <row r="44" spans="2:7" ht="13.95" customHeight="1" x14ac:dyDescent="0.25">
      <c r="B44" s="1" t="str">
        <f t="shared" si="0"/>
        <v>Selvkost solgte varer</v>
      </c>
      <c r="C44" s="5">
        <f>SUM(C42:C43)</f>
        <v>7315000</v>
      </c>
      <c r="D44" s="5"/>
      <c r="E44" s="5"/>
      <c r="F44" s="5"/>
      <c r="G44" s="5"/>
    </row>
    <row r="45" spans="2:7" ht="13.95" customHeight="1" x14ac:dyDescent="0.25">
      <c r="B45" s="19" t="str">
        <f t="shared" si="0"/>
        <v>Salgsinntekt</v>
      </c>
      <c r="C45" s="21">
        <v>8856000</v>
      </c>
      <c r="D45" s="5"/>
      <c r="E45" s="5"/>
      <c r="F45" s="5"/>
      <c r="G45" s="5"/>
    </row>
    <row r="46" spans="2:7" ht="13.95" customHeight="1" x14ac:dyDescent="0.25">
      <c r="B46" s="19" t="str">
        <f t="shared" si="0"/>
        <v>Produksjonresultat</v>
      </c>
      <c r="C46" s="21">
        <f>C45-C44</f>
        <v>1541000</v>
      </c>
      <c r="D46" s="5"/>
      <c r="E46" s="5" t="s">
        <v>29</v>
      </c>
      <c r="F46" s="5"/>
      <c r="G46" s="5"/>
    </row>
    <row r="47" spans="2:7" ht="13.95" customHeight="1" x14ac:dyDescent="0.25">
      <c r="C47" s="5"/>
      <c r="D47" s="5"/>
      <c r="E47" s="5"/>
      <c r="F47" s="5"/>
      <c r="G47" s="5"/>
    </row>
    <row r="48" spans="2:7" ht="13.95" customHeight="1" x14ac:dyDescent="0.25">
      <c r="C48" s="5"/>
      <c r="D48" s="5"/>
      <c r="E48" s="5"/>
      <c r="F48" s="5"/>
      <c r="G48" s="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1200" verticalDpi="1200"/>
  <headerFooter alignWithMargins="0">
    <oddHeader>&amp;A</oddHeader>
    <oddFooter>Side &amp;P av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38"/>
  <sheetViews>
    <sheetView workbookViewId="0">
      <selection activeCell="A19" sqref="A19"/>
    </sheetView>
  </sheetViews>
  <sheetFormatPr baseColWidth="10" defaultColWidth="11.44140625" defaultRowHeight="15" x14ac:dyDescent="0.25"/>
  <cols>
    <col min="1" max="1" width="35.33203125" style="25" bestFit="1" customWidth="1"/>
    <col min="2" max="2" width="12.6640625" style="27" bestFit="1" customWidth="1"/>
    <col min="3" max="8" width="11.44140625" style="27"/>
    <col min="9" max="16384" width="11.44140625" style="25"/>
  </cols>
  <sheetData>
    <row r="1" spans="1:2" ht="15.6" x14ac:dyDescent="0.3">
      <c r="A1" s="24" t="s">
        <v>50</v>
      </c>
    </row>
    <row r="3" spans="1:2" ht="15.6" x14ac:dyDescent="0.3">
      <c r="A3" s="24" t="str">
        <f>'7,13-14'!B3</f>
        <v xml:space="preserve">Klikk på cellene for å se utregningene </v>
      </c>
    </row>
    <row r="5" spans="1:2" ht="15.6" x14ac:dyDescent="0.3">
      <c r="A5" s="44" t="s">
        <v>42</v>
      </c>
    </row>
    <row r="6" spans="1:2" x14ac:dyDescent="0.25">
      <c r="A6" s="25" t="str">
        <f>A23</f>
        <v>Direkte materialer</v>
      </c>
      <c r="B6" s="27">
        <v>1000000</v>
      </c>
    </row>
    <row r="7" spans="1:2" x14ac:dyDescent="0.25">
      <c r="A7" s="25" t="str">
        <f>A24</f>
        <v xml:space="preserve">Direkte lønn </v>
      </c>
      <c r="B7" s="27">
        <v>2000000</v>
      </c>
    </row>
    <row r="8" spans="1:2" ht="15.6" x14ac:dyDescent="0.3">
      <c r="A8" s="26" t="str">
        <f>A25</f>
        <v>Indirekte tilvirkn.kostnader</v>
      </c>
    </row>
    <row r="9" spans="1:2" x14ac:dyDescent="0.25">
      <c r="A9" s="25" t="str">
        <f>A26</f>
        <v>Materialavdelingen</v>
      </c>
      <c r="B9" s="27">
        <v>100000</v>
      </c>
    </row>
    <row r="10" spans="1:2" x14ac:dyDescent="0.25">
      <c r="A10" s="45" t="str">
        <f>A27</f>
        <v xml:space="preserve">Tilvirkningsavdelingen </v>
      </c>
      <c r="B10" s="46">
        <v>400000</v>
      </c>
    </row>
    <row r="11" spans="1:2" x14ac:dyDescent="0.25">
      <c r="A11" s="25" t="s">
        <v>9</v>
      </c>
      <c r="B11" s="27">
        <f>SUM(B6:B10)</f>
        <v>3500000</v>
      </c>
    </row>
    <row r="12" spans="1:2" x14ac:dyDescent="0.25">
      <c r="A12" s="25" t="str">
        <f>A33</f>
        <v>Administrasjonsavd.</v>
      </c>
      <c r="B12" s="27">
        <v>700000</v>
      </c>
    </row>
    <row r="13" spans="1:2" x14ac:dyDescent="0.25">
      <c r="A13" s="47" t="s">
        <v>48</v>
      </c>
      <c r="B13" s="48">
        <f>SUM(B11:B12)</f>
        <v>4200000</v>
      </c>
    </row>
    <row r="15" spans="1:2" ht="15.6" x14ac:dyDescent="0.3">
      <c r="A15" s="44" t="s">
        <v>49</v>
      </c>
    </row>
    <row r="16" spans="1:2" x14ac:dyDescent="0.25">
      <c r="A16" s="25" t="str">
        <f>A9</f>
        <v>Materialavdelingen</v>
      </c>
      <c r="B16" s="43">
        <f>B9/B6</f>
        <v>0.1</v>
      </c>
    </row>
    <row r="17" spans="1:4" x14ac:dyDescent="0.25">
      <c r="A17" s="25" t="str">
        <f>A10</f>
        <v xml:space="preserve">Tilvirkningsavdelingen </v>
      </c>
      <c r="B17" s="43">
        <f>B10/B7</f>
        <v>0.2</v>
      </c>
    </row>
    <row r="18" spans="1:4" x14ac:dyDescent="0.25">
      <c r="A18" s="25" t="str">
        <f>A12</f>
        <v>Administrasjonsavd.</v>
      </c>
      <c r="B18" s="43">
        <f>B12/B11</f>
        <v>0.2</v>
      </c>
    </row>
    <row r="20" spans="1:4" ht="15.6" x14ac:dyDescent="0.3">
      <c r="A20" s="44" t="s">
        <v>3</v>
      </c>
    </row>
    <row r="21" spans="1:4" x14ac:dyDescent="0.25">
      <c r="A21" s="28"/>
      <c r="B21" s="29" t="s">
        <v>30</v>
      </c>
      <c r="C21" s="30" t="s">
        <v>31</v>
      </c>
      <c r="D21" s="31" t="s">
        <v>32</v>
      </c>
    </row>
    <row r="22" spans="1:4" x14ac:dyDescent="0.25">
      <c r="A22" s="32"/>
      <c r="B22" s="33" t="s">
        <v>33</v>
      </c>
      <c r="C22" s="34" t="s">
        <v>33</v>
      </c>
      <c r="D22" s="35" t="s">
        <v>34</v>
      </c>
    </row>
    <row r="23" spans="1:4" x14ac:dyDescent="0.25">
      <c r="A23" s="36" t="s">
        <v>0</v>
      </c>
      <c r="B23" s="37">
        <v>1200000</v>
      </c>
      <c r="C23" s="37">
        <f>B23</f>
        <v>1200000</v>
      </c>
      <c r="D23" s="37"/>
    </row>
    <row r="24" spans="1:4" x14ac:dyDescent="0.25">
      <c r="A24" s="38" t="s">
        <v>43</v>
      </c>
      <c r="B24" s="37">
        <v>2200000</v>
      </c>
      <c r="C24" s="37">
        <f>B24</f>
        <v>2200000</v>
      </c>
      <c r="D24" s="37"/>
    </row>
    <row r="25" spans="1:4" ht="15.6" x14ac:dyDescent="0.3">
      <c r="A25" s="39" t="s">
        <v>1</v>
      </c>
      <c r="B25" s="37"/>
      <c r="C25" s="37"/>
      <c r="D25" s="37"/>
    </row>
    <row r="26" spans="1:4" x14ac:dyDescent="0.25">
      <c r="A26" s="36" t="s">
        <v>2</v>
      </c>
      <c r="B26" s="37">
        <f>B23*B16</f>
        <v>120000</v>
      </c>
      <c r="C26" s="37">
        <v>140000</v>
      </c>
      <c r="D26" s="37">
        <f>B26-C26</f>
        <v>-20000</v>
      </c>
    </row>
    <row r="27" spans="1:4" x14ac:dyDescent="0.25">
      <c r="A27" s="222" t="s">
        <v>44</v>
      </c>
      <c r="B27" s="35">
        <f>B24*B17</f>
        <v>440000</v>
      </c>
      <c r="C27" s="37">
        <v>400000</v>
      </c>
      <c r="D27" s="37">
        <f>B27-C27</f>
        <v>40000</v>
      </c>
    </row>
    <row r="28" spans="1:4" x14ac:dyDescent="0.25">
      <c r="A28" s="38" t="s">
        <v>45</v>
      </c>
      <c r="B28" s="37">
        <f>SUM(B23:B27)</f>
        <v>3960000</v>
      </c>
      <c r="C28" s="37"/>
      <c r="D28" s="37"/>
    </row>
    <row r="29" spans="1:4" x14ac:dyDescent="0.25">
      <c r="A29" s="222" t="s">
        <v>35</v>
      </c>
      <c r="B29" s="35">
        <v>-60000</v>
      </c>
      <c r="C29" s="37">
        <f>B29</f>
        <v>-60000</v>
      </c>
      <c r="D29" s="37"/>
    </row>
    <row r="30" spans="1:4" x14ac:dyDescent="0.25">
      <c r="A30" s="38" t="s">
        <v>46</v>
      </c>
      <c r="B30" s="37">
        <f>SUM(B28:B29)</f>
        <v>3900000</v>
      </c>
      <c r="C30" s="37"/>
      <c r="D30" s="37"/>
    </row>
    <row r="31" spans="1:4" x14ac:dyDescent="0.25">
      <c r="A31" s="222" t="s">
        <v>36</v>
      </c>
      <c r="B31" s="35">
        <v>100000</v>
      </c>
      <c r="C31" s="37">
        <f>B31</f>
        <v>100000</v>
      </c>
      <c r="D31" s="37"/>
    </row>
    <row r="32" spans="1:4" x14ac:dyDescent="0.25">
      <c r="A32" s="38" t="s">
        <v>47</v>
      </c>
      <c r="B32" s="37">
        <f>SUM(B30:B31)</f>
        <v>4000000</v>
      </c>
      <c r="C32" s="37"/>
      <c r="D32" s="37"/>
    </row>
    <row r="33" spans="1:4" x14ac:dyDescent="0.25">
      <c r="A33" s="222" t="s">
        <v>37</v>
      </c>
      <c r="B33" s="35">
        <f>B32*B18</f>
        <v>800000</v>
      </c>
      <c r="C33" s="37">
        <v>750000</v>
      </c>
      <c r="D33" s="37">
        <f>B33-C33</f>
        <v>50000</v>
      </c>
    </row>
    <row r="34" spans="1:4" x14ac:dyDescent="0.25">
      <c r="A34" s="36" t="s">
        <v>242</v>
      </c>
      <c r="B34" s="37">
        <f>SUM(B32:B33)</f>
        <v>4800000</v>
      </c>
      <c r="C34" s="37"/>
      <c r="D34" s="37"/>
    </row>
    <row r="35" spans="1:4" x14ac:dyDescent="0.25">
      <c r="A35" s="222" t="s">
        <v>38</v>
      </c>
      <c r="B35" s="35">
        <v>5500000</v>
      </c>
      <c r="C35" s="37">
        <f>B35</f>
        <v>5500000</v>
      </c>
      <c r="D35" s="37"/>
    </row>
    <row r="36" spans="1:4" x14ac:dyDescent="0.25">
      <c r="A36" s="36" t="s">
        <v>39</v>
      </c>
      <c r="B36" s="37">
        <f>B35-B34</f>
        <v>700000</v>
      </c>
      <c r="C36" s="37"/>
      <c r="D36" s="37"/>
    </row>
    <row r="37" spans="1:4" x14ac:dyDescent="0.25">
      <c r="A37" s="36" t="s">
        <v>40</v>
      </c>
      <c r="B37" s="35">
        <f>D37</f>
        <v>70000</v>
      </c>
      <c r="C37" s="37"/>
      <c r="D37" s="41">
        <f>SUM(D26:D33)</f>
        <v>70000</v>
      </c>
    </row>
    <row r="38" spans="1:4" x14ac:dyDescent="0.25">
      <c r="A38" s="218" t="s">
        <v>41</v>
      </c>
      <c r="B38" s="41">
        <f>SUM(B36:B37)</f>
        <v>770000</v>
      </c>
      <c r="C38" s="41">
        <f>C35-SUM(C23:C33)</f>
        <v>770000</v>
      </c>
      <c r="D38" s="35"/>
    </row>
  </sheetData>
  <phoneticPr fontId="5" type="noConversion"/>
  <pageMargins left="0.75" right="0.75" top="1" bottom="1" header="0.5" footer="0.5"/>
  <pageSetup paperSize="9" orientation="portrait"/>
  <headerFooter alignWithMargins="0">
    <oddHeader>&amp;A</oddHeader>
    <oddFooter>Side &amp;P av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46"/>
  <sheetViews>
    <sheetView topLeftCell="A18" zoomScale="80" workbookViewId="0">
      <selection activeCell="A43" sqref="A43"/>
    </sheetView>
  </sheetViews>
  <sheetFormatPr baseColWidth="10" defaultColWidth="11.44140625" defaultRowHeight="15" x14ac:dyDescent="0.25"/>
  <cols>
    <col min="1" max="1" width="36.109375" style="25" customWidth="1"/>
    <col min="2" max="2" width="12.6640625" style="27" bestFit="1" customWidth="1"/>
    <col min="3" max="8" width="11.44140625" style="27"/>
    <col min="9" max="16384" width="11.44140625" style="25"/>
  </cols>
  <sheetData>
    <row r="1" spans="1:2" ht="15.6" x14ac:dyDescent="0.3">
      <c r="A1" s="8" t="s">
        <v>54</v>
      </c>
    </row>
    <row r="3" spans="1:2" ht="15.6" x14ac:dyDescent="0.3">
      <c r="A3" s="24" t="str">
        <f>'7,13-14'!B3</f>
        <v xml:space="preserve">Klikk på cellene for å se utregningene </v>
      </c>
    </row>
    <row r="5" spans="1:2" ht="15.6" x14ac:dyDescent="0.3">
      <c r="A5" s="44" t="s">
        <v>42</v>
      </c>
    </row>
    <row r="6" spans="1:2" x14ac:dyDescent="0.25">
      <c r="A6" s="25" t="str">
        <f t="shared" ref="A6:A12" si="0">A29</f>
        <v>Direkte materialer</v>
      </c>
      <c r="B6" s="27">
        <v>500000</v>
      </c>
    </row>
    <row r="7" spans="1:2" x14ac:dyDescent="0.25">
      <c r="A7" s="25" t="str">
        <f t="shared" si="0"/>
        <v>Direkte lønn avdeling 1</v>
      </c>
      <c r="B7" s="27">
        <v>700000</v>
      </c>
    </row>
    <row r="8" spans="1:2" x14ac:dyDescent="0.25">
      <c r="A8" s="25" t="str">
        <f t="shared" si="0"/>
        <v>Direkte lønn avdeling 2</v>
      </c>
      <c r="B8" s="27">
        <v>300000</v>
      </c>
    </row>
    <row r="9" spans="1:2" ht="15.6" x14ac:dyDescent="0.3">
      <c r="A9" s="26" t="str">
        <f t="shared" si="0"/>
        <v>Indirekte tilvirkn.kostnader</v>
      </c>
    </row>
    <row r="10" spans="1:2" x14ac:dyDescent="0.25">
      <c r="A10" s="25" t="str">
        <f t="shared" si="0"/>
        <v>Materialavdelingen</v>
      </c>
      <c r="B10" s="27">
        <v>100000</v>
      </c>
    </row>
    <row r="11" spans="1:2" x14ac:dyDescent="0.25">
      <c r="A11" s="50" t="str">
        <f t="shared" si="0"/>
        <v>Tilvirkningsavdeling 1</v>
      </c>
      <c r="B11" s="51">
        <v>350000</v>
      </c>
    </row>
    <row r="12" spans="1:2" x14ac:dyDescent="0.25">
      <c r="A12" s="45" t="str">
        <f t="shared" si="0"/>
        <v>Tilvirkningsavdeling 2</v>
      </c>
      <c r="B12" s="46">
        <v>500000</v>
      </c>
    </row>
    <row r="13" spans="1:2" x14ac:dyDescent="0.25">
      <c r="A13" s="25" t="s">
        <v>9</v>
      </c>
      <c r="B13" s="27">
        <f>SUM(B6:B12)</f>
        <v>2450000</v>
      </c>
    </row>
    <row r="14" spans="1:2" x14ac:dyDescent="0.25">
      <c r="A14" s="25" t="str">
        <f>A41</f>
        <v>Administrasjonsavd.</v>
      </c>
      <c r="B14" s="27">
        <v>245000</v>
      </c>
    </row>
    <row r="15" spans="1:2" x14ac:dyDescent="0.25">
      <c r="A15" s="47" t="s">
        <v>48</v>
      </c>
      <c r="B15" s="48">
        <f>SUM(B13:B14)</f>
        <v>2695000</v>
      </c>
    </row>
    <row r="16" spans="1:2" x14ac:dyDescent="0.25">
      <c r="A16" s="50"/>
      <c r="B16" s="51"/>
    </row>
    <row r="17" spans="1:4" x14ac:dyDescent="0.25">
      <c r="A17" s="53" t="s">
        <v>53</v>
      </c>
      <c r="B17" s="51"/>
    </row>
    <row r="18" spans="1:4" x14ac:dyDescent="0.25">
      <c r="A18" s="50"/>
      <c r="B18" s="51"/>
    </row>
    <row r="20" spans="1:4" ht="15.6" x14ac:dyDescent="0.3">
      <c r="A20" s="44" t="s">
        <v>49</v>
      </c>
    </row>
    <row r="21" spans="1:4" x14ac:dyDescent="0.25">
      <c r="A21" s="25" t="str">
        <f>A10</f>
        <v>Materialavdelingen</v>
      </c>
      <c r="B21" s="43">
        <f>B10/B6</f>
        <v>0.2</v>
      </c>
    </row>
    <row r="22" spans="1:4" x14ac:dyDescent="0.25">
      <c r="A22" s="25" t="str">
        <f>A11</f>
        <v>Tilvirkningsavdeling 1</v>
      </c>
      <c r="B22" s="43">
        <f>B11/B7</f>
        <v>0.5</v>
      </c>
    </row>
    <row r="23" spans="1:4" x14ac:dyDescent="0.25">
      <c r="A23" s="25" t="str">
        <f>A12</f>
        <v>Tilvirkningsavdeling 2</v>
      </c>
      <c r="B23" s="52">
        <f>B12/1000</f>
        <v>500</v>
      </c>
    </row>
    <row r="24" spans="1:4" x14ac:dyDescent="0.25">
      <c r="A24" s="25" t="str">
        <f>A14</f>
        <v>Administrasjonsavd.</v>
      </c>
      <c r="B24" s="43">
        <f>B14/B13</f>
        <v>0.1</v>
      </c>
    </row>
    <row r="26" spans="1:4" ht="15.6" x14ac:dyDescent="0.3">
      <c r="A26" s="44" t="s">
        <v>3</v>
      </c>
    </row>
    <row r="27" spans="1:4" x14ac:dyDescent="0.25">
      <c r="A27" s="28"/>
      <c r="B27" s="29" t="s">
        <v>30</v>
      </c>
      <c r="C27" s="30" t="s">
        <v>31</v>
      </c>
      <c r="D27" s="31" t="s">
        <v>32</v>
      </c>
    </row>
    <row r="28" spans="1:4" x14ac:dyDescent="0.25">
      <c r="A28" s="32"/>
      <c r="B28" s="33" t="s">
        <v>33</v>
      </c>
      <c r="C28" s="34" t="s">
        <v>33</v>
      </c>
      <c r="D28" s="35" t="s">
        <v>34</v>
      </c>
    </row>
    <row r="29" spans="1:4" x14ac:dyDescent="0.25">
      <c r="A29" s="36" t="s">
        <v>0</v>
      </c>
      <c r="B29" s="37">
        <v>600000</v>
      </c>
      <c r="C29" s="37">
        <f>B29</f>
        <v>600000</v>
      </c>
      <c r="D29" s="37"/>
    </row>
    <row r="30" spans="1:4" x14ac:dyDescent="0.25">
      <c r="A30" s="38" t="s">
        <v>52</v>
      </c>
      <c r="B30" s="37">
        <v>700000</v>
      </c>
      <c r="C30" s="37">
        <f>B30</f>
        <v>700000</v>
      </c>
      <c r="D30" s="37"/>
    </row>
    <row r="31" spans="1:4" x14ac:dyDescent="0.25">
      <c r="A31" s="49" t="s">
        <v>51</v>
      </c>
      <c r="B31" s="37">
        <v>400000</v>
      </c>
      <c r="C31" s="37">
        <f>B31</f>
        <v>400000</v>
      </c>
      <c r="D31" s="37"/>
    </row>
    <row r="32" spans="1:4" ht="15.6" x14ac:dyDescent="0.3">
      <c r="A32" s="39" t="s">
        <v>1</v>
      </c>
      <c r="B32" s="37"/>
      <c r="C32" s="37"/>
      <c r="D32" s="37"/>
    </row>
    <row r="33" spans="1:4" x14ac:dyDescent="0.25">
      <c r="A33" s="36" t="s">
        <v>2</v>
      </c>
      <c r="B33" s="37">
        <f>B29*B21</f>
        <v>120000</v>
      </c>
      <c r="C33" s="37">
        <v>131500</v>
      </c>
      <c r="D33" s="37">
        <f>B33-C33</f>
        <v>-11500</v>
      </c>
    </row>
    <row r="34" spans="1:4" x14ac:dyDescent="0.25">
      <c r="A34" s="40" t="s">
        <v>8</v>
      </c>
      <c r="B34" s="37">
        <f>B7*B22</f>
        <v>350000</v>
      </c>
      <c r="C34" s="37">
        <v>365700</v>
      </c>
      <c r="D34" s="37">
        <f>B34-C34</f>
        <v>-15700</v>
      </c>
    </row>
    <row r="35" spans="1:4" x14ac:dyDescent="0.25">
      <c r="A35" s="223" t="s">
        <v>27</v>
      </c>
      <c r="B35" s="35">
        <f>B23*1150</f>
        <v>575000</v>
      </c>
      <c r="C35" s="37">
        <v>587300</v>
      </c>
      <c r="D35" s="37">
        <f>B35-C35</f>
        <v>-12300</v>
      </c>
    </row>
    <row r="36" spans="1:4" x14ac:dyDescent="0.25">
      <c r="A36" s="38" t="s">
        <v>45</v>
      </c>
      <c r="B36" s="37">
        <f>SUM(B29:B35)</f>
        <v>2745000</v>
      </c>
      <c r="C36" s="37"/>
      <c r="D36" s="37"/>
    </row>
    <row r="37" spans="1:4" x14ac:dyDescent="0.25">
      <c r="A37" s="223" t="s">
        <v>35</v>
      </c>
      <c r="B37" s="35">
        <v>-300000</v>
      </c>
      <c r="C37" s="37">
        <f>B37</f>
        <v>-300000</v>
      </c>
      <c r="D37" s="37"/>
    </row>
    <row r="38" spans="1:4" x14ac:dyDescent="0.25">
      <c r="A38" s="38" t="s">
        <v>46</v>
      </c>
      <c r="B38" s="37">
        <f>SUM(B36:B37)</f>
        <v>2445000</v>
      </c>
      <c r="C38" s="37"/>
      <c r="D38" s="37"/>
    </row>
    <row r="39" spans="1:4" x14ac:dyDescent="0.25">
      <c r="A39" s="223" t="s">
        <v>36</v>
      </c>
      <c r="B39" s="35">
        <v>-500000</v>
      </c>
      <c r="C39" s="37">
        <f>B39</f>
        <v>-500000</v>
      </c>
      <c r="D39" s="37"/>
    </row>
    <row r="40" spans="1:4" x14ac:dyDescent="0.25">
      <c r="A40" s="38" t="s">
        <v>47</v>
      </c>
      <c r="B40" s="37">
        <f>SUM(B38:B39)</f>
        <v>1945000</v>
      </c>
      <c r="C40" s="37"/>
      <c r="D40" s="37"/>
    </row>
    <row r="41" spans="1:4" x14ac:dyDescent="0.25">
      <c r="A41" s="223" t="s">
        <v>37</v>
      </c>
      <c r="B41" s="35">
        <f>B40*B24</f>
        <v>194500</v>
      </c>
      <c r="C41" s="37">
        <v>250000</v>
      </c>
      <c r="D41" s="37">
        <f>B41-C41</f>
        <v>-55500</v>
      </c>
    </row>
    <row r="42" spans="1:4" x14ac:dyDescent="0.25">
      <c r="A42" s="36" t="s">
        <v>242</v>
      </c>
      <c r="B42" s="37">
        <f>SUM(B40:B41)</f>
        <v>2139500</v>
      </c>
      <c r="C42" s="37"/>
      <c r="D42" s="37"/>
    </row>
    <row r="43" spans="1:4" x14ac:dyDescent="0.25">
      <c r="A43" s="223" t="s">
        <v>38</v>
      </c>
      <c r="B43" s="35">
        <v>2150000</v>
      </c>
      <c r="C43" s="37">
        <f>B43</f>
        <v>2150000</v>
      </c>
      <c r="D43" s="37"/>
    </row>
    <row r="44" spans="1:4" x14ac:dyDescent="0.25">
      <c r="A44" s="36" t="s">
        <v>39</v>
      </c>
      <c r="B44" s="37">
        <f>B43-B42</f>
        <v>10500</v>
      </c>
      <c r="C44" s="37"/>
      <c r="D44" s="37"/>
    </row>
    <row r="45" spans="1:4" x14ac:dyDescent="0.25">
      <c r="A45" s="36" t="s">
        <v>40</v>
      </c>
      <c r="B45" s="35">
        <f>D45</f>
        <v>-95000</v>
      </c>
      <c r="C45" s="37"/>
      <c r="D45" s="41">
        <f>SUM(D33:D41)</f>
        <v>-95000</v>
      </c>
    </row>
    <row r="46" spans="1:4" x14ac:dyDescent="0.25">
      <c r="A46" s="218" t="s">
        <v>41</v>
      </c>
      <c r="B46" s="41">
        <f>SUM(B44:B45)</f>
        <v>-84500</v>
      </c>
      <c r="C46" s="41">
        <f>C43-SUM(C29:C41)</f>
        <v>-84500</v>
      </c>
      <c r="D46" s="35"/>
    </row>
  </sheetData>
  <phoneticPr fontId="5" type="noConversion"/>
  <pageMargins left="0.75" right="0.75" top="1" bottom="1" header="0.5" footer="0.5"/>
  <pageSetup paperSize="9" orientation="portrait"/>
  <headerFooter alignWithMargins="0">
    <oddHeader>&amp;A</oddHeader>
    <oddFooter>Side &amp;P av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82"/>
  <sheetViews>
    <sheetView showGridLines="0" topLeftCell="A46" workbookViewId="0">
      <selection activeCell="B74" sqref="B74:D74"/>
    </sheetView>
  </sheetViews>
  <sheetFormatPr baseColWidth="10" defaultColWidth="9.109375" defaultRowHeight="15" x14ac:dyDescent="0.25"/>
  <cols>
    <col min="1" max="1" width="5.109375" style="1" customWidth="1"/>
    <col min="2" max="3" width="10.6640625" style="1" customWidth="1"/>
    <col min="4" max="4" width="11.6640625" style="1" customWidth="1"/>
    <col min="5" max="12" width="10.6640625" style="1" customWidth="1"/>
    <col min="13" max="16384" width="9.109375" style="1"/>
  </cols>
  <sheetData>
    <row r="1" spans="1:8" x14ac:dyDescent="0.25">
      <c r="A1" s="1" t="s">
        <v>55</v>
      </c>
      <c r="B1" s="54" t="s">
        <v>56</v>
      </c>
    </row>
    <row r="3" spans="1:8" x14ac:dyDescent="0.25">
      <c r="B3" s="1" t="s">
        <v>57</v>
      </c>
    </row>
    <row r="5" spans="1:8" x14ac:dyDescent="0.25">
      <c r="B5" s="25"/>
    </row>
    <row r="6" spans="1:8" x14ac:dyDescent="0.25">
      <c r="B6" s="1" t="s">
        <v>58</v>
      </c>
    </row>
    <row r="7" spans="1:8" x14ac:dyDescent="0.25">
      <c r="B7" s="25"/>
    </row>
    <row r="9" spans="1:8" x14ac:dyDescent="0.25">
      <c r="B9" s="1" t="s">
        <v>59</v>
      </c>
    </row>
    <row r="11" spans="1:8" ht="15.6" thickBot="1" x14ac:dyDescent="0.3"/>
    <row r="12" spans="1:8" ht="15.6" x14ac:dyDescent="0.3">
      <c r="A12" s="1" t="s">
        <v>60</v>
      </c>
      <c r="B12" s="55"/>
      <c r="C12" s="56"/>
      <c r="D12" s="56"/>
      <c r="E12" s="57" t="s">
        <v>61</v>
      </c>
      <c r="F12" s="58"/>
      <c r="G12" s="59" t="s">
        <v>62</v>
      </c>
      <c r="H12" s="60"/>
    </row>
    <row r="13" spans="1:8" x14ac:dyDescent="0.25">
      <c r="B13" s="61"/>
      <c r="C13" s="19"/>
      <c r="D13" s="19"/>
      <c r="E13" s="62" t="s">
        <v>63</v>
      </c>
      <c r="F13" s="63" t="s">
        <v>64</v>
      </c>
      <c r="G13" s="64" t="s">
        <v>63</v>
      </c>
      <c r="H13" s="65" t="s">
        <v>64</v>
      </c>
    </row>
    <row r="14" spans="1:8" x14ac:dyDescent="0.25">
      <c r="B14" s="66" t="s">
        <v>0</v>
      </c>
      <c r="C14" s="2"/>
      <c r="D14" s="2"/>
      <c r="E14" s="67">
        <v>3000</v>
      </c>
      <c r="F14" s="67">
        <v>4000</v>
      </c>
      <c r="G14" s="67">
        <v>10000</v>
      </c>
      <c r="H14" s="68">
        <v>9000</v>
      </c>
    </row>
    <row r="15" spans="1:8" x14ac:dyDescent="0.25">
      <c r="B15" s="66" t="s">
        <v>25</v>
      </c>
      <c r="C15" s="2"/>
      <c r="D15" s="2"/>
      <c r="E15" s="67">
        <v>6000</v>
      </c>
      <c r="F15" s="67">
        <v>6600</v>
      </c>
      <c r="G15" s="67">
        <v>18000</v>
      </c>
      <c r="H15" s="68">
        <v>21000</v>
      </c>
    </row>
    <row r="16" spans="1:8" x14ac:dyDescent="0.25">
      <c r="B16" s="66" t="s">
        <v>65</v>
      </c>
      <c r="C16" s="2"/>
      <c r="D16" s="2"/>
      <c r="E16" s="67">
        <f>0.25*E14</f>
        <v>750</v>
      </c>
      <c r="F16" s="67">
        <f>0.25*F14</f>
        <v>1000</v>
      </c>
      <c r="G16" s="67">
        <f>0.25*G14</f>
        <v>2500</v>
      </c>
      <c r="H16" s="68">
        <f>0.25*H14</f>
        <v>2250</v>
      </c>
    </row>
    <row r="17" spans="1:8" x14ac:dyDescent="0.25">
      <c r="B17" s="66" t="s">
        <v>66</v>
      </c>
      <c r="C17" s="2"/>
      <c r="D17" s="2"/>
      <c r="E17" s="67">
        <f>E15*275/300</f>
        <v>5500</v>
      </c>
      <c r="F17" s="67">
        <f>F15*275/300</f>
        <v>6050</v>
      </c>
      <c r="G17" s="67">
        <f>G15*275/300</f>
        <v>16500</v>
      </c>
      <c r="H17" s="68">
        <f>H15*0.916666666</f>
        <v>19249.999985999999</v>
      </c>
    </row>
    <row r="18" spans="1:8" ht="15.6" thickBot="1" x14ac:dyDescent="0.3">
      <c r="B18" s="69" t="s">
        <v>9</v>
      </c>
      <c r="C18" s="70"/>
      <c r="D18" s="70"/>
      <c r="E18" s="71">
        <f>SUM(E14:E17)</f>
        <v>15250</v>
      </c>
      <c r="F18" s="71">
        <f>SUM(F14:F17)</f>
        <v>17650</v>
      </c>
      <c r="G18" s="71">
        <f>SUM(G14:G17)</f>
        <v>47000</v>
      </c>
      <c r="H18" s="72">
        <f>SUM(H14:H17)</f>
        <v>51499.999985999995</v>
      </c>
    </row>
    <row r="19" spans="1:8" x14ac:dyDescent="0.25">
      <c r="B19" s="2"/>
      <c r="C19" s="2"/>
      <c r="D19" s="2"/>
      <c r="E19" s="3"/>
      <c r="F19" s="3"/>
      <c r="G19" s="3"/>
      <c r="H19" s="3"/>
    </row>
    <row r="20" spans="1:8" x14ac:dyDescent="0.25">
      <c r="B20" s="2" t="s">
        <v>67</v>
      </c>
      <c r="C20" s="2"/>
      <c r="D20" s="2"/>
      <c r="E20" s="3"/>
      <c r="F20" s="3"/>
      <c r="G20" s="3"/>
      <c r="H20" s="3"/>
    </row>
    <row r="21" spans="1:8" x14ac:dyDescent="0.25">
      <c r="B21" s="2" t="s">
        <v>68</v>
      </c>
      <c r="C21" s="2"/>
      <c r="D21" s="2"/>
      <c r="E21" s="3"/>
      <c r="F21" s="3"/>
      <c r="G21" s="3"/>
      <c r="H21" s="3"/>
    </row>
    <row r="22" spans="1:8" x14ac:dyDescent="0.25">
      <c r="B22" s="2" t="s">
        <v>69</v>
      </c>
      <c r="C22" s="2"/>
      <c r="D22" s="2"/>
      <c r="E22" s="3"/>
      <c r="F22" s="3"/>
      <c r="G22" s="3"/>
      <c r="H22" s="3"/>
    </row>
    <row r="23" spans="1:8" x14ac:dyDescent="0.25">
      <c r="B23" s="2"/>
      <c r="C23" s="2"/>
      <c r="D23" s="2"/>
      <c r="E23" s="3"/>
      <c r="F23" s="3"/>
      <c r="G23" s="3"/>
      <c r="H23" s="3"/>
    </row>
    <row r="24" spans="1:8" x14ac:dyDescent="0.25">
      <c r="A24" s="1" t="s">
        <v>70</v>
      </c>
      <c r="B24" s="2" t="s">
        <v>71</v>
      </c>
      <c r="C24" s="2"/>
      <c r="D24" s="2"/>
      <c r="E24" s="3"/>
      <c r="F24" s="3"/>
      <c r="G24" s="3"/>
      <c r="H24" s="3"/>
    </row>
    <row r="25" spans="1:8" x14ac:dyDescent="0.25">
      <c r="B25" s="2" t="s">
        <v>72</v>
      </c>
      <c r="C25" s="2"/>
      <c r="D25" s="2"/>
      <c r="E25" s="3"/>
      <c r="F25" s="3"/>
      <c r="G25" s="3"/>
      <c r="H25" s="3"/>
    </row>
    <row r="26" spans="1:8" x14ac:dyDescent="0.25">
      <c r="B26" s="2" t="s">
        <v>73</v>
      </c>
      <c r="C26" s="2"/>
      <c r="D26" s="2"/>
      <c r="E26" s="3"/>
      <c r="F26" s="3"/>
      <c r="G26" s="3"/>
      <c r="H26" s="3"/>
    </row>
    <row r="27" spans="1:8" x14ac:dyDescent="0.25">
      <c r="B27" s="2" t="s">
        <v>74</v>
      </c>
      <c r="C27" s="2"/>
      <c r="D27" s="2"/>
      <c r="E27" s="3"/>
      <c r="F27" s="3"/>
      <c r="G27" s="3"/>
      <c r="H27" s="3"/>
    </row>
    <row r="28" spans="1:8" x14ac:dyDescent="0.25">
      <c r="B28" s="2" t="s">
        <v>75</v>
      </c>
      <c r="C28" s="2"/>
      <c r="D28" s="2"/>
      <c r="E28" s="3"/>
      <c r="F28" s="3"/>
      <c r="G28" s="3"/>
      <c r="H28" s="3"/>
    </row>
    <row r="29" spans="1:8" x14ac:dyDescent="0.25">
      <c r="B29" s="2" t="s">
        <v>76</v>
      </c>
      <c r="C29" s="2"/>
      <c r="D29" s="2"/>
      <c r="E29" s="3"/>
      <c r="F29" s="3"/>
      <c r="G29" s="3"/>
      <c r="H29" s="3"/>
    </row>
    <row r="30" spans="1:8" x14ac:dyDescent="0.25">
      <c r="B30" s="2"/>
      <c r="C30" s="2"/>
      <c r="D30" s="2"/>
      <c r="E30" s="3"/>
      <c r="F30" s="3"/>
      <c r="G30" s="3"/>
      <c r="H30" s="3"/>
    </row>
    <row r="31" spans="1:8" x14ac:dyDescent="0.25">
      <c r="B31" s="2" t="s">
        <v>77</v>
      </c>
      <c r="C31" s="2"/>
      <c r="D31" s="2"/>
      <c r="E31" s="3"/>
      <c r="F31" s="3"/>
      <c r="G31" s="3"/>
      <c r="H31" s="3"/>
    </row>
    <row r="32" spans="1:8" x14ac:dyDescent="0.25">
      <c r="B32" s="73"/>
      <c r="C32" s="74"/>
      <c r="D32" s="74"/>
      <c r="E32" s="75" t="s">
        <v>78</v>
      </c>
      <c r="F32" s="76" t="s">
        <v>79</v>
      </c>
      <c r="G32" s="3"/>
      <c r="H32" s="3"/>
    </row>
    <row r="33" spans="2:8" x14ac:dyDescent="0.25">
      <c r="B33" s="77"/>
      <c r="C33" s="19"/>
      <c r="D33" s="19"/>
      <c r="E33" s="78"/>
      <c r="F33" s="79" t="s">
        <v>80</v>
      </c>
      <c r="G33" s="3"/>
      <c r="H33" s="3"/>
    </row>
    <row r="34" spans="2:8" x14ac:dyDescent="0.25">
      <c r="B34" s="80" t="s">
        <v>0</v>
      </c>
      <c r="C34" s="2"/>
      <c r="D34" s="2"/>
      <c r="E34" s="81">
        <v>28000</v>
      </c>
      <c r="F34" s="82"/>
      <c r="G34" s="3"/>
      <c r="H34" s="3"/>
    </row>
    <row r="35" spans="2:8" x14ac:dyDescent="0.25">
      <c r="B35" s="80" t="s">
        <v>25</v>
      </c>
      <c r="C35" s="2"/>
      <c r="D35" s="2"/>
      <c r="E35" s="81">
        <v>45000</v>
      </c>
      <c r="F35" s="83"/>
      <c r="G35" s="3"/>
      <c r="H35" s="3"/>
    </row>
    <row r="36" spans="2:8" ht="15.6" x14ac:dyDescent="0.3">
      <c r="B36" s="84" t="s">
        <v>81</v>
      </c>
      <c r="C36" s="2"/>
      <c r="D36" s="2"/>
      <c r="E36" s="81"/>
      <c r="F36" s="83"/>
      <c r="G36" s="3"/>
      <c r="H36" s="3"/>
    </row>
    <row r="37" spans="2:8" x14ac:dyDescent="0.25">
      <c r="B37" s="80" t="s">
        <v>57</v>
      </c>
      <c r="C37" s="2"/>
      <c r="D37" s="2"/>
      <c r="E37" s="81">
        <v>7400</v>
      </c>
      <c r="F37" s="85">
        <f>90/360</f>
        <v>0.25</v>
      </c>
      <c r="G37" s="3"/>
      <c r="H37" s="3"/>
    </row>
    <row r="38" spans="2:8" x14ac:dyDescent="0.25">
      <c r="B38" s="80" t="s">
        <v>58</v>
      </c>
      <c r="C38" s="2"/>
      <c r="D38" s="2"/>
      <c r="E38" s="81">
        <v>44300</v>
      </c>
      <c r="F38" s="86">
        <f>550/600</f>
        <v>0.91666666666666663</v>
      </c>
      <c r="G38" s="3"/>
      <c r="H38" s="3"/>
    </row>
    <row r="39" spans="2:8" x14ac:dyDescent="0.25">
      <c r="B39" s="80" t="s">
        <v>59</v>
      </c>
      <c r="C39" s="2"/>
      <c r="D39" s="2"/>
      <c r="E39" s="81">
        <v>25000</v>
      </c>
      <c r="F39" s="86">
        <f>300/1600</f>
        <v>0.1875</v>
      </c>
      <c r="G39" s="3"/>
      <c r="H39" s="3"/>
    </row>
    <row r="40" spans="2:8" x14ac:dyDescent="0.25">
      <c r="B40" s="80"/>
      <c r="C40" s="2"/>
      <c r="D40" s="2"/>
      <c r="E40" s="81"/>
      <c r="F40" s="83"/>
      <c r="G40" s="3"/>
      <c r="H40" s="3"/>
    </row>
    <row r="41" spans="2:8" x14ac:dyDescent="0.25">
      <c r="B41" s="80" t="s">
        <v>82</v>
      </c>
      <c r="C41" s="2"/>
      <c r="D41" s="2"/>
      <c r="E41" s="81">
        <f>E18</f>
        <v>15250</v>
      </c>
      <c r="F41" s="83"/>
      <c r="G41" s="3"/>
      <c r="H41" s="3"/>
    </row>
    <row r="42" spans="2:8" x14ac:dyDescent="0.25">
      <c r="B42" s="80" t="s">
        <v>83</v>
      </c>
      <c r="C42" s="2"/>
      <c r="D42" s="2"/>
      <c r="E42" s="81">
        <f>F18</f>
        <v>17650</v>
      </c>
      <c r="F42" s="83"/>
      <c r="G42" s="3"/>
      <c r="H42" s="3"/>
    </row>
    <row r="43" spans="2:8" x14ac:dyDescent="0.25">
      <c r="B43" s="80" t="s">
        <v>84</v>
      </c>
      <c r="C43" s="2"/>
      <c r="D43" s="2"/>
      <c r="E43" s="81">
        <f>G18</f>
        <v>47000</v>
      </c>
      <c r="F43" s="83"/>
      <c r="G43" s="3"/>
      <c r="H43" s="3"/>
    </row>
    <row r="44" spans="2:8" x14ac:dyDescent="0.25">
      <c r="B44" s="80" t="s">
        <v>85</v>
      </c>
      <c r="C44" s="2"/>
      <c r="D44" s="2"/>
      <c r="E44" s="81">
        <f>H18</f>
        <v>51499.999985999995</v>
      </c>
      <c r="F44" s="83"/>
      <c r="G44" s="3"/>
      <c r="H44" s="3"/>
    </row>
    <row r="45" spans="2:8" x14ac:dyDescent="0.25">
      <c r="B45" s="80"/>
      <c r="C45" s="2"/>
      <c r="D45" s="2"/>
      <c r="E45" s="81"/>
      <c r="F45" s="83"/>
      <c r="G45" s="3"/>
      <c r="H45" s="3"/>
    </row>
    <row r="46" spans="2:8" x14ac:dyDescent="0.25">
      <c r="B46" s="77" t="s">
        <v>38</v>
      </c>
      <c r="C46" s="19"/>
      <c r="D46" s="19"/>
      <c r="E46" s="87">
        <v>143000</v>
      </c>
      <c r="F46" s="88"/>
      <c r="G46" s="3"/>
      <c r="H46" s="3"/>
    </row>
    <row r="47" spans="2:8" x14ac:dyDescent="0.25">
      <c r="B47" s="2"/>
      <c r="C47" s="2"/>
      <c r="D47" s="2"/>
      <c r="E47" s="3"/>
      <c r="F47" s="3"/>
      <c r="G47" s="3"/>
      <c r="H47" s="3"/>
    </row>
    <row r="48" spans="2:8" x14ac:dyDescent="0.25">
      <c r="B48" s="2"/>
      <c r="C48" s="2"/>
      <c r="D48" s="2"/>
      <c r="E48" s="3"/>
      <c r="F48" s="3"/>
      <c r="G48" s="3"/>
      <c r="H48" s="3"/>
    </row>
    <row r="49" spans="2:8" x14ac:dyDescent="0.25">
      <c r="B49" s="2"/>
      <c r="C49" s="2"/>
      <c r="D49" s="2"/>
      <c r="E49" s="3"/>
      <c r="F49" s="3"/>
      <c r="G49" s="3"/>
      <c r="H49" s="3"/>
    </row>
    <row r="50" spans="2:8" x14ac:dyDescent="0.25">
      <c r="B50" s="2"/>
      <c r="C50" s="2"/>
      <c r="D50" s="2"/>
      <c r="E50" s="3"/>
      <c r="F50" s="3"/>
      <c r="G50" s="3"/>
      <c r="H50" s="3"/>
    </row>
    <row r="51" spans="2:8" x14ac:dyDescent="0.25">
      <c r="B51" s="2"/>
      <c r="C51" s="2"/>
      <c r="D51" s="2"/>
      <c r="E51" s="3"/>
      <c r="F51" s="3"/>
      <c r="G51" s="3"/>
      <c r="H51" s="3"/>
    </row>
    <row r="52" spans="2:8" x14ac:dyDescent="0.25">
      <c r="B52" s="54" t="s">
        <v>86</v>
      </c>
      <c r="C52" s="2"/>
      <c r="D52" s="2"/>
      <c r="E52" s="3"/>
      <c r="F52" s="3"/>
      <c r="G52" s="3"/>
      <c r="H52" s="3"/>
    </row>
    <row r="53" spans="2:8" x14ac:dyDescent="0.25">
      <c r="B53" s="1" t="s">
        <v>87</v>
      </c>
      <c r="F53" s="3"/>
      <c r="G53" s="3"/>
      <c r="H53" s="3"/>
    </row>
    <row r="54" spans="2:8" x14ac:dyDescent="0.25">
      <c r="B54" s="1" t="s">
        <v>88</v>
      </c>
      <c r="C54" s="2"/>
      <c r="D54" s="2"/>
      <c r="E54" s="3"/>
      <c r="F54" s="3"/>
      <c r="G54" s="3"/>
      <c r="H54" s="3"/>
    </row>
    <row r="55" spans="2:8" x14ac:dyDescent="0.25">
      <c r="B55" s="1" t="s">
        <v>89</v>
      </c>
    </row>
    <row r="58" spans="2:8" ht="15.6" x14ac:dyDescent="0.3">
      <c r="B58" s="89"/>
      <c r="C58" s="90"/>
      <c r="D58" s="91"/>
      <c r="E58" s="92" t="s">
        <v>90</v>
      </c>
      <c r="F58" s="93" t="s">
        <v>31</v>
      </c>
      <c r="G58" s="92" t="s">
        <v>91</v>
      </c>
    </row>
    <row r="59" spans="2:8" ht="15.6" x14ac:dyDescent="0.3">
      <c r="B59" s="94"/>
      <c r="C59" s="95"/>
      <c r="D59" s="96"/>
      <c r="E59" s="97" t="s">
        <v>92</v>
      </c>
      <c r="F59" s="98" t="s">
        <v>33</v>
      </c>
      <c r="G59" s="97" t="s">
        <v>93</v>
      </c>
    </row>
    <row r="60" spans="2:8" ht="15.6" x14ac:dyDescent="0.3">
      <c r="B60" s="99" t="s">
        <v>0</v>
      </c>
      <c r="C60" s="100"/>
      <c r="E60" s="101">
        <f>E34</f>
        <v>28000</v>
      </c>
      <c r="F60" s="102">
        <f>E34</f>
        <v>28000</v>
      </c>
      <c r="G60" s="101"/>
    </row>
    <row r="61" spans="2:8" ht="15.6" x14ac:dyDescent="0.3">
      <c r="B61" s="99" t="s">
        <v>25</v>
      </c>
      <c r="C61" s="100"/>
      <c r="E61" s="101">
        <f>E35</f>
        <v>45000</v>
      </c>
      <c r="F61" s="102">
        <f>E35</f>
        <v>45000</v>
      </c>
      <c r="G61" s="101"/>
    </row>
    <row r="62" spans="2:8" ht="15.6" x14ac:dyDescent="0.3">
      <c r="B62" s="103" t="s">
        <v>94</v>
      </c>
      <c r="C62" s="100"/>
      <c r="E62" s="101"/>
      <c r="F62" s="102"/>
      <c r="G62" s="101"/>
    </row>
    <row r="63" spans="2:8" ht="15.6" x14ac:dyDescent="0.3">
      <c r="B63" s="99" t="s">
        <v>95</v>
      </c>
      <c r="C63" s="100"/>
      <c r="E63" s="101">
        <f>E60*F37</f>
        <v>7000</v>
      </c>
      <c r="F63" s="102">
        <f>E37</f>
        <v>7400</v>
      </c>
      <c r="G63" s="101">
        <f>E63-F63</f>
        <v>-400</v>
      </c>
    </row>
    <row r="64" spans="2:8" ht="15.6" x14ac:dyDescent="0.3">
      <c r="B64" s="94" t="s">
        <v>96</v>
      </c>
      <c r="C64" s="95"/>
      <c r="D64" s="96"/>
      <c r="E64" s="104">
        <f>E61*F38</f>
        <v>41250</v>
      </c>
      <c r="F64" s="102">
        <f>E38</f>
        <v>44300</v>
      </c>
      <c r="G64" s="101">
        <f>E64-F64</f>
        <v>-3050</v>
      </c>
    </row>
    <row r="65" spans="1:9" ht="15.6" x14ac:dyDescent="0.3">
      <c r="B65" s="99" t="s">
        <v>243</v>
      </c>
      <c r="C65" s="100"/>
      <c r="E65" s="101">
        <f>SUM(E60:E64)</f>
        <v>121250</v>
      </c>
      <c r="F65" s="102"/>
      <c r="G65" s="101"/>
    </row>
    <row r="66" spans="1:9" ht="15.6" x14ac:dyDescent="0.3">
      <c r="B66" s="94" t="s">
        <v>35</v>
      </c>
      <c r="C66" s="95"/>
      <c r="D66" s="96"/>
      <c r="E66" s="104">
        <f>E41-E42</f>
        <v>-2400</v>
      </c>
      <c r="F66" s="102">
        <f>SUM(E66)</f>
        <v>-2400</v>
      </c>
      <c r="G66" s="101"/>
    </row>
    <row r="67" spans="1:9" ht="15.6" x14ac:dyDescent="0.3">
      <c r="B67" s="99" t="s">
        <v>244</v>
      </c>
      <c r="C67" s="100"/>
      <c r="E67" s="101">
        <f>SUM(E65:E66)</f>
        <v>118850</v>
      </c>
      <c r="F67" s="102"/>
      <c r="G67" s="101"/>
    </row>
    <row r="68" spans="1:9" ht="15.6" x14ac:dyDescent="0.3">
      <c r="B68" s="94" t="s">
        <v>36</v>
      </c>
      <c r="C68" s="95"/>
      <c r="D68" s="96"/>
      <c r="E68" s="104">
        <f>E43-E44</f>
        <v>-4499.9999859999953</v>
      </c>
      <c r="F68" s="102">
        <f>SUM(E68)</f>
        <v>-4499.9999859999953</v>
      </c>
      <c r="G68" s="101"/>
    </row>
    <row r="69" spans="1:9" ht="15.6" x14ac:dyDescent="0.3">
      <c r="B69" s="99" t="s">
        <v>47</v>
      </c>
      <c r="C69" s="100"/>
      <c r="E69" s="101">
        <f>SUM(E67:E68)</f>
        <v>114350.000014</v>
      </c>
      <c r="F69" s="102"/>
      <c r="G69" s="101"/>
    </row>
    <row r="70" spans="1:9" ht="15.6" x14ac:dyDescent="0.3">
      <c r="B70" s="94" t="s">
        <v>98</v>
      </c>
      <c r="C70" s="95"/>
      <c r="D70" s="96"/>
      <c r="E70" s="104">
        <f>E69*F39</f>
        <v>21440.625002625002</v>
      </c>
      <c r="F70" s="102">
        <f>E39</f>
        <v>25000</v>
      </c>
      <c r="G70" s="101">
        <f>E70-F70</f>
        <v>-3559.3749973749982</v>
      </c>
    </row>
    <row r="71" spans="1:9" ht="15.6" x14ac:dyDescent="0.3">
      <c r="B71" s="99" t="s">
        <v>242</v>
      </c>
      <c r="C71" s="100"/>
      <c r="E71" s="101">
        <f>SUM(E69:E70)</f>
        <v>135790.62501662501</v>
      </c>
      <c r="F71" s="102"/>
      <c r="G71" s="101"/>
    </row>
    <row r="72" spans="1:9" ht="15.6" x14ac:dyDescent="0.3">
      <c r="B72" s="94" t="s">
        <v>38</v>
      </c>
      <c r="C72" s="95"/>
      <c r="D72" s="96"/>
      <c r="E72" s="104">
        <f>E46</f>
        <v>143000</v>
      </c>
      <c r="F72" s="102">
        <f>E72</f>
        <v>143000</v>
      </c>
      <c r="G72" s="101"/>
    </row>
    <row r="73" spans="1:9" ht="15.6" x14ac:dyDescent="0.3">
      <c r="B73" s="99" t="s">
        <v>39</v>
      </c>
      <c r="C73" s="100"/>
      <c r="E73" s="101">
        <f>E72-E71</f>
        <v>7209.3749833749898</v>
      </c>
      <c r="F73" s="102"/>
      <c r="G73" s="101"/>
    </row>
    <row r="74" spans="1:9" ht="15.6" x14ac:dyDescent="0.3">
      <c r="B74" s="94" t="s">
        <v>40</v>
      </c>
      <c r="C74" s="95"/>
      <c r="D74" s="96"/>
      <c r="E74" s="104">
        <f>G74</f>
        <v>-7009.3749973749982</v>
      </c>
      <c r="F74" s="102"/>
      <c r="G74" s="101">
        <f>SUM(G60:G73)</f>
        <v>-7009.3749973749982</v>
      </c>
    </row>
    <row r="75" spans="1:9" ht="15.6" x14ac:dyDescent="0.3">
      <c r="B75" s="94" t="s">
        <v>99</v>
      </c>
      <c r="C75" s="95"/>
      <c r="D75" s="96"/>
      <c r="E75" s="104">
        <f>SUM(E73:E74)</f>
        <v>199.99998599999162</v>
      </c>
      <c r="F75" s="105">
        <f>-SUM(F60:F70)+F72</f>
        <v>199.99998600000981</v>
      </c>
      <c r="G75" s="104"/>
    </row>
    <row r="77" spans="1:9" x14ac:dyDescent="0.25">
      <c r="D77" s="106"/>
      <c r="E77" s="106"/>
      <c r="F77" s="106"/>
      <c r="G77" s="106"/>
      <c r="H77" s="106"/>
    </row>
    <row r="78" spans="1:9" ht="15.6" x14ac:dyDescent="0.3">
      <c r="A78" s="1" t="s">
        <v>100</v>
      </c>
      <c r="B78" s="107"/>
      <c r="C78" s="108"/>
      <c r="D78" s="109"/>
      <c r="E78" s="110"/>
      <c r="F78" s="111"/>
      <c r="G78" s="110"/>
      <c r="H78" s="112"/>
      <c r="I78" s="113" t="s">
        <v>101</v>
      </c>
    </row>
    <row r="79" spans="1:9" ht="15.6" x14ac:dyDescent="0.3">
      <c r="A79" s="25"/>
      <c r="B79" s="114" t="s">
        <v>102</v>
      </c>
      <c r="C79" s="115"/>
      <c r="D79" s="114" t="s">
        <v>103</v>
      </c>
      <c r="E79" s="116"/>
      <c r="F79" s="117"/>
      <c r="G79" s="118" t="s">
        <v>104</v>
      </c>
      <c r="H79" s="119" t="s">
        <v>105</v>
      </c>
      <c r="I79" s="120" t="s">
        <v>106</v>
      </c>
    </row>
    <row r="80" spans="1:9" x14ac:dyDescent="0.25">
      <c r="B80" s="80" t="s">
        <v>95</v>
      </c>
      <c r="C80" s="2"/>
      <c r="D80" s="67" t="s">
        <v>0</v>
      </c>
      <c r="E80" s="3"/>
      <c r="F80" s="83"/>
      <c r="G80" s="3">
        <f>360000/12</f>
        <v>30000</v>
      </c>
      <c r="H80" s="81">
        <f>E34</f>
        <v>28000</v>
      </c>
      <c r="I80" s="85">
        <f>H80/G80</f>
        <v>0.93333333333333335</v>
      </c>
    </row>
    <row r="81" spans="2:9" x14ac:dyDescent="0.25">
      <c r="B81" s="80" t="s">
        <v>96</v>
      </c>
      <c r="C81" s="2"/>
      <c r="D81" s="80" t="s">
        <v>25</v>
      </c>
      <c r="E81" s="2"/>
      <c r="F81" s="82"/>
      <c r="G81" s="3">
        <f>600000/12</f>
        <v>50000</v>
      </c>
      <c r="H81" s="81">
        <f>E35</f>
        <v>45000</v>
      </c>
      <c r="I81" s="85">
        <f>H81/G81</f>
        <v>0.9</v>
      </c>
    </row>
    <row r="82" spans="2:9" x14ac:dyDescent="0.25">
      <c r="B82" s="77" t="s">
        <v>107</v>
      </c>
      <c r="C82" s="19"/>
      <c r="D82" s="77" t="s">
        <v>97</v>
      </c>
      <c r="E82" s="19"/>
      <c r="F82" s="96"/>
      <c r="G82" s="15">
        <f>1600000/12</f>
        <v>133333.33333333334</v>
      </c>
      <c r="H82" s="87">
        <f>E69</f>
        <v>114350.000014</v>
      </c>
      <c r="I82" s="121">
        <f>H82/G82</f>
        <v>0.85762500010499998</v>
      </c>
    </row>
  </sheetData>
  <phoneticPr fontId="0" type="noConversion"/>
  <printOptions gridLinesSet="0"/>
  <pageMargins left="0.35433070866141736" right="0.35433070866141736" top="0.78740157480314965" bottom="0.78740157480314965" header="0.51181102362204722" footer="0.51181102362204722"/>
  <pageSetup paperSize="9" fitToHeight="2" orientation="portrait" horizontalDpi="4294967292"/>
  <headerFooter alignWithMargins="0">
    <oddHeader>&amp;A</oddHeader>
    <oddFooter>Side &amp;P av &amp;N</oddFooter>
  </headerFooter>
  <drawing r:id="rId1"/>
  <legacyDrawing r:id="rId2"/>
  <oleObjects>
    <mc:AlternateContent xmlns:mc="http://schemas.openxmlformats.org/markup-compatibility/2006">
      <mc:Choice Requires="x14">
        <oleObject progId="Equation" shapeId="1025" r:id="rId3">
          <objectPr defaultSize="0" autoLine="0" autoPict="0" r:id="rId4">
            <anchor moveWithCells="1">
              <from>
                <xdr:col>4</xdr:col>
                <xdr:colOff>15240</xdr:colOff>
                <xdr:row>1</xdr:row>
                <xdr:rowOff>45720</xdr:rowOff>
              </from>
              <to>
                <xdr:col>6</xdr:col>
                <xdr:colOff>449580</xdr:colOff>
                <xdr:row>4</xdr:row>
                <xdr:rowOff>22860</xdr:rowOff>
              </to>
            </anchor>
          </objectPr>
        </oleObject>
      </mc:Choice>
      <mc:Fallback>
        <oleObject progId="Equation" shapeId="1025" r:id="rId3"/>
      </mc:Fallback>
    </mc:AlternateContent>
    <mc:AlternateContent xmlns:mc="http://schemas.openxmlformats.org/markup-compatibility/2006">
      <mc:Choice Requires="x14">
        <oleObject progId="Equation" shapeId="1026" r:id="rId5">
          <objectPr defaultSize="0" autoLine="0" autoPict="0" r:id="rId6">
            <anchor moveWithCells="1">
              <from>
                <xdr:col>4</xdr:col>
                <xdr:colOff>15240</xdr:colOff>
                <xdr:row>4</xdr:row>
                <xdr:rowOff>68580</xdr:rowOff>
              </from>
              <to>
                <xdr:col>6</xdr:col>
                <xdr:colOff>655320</xdr:colOff>
                <xdr:row>7</xdr:row>
                <xdr:rowOff>68580</xdr:rowOff>
              </to>
            </anchor>
          </objectPr>
        </oleObject>
      </mc:Choice>
      <mc:Fallback>
        <oleObject progId="Equation" shapeId="1026" r:id="rId5"/>
      </mc:Fallback>
    </mc:AlternateContent>
    <mc:AlternateContent xmlns:mc="http://schemas.openxmlformats.org/markup-compatibility/2006">
      <mc:Choice Requires="x14">
        <oleObject progId="Equation" shapeId="1027" r:id="rId7">
          <objectPr defaultSize="0" autoLine="0" autoPict="0" r:id="rId8">
            <anchor moveWithCells="1">
              <from>
                <xdr:col>4</xdr:col>
                <xdr:colOff>15240</xdr:colOff>
                <xdr:row>7</xdr:row>
                <xdr:rowOff>137160</xdr:rowOff>
              </from>
              <to>
                <xdr:col>6</xdr:col>
                <xdr:colOff>754380</xdr:colOff>
                <xdr:row>10</xdr:row>
                <xdr:rowOff>114300</xdr:rowOff>
              </to>
            </anchor>
          </objectPr>
        </oleObject>
      </mc:Choice>
      <mc:Fallback>
        <oleObject progId="Equation" shapeId="1027" r:id="rId7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G23"/>
  <sheetViews>
    <sheetView zoomScale="70" workbookViewId="0">
      <selection activeCell="C24" sqref="C24"/>
    </sheetView>
  </sheetViews>
  <sheetFormatPr baseColWidth="10" defaultColWidth="11.44140625" defaultRowHeight="13.95" customHeight="1" x14ac:dyDescent="0.25"/>
  <cols>
    <col min="1" max="1" width="4.109375" style="1" customWidth="1"/>
    <col min="2" max="2" width="26" style="1" customWidth="1"/>
    <col min="3" max="3" width="12.6640625" style="1" bestFit="1" customWidth="1"/>
    <col min="4" max="16384" width="11.44140625" style="1"/>
  </cols>
  <sheetData>
    <row r="1" spans="2:7" ht="13.95" customHeight="1" x14ac:dyDescent="0.3">
      <c r="B1" s="23" t="s">
        <v>108</v>
      </c>
      <c r="C1" s="2"/>
    </row>
    <row r="3" spans="2:7" ht="13.95" customHeight="1" x14ac:dyDescent="0.3">
      <c r="B3" s="8" t="s">
        <v>28</v>
      </c>
    </row>
    <row r="5" spans="2:7" ht="13.95" customHeight="1" x14ac:dyDescent="0.25">
      <c r="B5" s="359"/>
      <c r="C5" s="129" t="s">
        <v>111</v>
      </c>
      <c r="D5" s="129" t="s">
        <v>112</v>
      </c>
      <c r="E5" s="129" t="s">
        <v>31</v>
      </c>
      <c r="F5" s="129" t="s">
        <v>113</v>
      </c>
      <c r="G5" s="129" t="s">
        <v>115</v>
      </c>
    </row>
    <row r="6" spans="2:7" ht="13.95" customHeight="1" x14ac:dyDescent="0.25">
      <c r="B6" s="359"/>
      <c r="C6" s="131" t="s">
        <v>33</v>
      </c>
      <c r="D6" s="131" t="s">
        <v>33</v>
      </c>
      <c r="E6" s="131" t="s">
        <v>33</v>
      </c>
      <c r="F6" s="131" t="s">
        <v>114</v>
      </c>
      <c r="G6" s="131" t="s">
        <v>114</v>
      </c>
    </row>
    <row r="7" spans="2:7" ht="13.95" customHeight="1" x14ac:dyDescent="0.25">
      <c r="B7" s="132"/>
      <c r="C7" s="133" t="s">
        <v>116</v>
      </c>
      <c r="D7" s="133" t="s">
        <v>60</v>
      </c>
      <c r="E7" s="133" t="s">
        <v>117</v>
      </c>
      <c r="F7" s="133" t="s">
        <v>118</v>
      </c>
      <c r="G7" s="133" t="s">
        <v>119</v>
      </c>
    </row>
    <row r="8" spans="2:7" ht="13.95" customHeight="1" x14ac:dyDescent="0.25">
      <c r="B8" s="129" t="s">
        <v>120</v>
      </c>
      <c r="C8" s="132"/>
      <c r="D8" s="132"/>
      <c r="E8" s="132"/>
      <c r="F8" s="132"/>
      <c r="G8" s="132"/>
    </row>
    <row r="9" spans="2:7" ht="13.95" customHeight="1" x14ac:dyDescent="0.25">
      <c r="B9" s="130" t="s">
        <v>109</v>
      </c>
      <c r="C9" s="133">
        <v>1400000</v>
      </c>
      <c r="D9" s="133">
        <v>1200000</v>
      </c>
      <c r="E9" s="133">
        <v>1000000</v>
      </c>
      <c r="F9" s="133">
        <f>C9-D9</f>
        <v>200000</v>
      </c>
      <c r="G9" s="133">
        <f>D9-E9</f>
        <v>200000</v>
      </c>
    </row>
    <row r="10" spans="2:7" ht="13.95" customHeight="1" x14ac:dyDescent="0.25">
      <c r="B10" s="131" t="s">
        <v>110</v>
      </c>
      <c r="C10" s="134">
        <v>220000</v>
      </c>
      <c r="D10" s="134">
        <f>C10</f>
        <v>220000</v>
      </c>
      <c r="E10" s="134">
        <v>200000</v>
      </c>
      <c r="F10" s="133" t="s">
        <v>124</v>
      </c>
      <c r="G10" s="133">
        <f>D10-E10</f>
        <v>20000</v>
      </c>
    </row>
    <row r="11" spans="2:7" ht="13.95" customHeight="1" x14ac:dyDescent="0.25">
      <c r="B11" s="131"/>
      <c r="C11" s="134"/>
      <c r="D11" s="134"/>
      <c r="E11" s="134"/>
      <c r="F11" s="134"/>
      <c r="G11" s="134"/>
    </row>
    <row r="12" spans="2:7" ht="13.95" customHeight="1" x14ac:dyDescent="0.25">
      <c r="B12" s="123" t="s">
        <v>121</v>
      </c>
      <c r="C12" s="124"/>
      <c r="D12" s="124"/>
      <c r="E12" s="125"/>
      <c r="F12" s="122">
        <f>SUM(F9:F11)</f>
        <v>200000</v>
      </c>
      <c r="G12" s="122">
        <f>SUM(G9:G11)</f>
        <v>220000</v>
      </c>
    </row>
    <row r="13" spans="2:7" ht="15.75" customHeight="1" x14ac:dyDescent="0.25">
      <c r="B13" s="126" t="s">
        <v>122</v>
      </c>
      <c r="C13" s="127"/>
      <c r="D13" s="127"/>
      <c r="E13" s="128"/>
      <c r="F13" s="360">
        <f>F12+G12</f>
        <v>420000</v>
      </c>
      <c r="G13" s="360"/>
    </row>
    <row r="15" spans="2:7" ht="13.95" customHeight="1" x14ac:dyDescent="0.25">
      <c r="B15" s="1" t="s">
        <v>123</v>
      </c>
    </row>
    <row r="16" spans="2:7" ht="13.95" customHeight="1" x14ac:dyDescent="0.25">
      <c r="B16" s="1" t="s">
        <v>128</v>
      </c>
    </row>
    <row r="18" spans="2:4" ht="13.95" customHeight="1" x14ac:dyDescent="0.25">
      <c r="B18" s="1" t="s">
        <v>125</v>
      </c>
      <c r="C18" s="1" t="s">
        <v>129</v>
      </c>
      <c r="D18" s="106"/>
    </row>
    <row r="20" spans="2:4" ht="13.95" customHeight="1" x14ac:dyDescent="0.25">
      <c r="B20" s="1" t="s">
        <v>126</v>
      </c>
      <c r="C20" s="1" t="s">
        <v>130</v>
      </c>
    </row>
    <row r="21" spans="2:4" ht="13.95" customHeight="1" x14ac:dyDescent="0.25">
      <c r="C21" s="1" t="s">
        <v>127</v>
      </c>
    </row>
    <row r="23" spans="2:4" ht="13.95" customHeight="1" x14ac:dyDescent="0.25">
      <c r="C23" s="1" t="s">
        <v>245</v>
      </c>
    </row>
  </sheetData>
  <mergeCells count="2">
    <mergeCell ref="B5:B6"/>
    <mergeCell ref="F13:G1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/>
  <headerFooter alignWithMargins="0">
    <oddHeader>&amp;A</oddHeader>
    <oddFooter>Side &amp;P av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43"/>
  <sheetViews>
    <sheetView zoomScale="70" workbookViewId="0">
      <selection activeCell="B16" sqref="B16"/>
    </sheetView>
  </sheetViews>
  <sheetFormatPr baseColWidth="10" defaultColWidth="11.44140625" defaultRowHeight="13.95" customHeight="1" x14ac:dyDescent="0.25"/>
  <cols>
    <col min="1" max="1" width="4.109375" style="1" customWidth="1"/>
    <col min="2" max="2" width="30.6640625" style="1" customWidth="1"/>
    <col min="3" max="3" width="12.6640625" style="1" bestFit="1" customWidth="1"/>
    <col min="4" max="16384" width="11.44140625" style="1"/>
  </cols>
  <sheetData>
    <row r="1" spans="1:3" ht="13.95" customHeight="1" x14ac:dyDescent="0.3">
      <c r="B1" s="23" t="s">
        <v>131</v>
      </c>
      <c r="C1" s="2"/>
    </row>
    <row r="3" spans="1:3" ht="13.95" customHeight="1" x14ac:dyDescent="0.3">
      <c r="B3" s="8" t="s">
        <v>28</v>
      </c>
    </row>
    <row r="5" spans="1:3" ht="13.95" customHeight="1" x14ac:dyDescent="0.25">
      <c r="A5" s="1" t="s">
        <v>12</v>
      </c>
      <c r="B5" s="1" t="s">
        <v>49</v>
      </c>
    </row>
    <row r="6" spans="1:3" ht="13.95" customHeight="1" x14ac:dyDescent="0.25">
      <c r="B6" s="1" t="s">
        <v>294</v>
      </c>
      <c r="C6" s="300">
        <f>100000/1000</f>
        <v>100</v>
      </c>
    </row>
    <row r="7" spans="1:3" ht="13.95" customHeight="1" x14ac:dyDescent="0.25">
      <c r="B7" s="1" t="s">
        <v>295</v>
      </c>
      <c r="C7" s="300">
        <f>30000/1000</f>
        <v>30</v>
      </c>
    </row>
    <row r="9" spans="1:3" ht="13.95" customHeight="1" x14ac:dyDescent="0.25">
      <c r="A9" s="1" t="s">
        <v>13</v>
      </c>
      <c r="B9" s="1" t="s">
        <v>296</v>
      </c>
      <c r="C9" s="106"/>
    </row>
    <row r="10" spans="1:3" ht="13.95" customHeight="1" x14ac:dyDescent="0.25">
      <c r="B10" s="1" t="s">
        <v>297</v>
      </c>
      <c r="C10" s="106">
        <v>1100</v>
      </c>
    </row>
    <row r="11" spans="1:3" ht="13.95" customHeight="1" x14ac:dyDescent="0.25">
      <c r="C11" s="106"/>
    </row>
    <row r="12" spans="1:3" ht="13.95" customHeight="1" x14ac:dyDescent="0.25">
      <c r="B12" s="1" t="str">
        <f>B6</f>
        <v>Faste indirekte kostnader</v>
      </c>
      <c r="C12" s="106">
        <f>$C$10*C6</f>
        <v>110000</v>
      </c>
    </row>
    <row r="13" spans="1:3" ht="15.75" customHeight="1" x14ac:dyDescent="0.25">
      <c r="B13" s="19" t="str">
        <f>B7</f>
        <v>Variable indirekte kostnader</v>
      </c>
      <c r="C13" s="15">
        <f>$C$10*C7</f>
        <v>33000</v>
      </c>
    </row>
    <row r="14" spans="1:3" ht="13.95" customHeight="1" x14ac:dyDescent="0.25">
      <c r="B14" s="1" t="s">
        <v>298</v>
      </c>
      <c r="C14" s="106">
        <f>SUM(C12:C13)</f>
        <v>143000</v>
      </c>
    </row>
    <row r="15" spans="1:3" ht="13.95" customHeight="1" x14ac:dyDescent="0.25">
      <c r="C15" s="106"/>
    </row>
    <row r="16" spans="1:3" ht="13.95" customHeight="1" x14ac:dyDescent="0.25">
      <c r="C16" s="106"/>
    </row>
    <row r="17" spans="1:7" ht="13.95" customHeight="1" x14ac:dyDescent="0.25">
      <c r="B17" s="2" t="s">
        <v>299</v>
      </c>
      <c r="C17" s="3">
        <f>C14</f>
        <v>143000</v>
      </c>
    </row>
    <row r="18" spans="1:7" ht="13.95" customHeight="1" x14ac:dyDescent="0.25">
      <c r="A18" s="1" t="s">
        <v>193</v>
      </c>
      <c r="B18" s="19" t="s">
        <v>300</v>
      </c>
      <c r="C18" s="15">
        <f>120000+28000</f>
        <v>148000</v>
      </c>
    </row>
    <row r="19" spans="1:7" ht="13.95" customHeight="1" x14ac:dyDescent="0.25">
      <c r="B19" s="1" t="s">
        <v>301</v>
      </c>
      <c r="C19" s="106">
        <f>C17-C18</f>
        <v>-5000</v>
      </c>
    </row>
    <row r="23" spans="1:7" ht="13.95" customHeight="1" x14ac:dyDescent="0.25">
      <c r="A23" s="1" t="s">
        <v>293</v>
      </c>
      <c r="B23" s="359"/>
      <c r="C23" s="129" t="s">
        <v>111</v>
      </c>
      <c r="D23" s="129" t="s">
        <v>112</v>
      </c>
      <c r="E23" s="129" t="s">
        <v>31</v>
      </c>
      <c r="F23" s="129" t="s">
        <v>113</v>
      </c>
      <c r="G23" s="129" t="s">
        <v>115</v>
      </c>
    </row>
    <row r="24" spans="1:7" ht="13.95" customHeight="1" x14ac:dyDescent="0.25">
      <c r="B24" s="359"/>
      <c r="C24" s="131" t="s">
        <v>33</v>
      </c>
      <c r="D24" s="131" t="s">
        <v>33</v>
      </c>
      <c r="E24" s="131" t="s">
        <v>33</v>
      </c>
      <c r="F24" s="131" t="s">
        <v>114</v>
      </c>
      <c r="G24" s="131" t="s">
        <v>114</v>
      </c>
    </row>
    <row r="25" spans="1:7" ht="13.95" customHeight="1" x14ac:dyDescent="0.25">
      <c r="B25" s="132"/>
      <c r="C25" s="133" t="s">
        <v>116</v>
      </c>
      <c r="D25" s="133" t="s">
        <v>60</v>
      </c>
      <c r="E25" s="133" t="s">
        <v>117</v>
      </c>
      <c r="F25" s="133" t="s">
        <v>118</v>
      </c>
      <c r="G25" s="133" t="s">
        <v>119</v>
      </c>
    </row>
    <row r="26" spans="1:7" ht="13.95" customHeight="1" x14ac:dyDescent="0.25">
      <c r="B26" s="129" t="s">
        <v>120</v>
      </c>
      <c r="C26" s="132"/>
      <c r="D26" s="132"/>
      <c r="E26" s="132"/>
      <c r="F26" s="132"/>
      <c r="G26" s="132"/>
    </row>
    <row r="27" spans="1:7" ht="13.95" customHeight="1" x14ac:dyDescent="0.25">
      <c r="B27" s="130" t="s">
        <v>109</v>
      </c>
      <c r="C27" s="133">
        <f>C12</f>
        <v>110000</v>
      </c>
      <c r="D27" s="133">
        <f>100000</f>
        <v>100000</v>
      </c>
      <c r="E27" s="133">
        <v>120000</v>
      </c>
      <c r="F27" s="133">
        <f>C27-D27</f>
        <v>10000</v>
      </c>
      <c r="G27" s="133">
        <f>D27-E27</f>
        <v>-20000</v>
      </c>
    </row>
    <row r="28" spans="1:7" ht="13.95" customHeight="1" x14ac:dyDescent="0.25">
      <c r="B28" s="131" t="s">
        <v>110</v>
      </c>
      <c r="C28" s="134">
        <f>C13</f>
        <v>33000</v>
      </c>
      <c r="D28" s="134">
        <f>C28</f>
        <v>33000</v>
      </c>
      <c r="E28" s="134">
        <v>28000</v>
      </c>
      <c r="F28" s="133" t="s">
        <v>124</v>
      </c>
      <c r="G28" s="133">
        <f>D28-E28</f>
        <v>5000</v>
      </c>
    </row>
    <row r="29" spans="1:7" ht="13.95" customHeight="1" x14ac:dyDescent="0.25">
      <c r="B29" s="131"/>
      <c r="C29" s="134"/>
      <c r="D29" s="134"/>
      <c r="E29" s="134"/>
      <c r="F29" s="134"/>
      <c r="G29" s="134"/>
    </row>
    <row r="30" spans="1:7" ht="13.95" customHeight="1" x14ac:dyDescent="0.25">
      <c r="B30" s="123" t="s">
        <v>121</v>
      </c>
      <c r="C30" s="124"/>
      <c r="D30" s="124"/>
      <c r="E30" s="125"/>
      <c r="F30" s="122">
        <f>SUM(F27:F29)</f>
        <v>10000</v>
      </c>
      <c r="G30" s="122">
        <f>SUM(G27:G29)</f>
        <v>-15000</v>
      </c>
    </row>
    <row r="31" spans="1:7" ht="13.95" customHeight="1" x14ac:dyDescent="0.25">
      <c r="B31" s="126" t="s">
        <v>122</v>
      </c>
      <c r="C31" s="127"/>
      <c r="D31" s="127"/>
      <c r="E31" s="128"/>
      <c r="F31" s="360">
        <f>F30+G30</f>
        <v>-5000</v>
      </c>
      <c r="G31" s="360"/>
    </row>
    <row r="33" spans="2:4" ht="13.95" customHeight="1" x14ac:dyDescent="0.25">
      <c r="B33" s="1" t="s">
        <v>123</v>
      </c>
    </row>
    <row r="34" spans="2:4" ht="13.95" customHeight="1" x14ac:dyDescent="0.25">
      <c r="B34" s="143" t="s">
        <v>138</v>
      </c>
    </row>
    <row r="35" spans="2:4" ht="13.95" customHeight="1" x14ac:dyDescent="0.3">
      <c r="B35" s="1" t="s">
        <v>246</v>
      </c>
    </row>
    <row r="36" spans="2:4" ht="13.95" customHeight="1" x14ac:dyDescent="0.25">
      <c r="B36" s="144" t="s">
        <v>139</v>
      </c>
    </row>
    <row r="38" spans="2:4" ht="13.95" customHeight="1" x14ac:dyDescent="0.25">
      <c r="B38" s="1" t="s">
        <v>125</v>
      </c>
      <c r="C38" s="1" t="s">
        <v>129</v>
      </c>
      <c r="D38" s="106"/>
    </row>
    <row r="40" spans="2:4" ht="13.95" customHeight="1" x14ac:dyDescent="0.25">
      <c r="B40" s="1" t="s">
        <v>126</v>
      </c>
      <c r="C40" s="1" t="s">
        <v>130</v>
      </c>
    </row>
    <row r="41" spans="2:4" ht="13.95" customHeight="1" x14ac:dyDescent="0.25">
      <c r="C41" s="1" t="s">
        <v>302</v>
      </c>
    </row>
    <row r="43" spans="2:4" ht="13.95" customHeight="1" x14ac:dyDescent="0.25">
      <c r="C43" s="1" t="str">
        <f>'7,18'!C23</f>
        <v>Se også oppgave 7,21 a)</v>
      </c>
    </row>
  </sheetData>
  <mergeCells count="2">
    <mergeCell ref="B23:B24"/>
    <mergeCell ref="F31:G3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fitToHeight="2" orientation="landscape" horizontalDpi="1200" verticalDpi="1200"/>
  <headerFooter alignWithMargins="0">
    <oddHeader>&amp;A</oddHeader>
    <oddFooter>Side &amp;P av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62"/>
  <sheetViews>
    <sheetView tabSelected="1" zoomScale="75" workbookViewId="0">
      <selection activeCell="C44" sqref="C44"/>
    </sheetView>
  </sheetViews>
  <sheetFormatPr baseColWidth="10" defaultColWidth="11.44140625" defaultRowHeight="15" x14ac:dyDescent="0.25"/>
  <cols>
    <col min="1" max="1" width="35.33203125" style="25" bestFit="1" customWidth="1"/>
    <col min="2" max="2" width="13.33203125" style="27" customWidth="1"/>
    <col min="3" max="4" width="12" style="27" bestFit="1" customWidth="1"/>
    <col min="5" max="5" width="14.33203125" style="27" bestFit="1" customWidth="1"/>
    <col min="6" max="6" width="12.77734375" style="27" customWidth="1"/>
    <col min="7" max="8" width="11.44140625" style="27"/>
    <col min="9" max="16384" width="11.44140625" style="25"/>
  </cols>
  <sheetData>
    <row r="1" spans="1:4" ht="15.6" x14ac:dyDescent="0.3">
      <c r="A1" s="8" t="s">
        <v>132</v>
      </c>
    </row>
    <row r="3" spans="1:4" ht="15.6" x14ac:dyDescent="0.3">
      <c r="A3" s="24" t="str">
        <f>'7,13-14'!B3</f>
        <v xml:space="preserve">Klikk på cellene for å se utregningene </v>
      </c>
    </row>
    <row r="5" spans="1:4" ht="15.6" x14ac:dyDescent="0.3">
      <c r="A5" s="44" t="s">
        <v>49</v>
      </c>
      <c r="B5" s="135" t="s">
        <v>134</v>
      </c>
      <c r="C5" s="135" t="s">
        <v>133</v>
      </c>
      <c r="D5" s="135" t="s">
        <v>135</v>
      </c>
    </row>
    <row r="6" spans="1:4" x14ac:dyDescent="0.25">
      <c r="A6" s="25" t="str">
        <f>A16</f>
        <v>Materialavdelingen</v>
      </c>
      <c r="B6" s="43">
        <v>0.1</v>
      </c>
      <c r="C6" s="43">
        <v>0.08</v>
      </c>
      <c r="D6" s="43">
        <v>0.02</v>
      </c>
    </row>
    <row r="7" spans="1:4" x14ac:dyDescent="0.25">
      <c r="A7" s="25" t="str">
        <f>A17</f>
        <v xml:space="preserve">Tilvirkningsavdelingen </v>
      </c>
      <c r="B7" s="43">
        <v>0.5</v>
      </c>
      <c r="C7" s="43">
        <v>0.4</v>
      </c>
      <c r="D7" s="43">
        <v>0.1</v>
      </c>
    </row>
    <row r="8" spans="1:4" x14ac:dyDescent="0.25">
      <c r="A8" s="25" t="str">
        <f>A23</f>
        <v>Administrasjonsavd.</v>
      </c>
      <c r="B8" s="43">
        <v>0.2</v>
      </c>
      <c r="C8" s="43">
        <v>0.2</v>
      </c>
      <c r="D8" s="43"/>
    </row>
    <row r="10" spans="1:4" ht="15.6" x14ac:dyDescent="0.3">
      <c r="A10" s="44" t="s">
        <v>3</v>
      </c>
    </row>
    <row r="11" spans="1:4" x14ac:dyDescent="0.25">
      <c r="A11" s="28"/>
      <c r="B11" s="29" t="s">
        <v>30</v>
      </c>
      <c r="C11" s="30" t="s">
        <v>31</v>
      </c>
      <c r="D11" s="31" t="s">
        <v>32</v>
      </c>
    </row>
    <row r="12" spans="1:4" x14ac:dyDescent="0.25">
      <c r="A12" s="32"/>
      <c r="B12" s="33" t="s">
        <v>33</v>
      </c>
      <c r="C12" s="34" t="s">
        <v>33</v>
      </c>
      <c r="D12" s="35" t="s">
        <v>34</v>
      </c>
    </row>
    <row r="13" spans="1:4" x14ac:dyDescent="0.25">
      <c r="A13" s="36" t="s">
        <v>0</v>
      </c>
      <c r="B13" s="37">
        <v>500000</v>
      </c>
      <c r="C13" s="37">
        <f>B13</f>
        <v>500000</v>
      </c>
      <c r="D13" s="37"/>
    </row>
    <row r="14" spans="1:4" x14ac:dyDescent="0.25">
      <c r="A14" s="38" t="s">
        <v>43</v>
      </c>
      <c r="B14" s="37">
        <v>700000</v>
      </c>
      <c r="C14" s="37">
        <f>B14</f>
        <v>700000</v>
      </c>
      <c r="D14" s="37"/>
    </row>
    <row r="15" spans="1:4" ht="15.6" x14ac:dyDescent="0.3">
      <c r="A15" s="39" t="s">
        <v>1</v>
      </c>
      <c r="B15" s="37"/>
      <c r="C15" s="37"/>
      <c r="D15" s="37"/>
    </row>
    <row r="16" spans="1:4" x14ac:dyDescent="0.25">
      <c r="A16" s="36" t="s">
        <v>2</v>
      </c>
      <c r="B16" s="37">
        <f>B13*B6</f>
        <v>50000</v>
      </c>
      <c r="C16" s="37">
        <v>55600</v>
      </c>
      <c r="D16" s="37">
        <f>B16-C16</f>
        <v>-5600</v>
      </c>
    </row>
    <row r="17" spans="1:6" x14ac:dyDescent="0.25">
      <c r="A17" s="222" t="s">
        <v>44</v>
      </c>
      <c r="B17" s="35">
        <f>B14*B7</f>
        <v>350000</v>
      </c>
      <c r="C17" s="37">
        <v>378500</v>
      </c>
      <c r="D17" s="37">
        <f>B17-C17</f>
        <v>-28500</v>
      </c>
    </row>
    <row r="18" spans="1:6" x14ac:dyDescent="0.25">
      <c r="A18" s="38" t="s">
        <v>45</v>
      </c>
      <c r="B18" s="37">
        <f>SUM(B13:B17)</f>
        <v>1600000</v>
      </c>
      <c r="C18" s="37"/>
      <c r="D18" s="37"/>
    </row>
    <row r="19" spans="1:6" x14ac:dyDescent="0.25">
      <c r="A19" s="222" t="s">
        <v>35</v>
      </c>
      <c r="B19" s="35">
        <v>160000</v>
      </c>
      <c r="C19" s="37">
        <f>B19</f>
        <v>160000</v>
      </c>
      <c r="D19" s="37"/>
    </row>
    <row r="20" spans="1:6" x14ac:dyDescent="0.25">
      <c r="A20" s="38" t="s">
        <v>46</v>
      </c>
      <c r="B20" s="37">
        <f>SUM(B18:B19)</f>
        <v>1760000</v>
      </c>
      <c r="C20" s="37"/>
      <c r="D20" s="37"/>
    </row>
    <row r="21" spans="1:6" x14ac:dyDescent="0.25">
      <c r="A21" s="222" t="s">
        <v>36</v>
      </c>
      <c r="B21" s="35">
        <v>-150000</v>
      </c>
      <c r="C21" s="37">
        <f>B21</f>
        <v>-150000</v>
      </c>
      <c r="D21" s="37"/>
    </row>
    <row r="22" spans="1:6" x14ac:dyDescent="0.25">
      <c r="A22" s="38" t="s">
        <v>47</v>
      </c>
      <c r="B22" s="37">
        <f>SUM(B20:B21)</f>
        <v>1610000</v>
      </c>
      <c r="C22" s="37"/>
      <c r="D22" s="37"/>
    </row>
    <row r="23" spans="1:6" x14ac:dyDescent="0.25">
      <c r="A23" s="222" t="s">
        <v>37</v>
      </c>
      <c r="B23" s="35">
        <f>B22*B8</f>
        <v>322000</v>
      </c>
      <c r="C23" s="37">
        <v>320000</v>
      </c>
      <c r="D23" s="37">
        <f>B23-C23</f>
        <v>2000</v>
      </c>
    </row>
    <row r="24" spans="1:6" x14ac:dyDescent="0.25">
      <c r="A24" s="36" t="s">
        <v>242</v>
      </c>
      <c r="B24" s="37">
        <f>SUM(B22:B23)</f>
        <v>1932000</v>
      </c>
      <c r="C24" s="37"/>
      <c r="D24" s="37"/>
    </row>
    <row r="25" spans="1:6" x14ac:dyDescent="0.25">
      <c r="A25" s="222" t="s">
        <v>38</v>
      </c>
      <c r="B25" s="35">
        <v>2250000</v>
      </c>
      <c r="C25" s="37">
        <f>B25</f>
        <v>2250000</v>
      </c>
      <c r="D25" s="37"/>
    </row>
    <row r="26" spans="1:6" x14ac:dyDescent="0.25">
      <c r="A26" s="36" t="s">
        <v>39</v>
      </c>
      <c r="B26" s="37">
        <f>B25-B24</f>
        <v>318000</v>
      </c>
      <c r="C26" s="37"/>
      <c r="D26" s="37"/>
    </row>
    <row r="27" spans="1:6" x14ac:dyDescent="0.25">
      <c r="A27" s="222" t="s">
        <v>40</v>
      </c>
      <c r="B27" s="35">
        <f>D27</f>
        <v>-32100</v>
      </c>
      <c r="C27" s="37"/>
      <c r="D27" s="41">
        <f>SUM(D16:D23)</f>
        <v>-32100</v>
      </c>
    </row>
    <row r="28" spans="1:6" x14ac:dyDescent="0.25">
      <c r="A28" s="42" t="s">
        <v>41</v>
      </c>
      <c r="B28" s="41">
        <f>SUM(B26:B27)</f>
        <v>285900</v>
      </c>
      <c r="C28" s="41">
        <f>C25-SUM(C13:C23)</f>
        <v>285900</v>
      </c>
      <c r="D28" s="35"/>
    </row>
    <row r="31" spans="1:6" ht="15.6" x14ac:dyDescent="0.3">
      <c r="A31" s="44" t="s">
        <v>247</v>
      </c>
    </row>
    <row r="32" spans="1:6" ht="18" customHeight="1" x14ac:dyDescent="0.25">
      <c r="A32" s="361"/>
      <c r="B32" s="132" t="s">
        <v>111</v>
      </c>
      <c r="C32" s="132" t="s">
        <v>112</v>
      </c>
      <c r="D32" s="132" t="s">
        <v>31</v>
      </c>
      <c r="E32" s="132" t="s">
        <v>113</v>
      </c>
      <c r="F32" s="132" t="s">
        <v>115</v>
      </c>
    </row>
    <row r="33" spans="1:6" ht="15.6" x14ac:dyDescent="0.25">
      <c r="A33" s="361"/>
      <c r="B33" s="133" t="s">
        <v>33</v>
      </c>
      <c r="C33" s="133" t="s">
        <v>33</v>
      </c>
      <c r="D33" s="133" t="s">
        <v>33</v>
      </c>
      <c r="E33" s="133" t="s">
        <v>114</v>
      </c>
      <c r="F33" s="133" t="s">
        <v>114</v>
      </c>
    </row>
    <row r="34" spans="1:6" ht="15.6" x14ac:dyDescent="0.25">
      <c r="A34" s="232" t="str">
        <f>A16</f>
        <v>Materialavdelingen</v>
      </c>
      <c r="B34" s="122" t="s">
        <v>116</v>
      </c>
      <c r="C34" s="122" t="s">
        <v>60</v>
      </c>
      <c r="D34" s="122" t="s">
        <v>117</v>
      </c>
      <c r="E34" s="122" t="s">
        <v>118</v>
      </c>
      <c r="F34" s="122" t="s">
        <v>119</v>
      </c>
    </row>
    <row r="35" spans="1:6" ht="15.6" x14ac:dyDescent="0.25">
      <c r="A35" s="232" t="s">
        <v>133</v>
      </c>
      <c r="B35" s="137">
        <f>B13*C6</f>
        <v>40000</v>
      </c>
      <c r="C35" s="137">
        <v>45000</v>
      </c>
      <c r="D35" s="137">
        <v>42650</v>
      </c>
      <c r="E35" s="137">
        <f>B35-C35</f>
        <v>-5000</v>
      </c>
      <c r="F35" s="137">
        <f>C35-D35</f>
        <v>2350</v>
      </c>
    </row>
    <row r="36" spans="1:6" ht="15.6" x14ac:dyDescent="0.25">
      <c r="A36" s="232" t="s">
        <v>135</v>
      </c>
      <c r="B36" s="137">
        <f>B13*D6</f>
        <v>10000</v>
      </c>
      <c r="C36" s="137">
        <f>B36</f>
        <v>10000</v>
      </c>
      <c r="D36" s="137">
        <v>12950</v>
      </c>
      <c r="E36" s="137" t="s">
        <v>124</v>
      </c>
      <c r="F36" s="137">
        <f>C36-D36</f>
        <v>-2950</v>
      </c>
    </row>
    <row r="37" spans="1:6" ht="15.6" x14ac:dyDescent="0.25">
      <c r="A37" s="232"/>
      <c r="B37" s="224">
        <f>SUM(B35:B36)</f>
        <v>50000</v>
      </c>
      <c r="C37" s="224">
        <f>SUM(C35:C36)</f>
        <v>55000</v>
      </c>
      <c r="D37" s="224">
        <f>SUM(D35:D36)</f>
        <v>55600</v>
      </c>
      <c r="E37" s="137"/>
      <c r="F37" s="137"/>
    </row>
    <row r="38" spans="1:6" ht="15.6" x14ac:dyDescent="0.25">
      <c r="A38" s="136" t="s">
        <v>120</v>
      </c>
      <c r="B38" s="137"/>
      <c r="C38" s="137"/>
      <c r="D38" s="137"/>
      <c r="E38" s="137"/>
      <c r="F38" s="137"/>
    </row>
    <row r="39" spans="1:6" ht="15.6" x14ac:dyDescent="0.25">
      <c r="A39" s="136" t="s">
        <v>109</v>
      </c>
      <c r="B39" s="137">
        <f>B14*C7</f>
        <v>280000</v>
      </c>
      <c r="C39" s="137">
        <v>300000</v>
      </c>
      <c r="D39" s="137">
        <v>275300</v>
      </c>
      <c r="E39" s="137">
        <f>B39-C39</f>
        <v>-20000</v>
      </c>
      <c r="F39" s="137">
        <f>C39-D39</f>
        <v>24700</v>
      </c>
    </row>
    <row r="40" spans="1:6" ht="15.6" x14ac:dyDescent="0.25">
      <c r="A40" s="136" t="s">
        <v>110</v>
      </c>
      <c r="B40" s="137">
        <f>B14*D7</f>
        <v>70000</v>
      </c>
      <c r="C40" s="137">
        <f>B40</f>
        <v>70000</v>
      </c>
      <c r="D40" s="137">
        <v>103200</v>
      </c>
      <c r="E40" s="137" t="s">
        <v>124</v>
      </c>
      <c r="F40" s="137">
        <f>C40-D40</f>
        <v>-33200</v>
      </c>
    </row>
    <row r="41" spans="1:6" ht="15.6" x14ac:dyDescent="0.25">
      <c r="A41" s="136"/>
      <c r="B41" s="224">
        <f>SUM(B39:B40)</f>
        <v>350000</v>
      </c>
      <c r="C41" s="224">
        <f>SUM(C39:C40)</f>
        <v>370000</v>
      </c>
      <c r="D41" s="224">
        <f>SUM(D39:D40)</f>
        <v>378500</v>
      </c>
      <c r="E41" s="137"/>
      <c r="F41" s="137"/>
    </row>
    <row r="42" spans="1:6" ht="15.6" x14ac:dyDescent="0.25">
      <c r="A42" s="136" t="s">
        <v>136</v>
      </c>
      <c r="B42" s="137"/>
      <c r="C42" s="137"/>
      <c r="D42" s="137"/>
      <c r="E42" s="137"/>
      <c r="F42" s="137"/>
    </row>
    <row r="43" spans="1:6" ht="15.6" x14ac:dyDescent="0.25">
      <c r="A43" s="136" t="s">
        <v>109</v>
      </c>
      <c r="B43" s="224">
        <f>B23</f>
        <v>322000</v>
      </c>
      <c r="C43" s="224">
        <v>348750</v>
      </c>
      <c r="D43" s="224">
        <f>C23</f>
        <v>320000</v>
      </c>
      <c r="E43" s="137">
        <f>B43-C43</f>
        <v>-26750</v>
      </c>
      <c r="F43" s="137">
        <f>C43-D43</f>
        <v>28750</v>
      </c>
    </row>
    <row r="44" spans="1:6" ht="15.6" x14ac:dyDescent="0.25">
      <c r="A44" s="136"/>
      <c r="B44" s="137"/>
      <c r="C44" s="137"/>
      <c r="D44" s="137"/>
      <c r="E44" s="137"/>
      <c r="F44" s="137"/>
    </row>
    <row r="45" spans="1:6" ht="15.6" x14ac:dyDescent="0.25">
      <c r="A45" s="136"/>
      <c r="B45" s="225">
        <f>SUM(B35:B44)</f>
        <v>1122000</v>
      </c>
      <c r="C45" s="225">
        <f>SUM(C35:C44)</f>
        <v>1198750</v>
      </c>
      <c r="D45" s="225">
        <f>SUM(D35:D44)</f>
        <v>1188200</v>
      </c>
      <c r="E45" s="138"/>
      <c r="F45" s="138"/>
    </row>
    <row r="46" spans="1:6" ht="15.6" x14ac:dyDescent="0.25">
      <c r="A46" s="136" t="s">
        <v>121</v>
      </c>
      <c r="B46" s="139"/>
      <c r="C46" s="139"/>
      <c r="D46" s="140"/>
      <c r="E46" s="138">
        <f>SUM(E35:E45)</f>
        <v>-51750</v>
      </c>
      <c r="F46" s="138">
        <f>SUM(F35:F45)</f>
        <v>19650</v>
      </c>
    </row>
    <row r="47" spans="1:6" ht="15.6" x14ac:dyDescent="0.25">
      <c r="A47" s="126" t="s">
        <v>122</v>
      </c>
      <c r="B47" s="141"/>
      <c r="C47" s="141"/>
      <c r="D47" s="142"/>
      <c r="E47" s="362">
        <f>E46+F46</f>
        <v>-32100</v>
      </c>
      <c r="F47" s="363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 t="s">
        <v>123</v>
      </c>
      <c r="B49" s="1"/>
      <c r="C49" s="1"/>
      <c r="D49" s="1"/>
      <c r="E49" s="1"/>
      <c r="F49" s="1"/>
    </row>
    <row r="50" spans="1:6" x14ac:dyDescent="0.25">
      <c r="A50" s="143" t="s">
        <v>138</v>
      </c>
      <c r="B50" s="1"/>
      <c r="C50" s="1"/>
      <c r="D50" s="1"/>
      <c r="E50" s="1"/>
      <c r="F50" s="1"/>
    </row>
    <row r="51" spans="1:6" x14ac:dyDescent="0.25">
      <c r="A51" s="1" t="s">
        <v>137</v>
      </c>
      <c r="B51" s="1"/>
      <c r="C51" s="1"/>
      <c r="D51" s="1"/>
      <c r="E51" s="1"/>
      <c r="F51" s="1"/>
    </row>
    <row r="52" spans="1:6" x14ac:dyDescent="0.25">
      <c r="A52" s="144" t="s">
        <v>139</v>
      </c>
      <c r="E52" s="1"/>
      <c r="F52" s="1"/>
    </row>
    <row r="53" spans="1:6" x14ac:dyDescent="0.25">
      <c r="D53" s="1"/>
      <c r="E53" s="1"/>
      <c r="F53" s="1"/>
    </row>
    <row r="54" spans="1:6" x14ac:dyDescent="0.25">
      <c r="D54" s="1"/>
      <c r="E54" s="1"/>
      <c r="F54" s="1"/>
    </row>
    <row r="55" spans="1:6" x14ac:dyDescent="0.25">
      <c r="D55" s="1"/>
      <c r="E55" s="1"/>
      <c r="F55" s="1"/>
    </row>
    <row r="56" spans="1:6" x14ac:dyDescent="0.25">
      <c r="A56" s="1" t="s">
        <v>125</v>
      </c>
      <c r="B56" s="1" t="s">
        <v>129</v>
      </c>
      <c r="C56" s="106"/>
      <c r="D56" s="1"/>
    </row>
    <row r="57" spans="1:6" x14ac:dyDescent="0.25">
      <c r="A57" s="1"/>
      <c r="B57" s="1" t="s">
        <v>140</v>
      </c>
      <c r="C57" s="106"/>
      <c r="D57" s="1"/>
    </row>
    <row r="58" spans="1:6" x14ac:dyDescent="0.25">
      <c r="A58" s="1"/>
      <c r="B58" s="1"/>
      <c r="C58" s="1"/>
    </row>
    <row r="59" spans="1:6" x14ac:dyDescent="0.25">
      <c r="A59" s="1" t="s">
        <v>126</v>
      </c>
      <c r="B59" s="1" t="s">
        <v>130</v>
      </c>
      <c r="C59" s="1"/>
    </row>
    <row r="60" spans="1:6" x14ac:dyDescent="0.25">
      <c r="A60" s="1"/>
      <c r="B60" s="143" t="s">
        <v>142</v>
      </c>
      <c r="C60" s="1"/>
    </row>
    <row r="61" spans="1:6" x14ac:dyDescent="0.25">
      <c r="B61" s="1" t="s">
        <v>141</v>
      </c>
    </row>
    <row r="62" spans="1:6" x14ac:dyDescent="0.25">
      <c r="B62" s="1" t="s">
        <v>142</v>
      </c>
    </row>
  </sheetData>
  <mergeCells count="2">
    <mergeCell ref="A32:A33"/>
    <mergeCell ref="E47:F47"/>
  </mergeCells>
  <phoneticPr fontId="5" type="noConversion"/>
  <pageMargins left="0.75" right="0.75" top="1" bottom="1" header="0.5" footer="0.5"/>
  <pageSetup paperSize="9" scale="74" orientation="portrait"/>
  <headerFooter alignWithMargins="0">
    <oddHeader>&amp;A</oddHeader>
    <oddFooter>Side &amp;P av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3:I99"/>
  <sheetViews>
    <sheetView showGridLines="0" workbookViewId="0">
      <selection activeCell="D20" sqref="D20"/>
    </sheetView>
  </sheetViews>
  <sheetFormatPr baseColWidth="10" defaultColWidth="9.109375" defaultRowHeight="13.8" x14ac:dyDescent="0.25"/>
  <cols>
    <col min="1" max="1" width="3.6640625" style="145" customWidth="1"/>
    <col min="2" max="5" width="9.33203125" style="145" customWidth="1"/>
    <col min="6" max="6" width="9.77734375" style="145" customWidth="1"/>
    <col min="7" max="10" width="9.33203125" style="145" customWidth="1"/>
    <col min="11" max="16384" width="9.109375" style="145"/>
  </cols>
  <sheetData>
    <row r="3" spans="1:7" x14ac:dyDescent="0.25">
      <c r="A3" s="145" t="s">
        <v>55</v>
      </c>
      <c r="B3" s="146" t="s">
        <v>143</v>
      </c>
    </row>
    <row r="5" spans="1:7" x14ac:dyDescent="0.25">
      <c r="B5" s="145" t="s">
        <v>144</v>
      </c>
      <c r="D5" s="145" t="s">
        <v>133</v>
      </c>
      <c r="E5" s="145" t="s">
        <v>145</v>
      </c>
      <c r="G5" s="147">
        <f>77000*0.05</f>
        <v>3850</v>
      </c>
    </row>
    <row r="6" spans="1:7" x14ac:dyDescent="0.25">
      <c r="D6" s="145" t="s">
        <v>135</v>
      </c>
      <c r="E6" s="145" t="s">
        <v>146</v>
      </c>
      <c r="G6" s="147">
        <f>77000*0.025</f>
        <v>1925</v>
      </c>
    </row>
    <row r="7" spans="1:7" x14ac:dyDescent="0.25">
      <c r="D7" s="145" t="s">
        <v>147</v>
      </c>
      <c r="G7" s="148">
        <f>SUM(G5:G6)</f>
        <v>5775</v>
      </c>
    </row>
    <row r="8" spans="1:7" x14ac:dyDescent="0.25">
      <c r="G8" s="149"/>
    </row>
    <row r="10" spans="1:7" x14ac:dyDescent="0.25">
      <c r="B10" s="150" t="s">
        <v>148</v>
      </c>
      <c r="C10" s="151"/>
      <c r="D10" s="151"/>
      <c r="E10" s="151"/>
      <c r="F10" s="151"/>
      <c r="G10" s="152">
        <f>750*50</f>
        <v>37500</v>
      </c>
    </row>
    <row r="11" spans="1:7" x14ac:dyDescent="0.25">
      <c r="B11" s="153" t="s">
        <v>149</v>
      </c>
      <c r="C11" s="154"/>
      <c r="D11" s="154"/>
      <c r="E11" s="154"/>
      <c r="F11" s="154"/>
      <c r="G11" s="155">
        <f>600*50</f>
        <v>30000</v>
      </c>
    </row>
    <row r="12" spans="1:7" x14ac:dyDescent="0.25">
      <c r="B12" s="156"/>
      <c r="C12" s="156"/>
      <c r="D12" s="156"/>
      <c r="E12" s="156"/>
      <c r="F12" s="156"/>
      <c r="G12" s="149"/>
    </row>
    <row r="13" spans="1:7" x14ac:dyDescent="0.25">
      <c r="G13" s="147"/>
    </row>
    <row r="14" spans="1:7" x14ac:dyDescent="0.25">
      <c r="B14" s="145" t="s">
        <v>150</v>
      </c>
      <c r="D14" s="145" t="s">
        <v>133</v>
      </c>
      <c r="E14" s="145" t="s">
        <v>151</v>
      </c>
      <c r="G14" s="147">
        <f>0.24*G10</f>
        <v>9000</v>
      </c>
    </row>
    <row r="15" spans="1:7" x14ac:dyDescent="0.25">
      <c r="D15" s="145" t="s">
        <v>135</v>
      </c>
      <c r="E15" s="145" t="s">
        <v>152</v>
      </c>
      <c r="G15" s="147">
        <f>37500*0.2</f>
        <v>7500</v>
      </c>
    </row>
    <row r="16" spans="1:7" x14ac:dyDescent="0.25">
      <c r="D16" s="145" t="s">
        <v>147</v>
      </c>
      <c r="G16" s="148">
        <f>SUM(G14:G15)</f>
        <v>16500</v>
      </c>
    </row>
    <row r="17" spans="2:7" x14ac:dyDescent="0.25">
      <c r="G17" s="147"/>
    </row>
    <row r="18" spans="2:7" x14ac:dyDescent="0.25">
      <c r="B18" s="145" t="s">
        <v>153</v>
      </c>
      <c r="D18" s="145" t="str">
        <f>D14</f>
        <v>Faste</v>
      </c>
      <c r="E18" s="145" t="s">
        <v>154</v>
      </c>
      <c r="G18" s="147">
        <f>600*3</f>
        <v>1800</v>
      </c>
    </row>
    <row r="19" spans="2:7" x14ac:dyDescent="0.25">
      <c r="D19" s="145" t="str">
        <f>D15</f>
        <v>Variable</v>
      </c>
      <c r="E19" s="145" t="s">
        <v>155</v>
      </c>
      <c r="G19" s="147">
        <f>600*5</f>
        <v>3000</v>
      </c>
    </row>
    <row r="20" spans="2:7" x14ac:dyDescent="0.25">
      <c r="D20" s="145" t="str">
        <f>D16</f>
        <v>SUM</v>
      </c>
      <c r="G20" s="148">
        <f>SUM(G18:G19)</f>
        <v>4800</v>
      </c>
    </row>
    <row r="21" spans="2:7" x14ac:dyDescent="0.25">
      <c r="G21" s="147"/>
    </row>
    <row r="22" spans="2:7" x14ac:dyDescent="0.25">
      <c r="B22" s="145" t="s">
        <v>156</v>
      </c>
      <c r="D22" s="145" t="str">
        <f>D18</f>
        <v>Faste</v>
      </c>
      <c r="E22" s="145" t="s">
        <v>157</v>
      </c>
      <c r="G22" s="147">
        <f>150500*0.08</f>
        <v>12040</v>
      </c>
    </row>
    <row r="23" spans="2:7" x14ac:dyDescent="0.25">
      <c r="D23" s="145" t="str">
        <f>D19</f>
        <v>Variable</v>
      </c>
      <c r="E23" s="145" t="s">
        <v>158</v>
      </c>
      <c r="G23" s="147">
        <f>150500*0.02</f>
        <v>3010</v>
      </c>
    </row>
    <row r="24" spans="2:7" x14ac:dyDescent="0.25">
      <c r="D24" s="145" t="str">
        <f>D20</f>
        <v>SUM</v>
      </c>
      <c r="G24" s="148">
        <f>SUM(G22:G23)</f>
        <v>15050</v>
      </c>
    </row>
    <row r="27" spans="2:7" x14ac:dyDescent="0.25">
      <c r="B27" s="146" t="s">
        <v>159</v>
      </c>
    </row>
    <row r="29" spans="2:7" x14ac:dyDescent="0.25">
      <c r="B29" s="145" t="str">
        <f>B5</f>
        <v>Materialavd.</v>
      </c>
      <c r="D29" s="145" t="str">
        <f>D18</f>
        <v>Faste</v>
      </c>
      <c r="E29" s="145" t="s">
        <v>160</v>
      </c>
      <c r="G29" s="147">
        <f>42000/12</f>
        <v>3500</v>
      </c>
    </row>
    <row r="30" spans="2:7" x14ac:dyDescent="0.25">
      <c r="D30" s="145" t="str">
        <f>D19</f>
        <v>Variable</v>
      </c>
      <c r="E30" s="145" t="str">
        <f>E6</f>
        <v>2,5 % av 77.000 =</v>
      </c>
      <c r="G30" s="147">
        <f>G6</f>
        <v>1925</v>
      </c>
    </row>
    <row r="31" spans="2:7" x14ac:dyDescent="0.25">
      <c r="G31" s="147"/>
    </row>
    <row r="32" spans="2:7" x14ac:dyDescent="0.25">
      <c r="B32" s="145" t="str">
        <f>B14</f>
        <v>T - 1</v>
      </c>
      <c r="D32" s="145" t="str">
        <f>D14</f>
        <v>Faste</v>
      </c>
      <c r="E32" s="145" t="s">
        <v>161</v>
      </c>
      <c r="G32" s="147">
        <f>90000/12</f>
        <v>7500</v>
      </c>
    </row>
    <row r="33" spans="2:8" x14ac:dyDescent="0.25">
      <c r="D33" s="145" t="str">
        <f>D15</f>
        <v>Variable</v>
      </c>
      <c r="E33" s="145" t="str">
        <f>E15</f>
        <v>20 % av 37.500 =</v>
      </c>
      <c r="G33" s="147">
        <f>G15</f>
        <v>7500</v>
      </c>
    </row>
    <row r="34" spans="2:8" x14ac:dyDescent="0.25">
      <c r="G34" s="147"/>
    </row>
    <row r="35" spans="2:8" x14ac:dyDescent="0.25">
      <c r="B35" s="145" t="str">
        <f>B18</f>
        <v>T-2</v>
      </c>
      <c r="D35" s="145" t="str">
        <f>D18</f>
        <v>Faste</v>
      </c>
      <c r="E35" s="145" t="s">
        <v>162</v>
      </c>
      <c r="G35" s="147">
        <f>27000/12</f>
        <v>2250</v>
      </c>
    </row>
    <row r="36" spans="2:8" x14ac:dyDescent="0.25">
      <c r="D36" s="145" t="str">
        <f>D19</f>
        <v>Variable</v>
      </c>
      <c r="E36" s="145" t="str">
        <f>E19</f>
        <v>600 timer à kr 5,- =</v>
      </c>
      <c r="G36" s="147">
        <f>G19</f>
        <v>3000</v>
      </c>
    </row>
    <row r="37" spans="2:8" x14ac:dyDescent="0.25">
      <c r="G37" s="147"/>
    </row>
    <row r="38" spans="2:8" x14ac:dyDescent="0.25">
      <c r="B38" s="145" t="str">
        <f>B22</f>
        <v>Salgs- og adm.avd.</v>
      </c>
      <c r="D38" s="145" t="str">
        <f>D22</f>
        <v>Faste</v>
      </c>
      <c r="E38" s="145" t="s">
        <v>163</v>
      </c>
      <c r="G38" s="147">
        <f>157200/12</f>
        <v>13100</v>
      </c>
    </row>
    <row r="39" spans="2:8" x14ac:dyDescent="0.25">
      <c r="D39" s="145" t="str">
        <f>D23</f>
        <v>Variable</v>
      </c>
      <c r="E39" s="145" t="str">
        <f>E23</f>
        <v>2 % av 150.500 =</v>
      </c>
      <c r="G39" s="147">
        <f>G23</f>
        <v>3010</v>
      </c>
    </row>
    <row r="40" spans="2:8" x14ac:dyDescent="0.25">
      <c r="G40" s="147"/>
    </row>
    <row r="42" spans="2:8" x14ac:dyDescent="0.25">
      <c r="E42" s="157" t="s">
        <v>164</v>
      </c>
      <c r="F42" s="157" t="s">
        <v>150</v>
      </c>
      <c r="G42" s="157" t="s">
        <v>165</v>
      </c>
      <c r="H42" s="157" t="s">
        <v>166</v>
      </c>
    </row>
    <row r="43" spans="2:8" x14ac:dyDescent="0.25">
      <c r="B43" s="145" t="s">
        <v>167</v>
      </c>
      <c r="E43" s="147">
        <f>G7</f>
        <v>5775</v>
      </c>
      <c r="F43" s="147">
        <f>G16</f>
        <v>16500</v>
      </c>
      <c r="G43" s="147">
        <f>G20</f>
        <v>4800</v>
      </c>
      <c r="H43" s="147">
        <f>G24</f>
        <v>15050</v>
      </c>
    </row>
    <row r="44" spans="2:8" x14ac:dyDescent="0.25">
      <c r="B44" s="145" t="s">
        <v>168</v>
      </c>
      <c r="E44" s="147">
        <v>5250</v>
      </c>
      <c r="F44" s="147">
        <v>15850</v>
      </c>
      <c r="G44" s="147">
        <v>5650</v>
      </c>
      <c r="H44" s="147">
        <v>15100</v>
      </c>
    </row>
    <row r="45" spans="2:8" x14ac:dyDescent="0.25">
      <c r="B45" s="145" t="s">
        <v>40</v>
      </c>
      <c r="E45" s="148">
        <f>E43-E44</f>
        <v>525</v>
      </c>
      <c r="F45" s="148">
        <f>F43-F44</f>
        <v>650</v>
      </c>
      <c r="G45" s="148">
        <f>G43-G44</f>
        <v>-850</v>
      </c>
      <c r="H45" s="148">
        <f>H43-H44</f>
        <v>-50</v>
      </c>
    </row>
    <row r="51" spans="2:9" ht="14.4" thickBot="1" x14ac:dyDescent="0.3"/>
    <row r="52" spans="2:9" x14ac:dyDescent="0.25">
      <c r="B52" s="158"/>
      <c r="C52" s="159"/>
      <c r="D52" s="160"/>
      <c r="E52" s="162" t="s">
        <v>116</v>
      </c>
      <c r="F52" s="162" t="s">
        <v>60</v>
      </c>
      <c r="G52" s="162" t="s">
        <v>117</v>
      </c>
      <c r="H52" s="187" t="s">
        <v>178</v>
      </c>
      <c r="I52" s="188" t="s">
        <v>179</v>
      </c>
    </row>
    <row r="53" spans="2:9" x14ac:dyDescent="0.25">
      <c r="B53" s="163" t="s">
        <v>144</v>
      </c>
      <c r="C53" s="156"/>
      <c r="D53" s="164" t="s">
        <v>169</v>
      </c>
      <c r="E53" s="165">
        <f>G5</f>
        <v>3850</v>
      </c>
      <c r="F53" s="165">
        <f>G29</f>
        <v>3500</v>
      </c>
      <c r="G53" s="165">
        <v>3450</v>
      </c>
      <c r="H53" s="166">
        <f t="shared" ref="H53:I60" si="0">E53-F53</f>
        <v>350</v>
      </c>
      <c r="I53" s="167">
        <f t="shared" si="0"/>
        <v>50</v>
      </c>
    </row>
    <row r="54" spans="2:9" x14ac:dyDescent="0.25">
      <c r="B54" s="168"/>
      <c r="C54" s="154"/>
      <c r="D54" s="153" t="s">
        <v>170</v>
      </c>
      <c r="E54" s="169">
        <f>G6</f>
        <v>1925</v>
      </c>
      <c r="F54" s="170">
        <f>G30</f>
        <v>1925</v>
      </c>
      <c r="G54" s="170">
        <v>1800</v>
      </c>
      <c r="H54" s="170">
        <f t="shared" si="0"/>
        <v>0</v>
      </c>
      <c r="I54" s="171">
        <f t="shared" si="0"/>
        <v>125</v>
      </c>
    </row>
    <row r="55" spans="2:9" x14ac:dyDescent="0.25">
      <c r="B55" s="163" t="s">
        <v>150</v>
      </c>
      <c r="C55" s="156"/>
      <c r="D55" s="164" t="s">
        <v>169</v>
      </c>
      <c r="E55" s="165">
        <f>G14</f>
        <v>9000</v>
      </c>
      <c r="F55" s="165">
        <f>G32</f>
        <v>7500</v>
      </c>
      <c r="G55" s="165">
        <v>7600</v>
      </c>
      <c r="H55" s="166">
        <f t="shared" si="0"/>
        <v>1500</v>
      </c>
      <c r="I55" s="167">
        <f t="shared" si="0"/>
        <v>-100</v>
      </c>
    </row>
    <row r="56" spans="2:9" x14ac:dyDescent="0.25">
      <c r="B56" s="168"/>
      <c r="C56" s="154"/>
      <c r="D56" s="153" t="s">
        <v>170</v>
      </c>
      <c r="E56" s="169">
        <f>G15</f>
        <v>7500</v>
      </c>
      <c r="F56" s="170">
        <f>G33</f>
        <v>7500</v>
      </c>
      <c r="G56" s="170">
        <v>8250</v>
      </c>
      <c r="H56" s="170">
        <f t="shared" si="0"/>
        <v>0</v>
      </c>
      <c r="I56" s="171">
        <f t="shared" si="0"/>
        <v>-750</v>
      </c>
    </row>
    <row r="57" spans="2:9" x14ac:dyDescent="0.25">
      <c r="B57" s="163" t="s">
        <v>165</v>
      </c>
      <c r="C57" s="156"/>
      <c r="D57" s="164" t="s">
        <v>169</v>
      </c>
      <c r="E57" s="172">
        <f>G18</f>
        <v>1800</v>
      </c>
      <c r="F57" s="165">
        <f>G35</f>
        <v>2250</v>
      </c>
      <c r="G57" s="165">
        <v>2275</v>
      </c>
      <c r="H57" s="165">
        <f t="shared" si="0"/>
        <v>-450</v>
      </c>
      <c r="I57" s="173">
        <f t="shared" si="0"/>
        <v>-25</v>
      </c>
    </row>
    <row r="58" spans="2:9" x14ac:dyDescent="0.25">
      <c r="B58" s="168"/>
      <c r="C58" s="154"/>
      <c r="D58" s="153" t="s">
        <v>170</v>
      </c>
      <c r="E58" s="169">
        <f>G19</f>
        <v>3000</v>
      </c>
      <c r="F58" s="170">
        <f>G36</f>
        <v>3000</v>
      </c>
      <c r="G58" s="170">
        <v>3375</v>
      </c>
      <c r="H58" s="170">
        <f t="shared" si="0"/>
        <v>0</v>
      </c>
      <c r="I58" s="171">
        <f t="shared" si="0"/>
        <v>-375</v>
      </c>
    </row>
    <row r="59" spans="2:9" x14ac:dyDescent="0.25">
      <c r="B59" s="163" t="str">
        <f>B38</f>
        <v>Salgs- og adm.avd.</v>
      </c>
      <c r="C59" s="156"/>
      <c r="D59" s="164" t="str">
        <f>D57</f>
        <v>Fast</v>
      </c>
      <c r="E59" s="165">
        <f>G22</f>
        <v>12040</v>
      </c>
      <c r="F59" s="165">
        <f>G38</f>
        <v>13100</v>
      </c>
      <c r="G59" s="165">
        <v>11500</v>
      </c>
      <c r="H59" s="165">
        <f t="shared" si="0"/>
        <v>-1060</v>
      </c>
      <c r="I59" s="173">
        <f t="shared" si="0"/>
        <v>1600</v>
      </c>
    </row>
    <row r="60" spans="2:9" ht="14.4" thickBot="1" x14ac:dyDescent="0.3">
      <c r="B60" s="174"/>
      <c r="C60" s="175"/>
      <c r="D60" s="176" t="str">
        <f>D58</f>
        <v>Variabel</v>
      </c>
      <c r="E60" s="177">
        <f>G23</f>
        <v>3010</v>
      </c>
      <c r="F60" s="177">
        <f>G39</f>
        <v>3010</v>
      </c>
      <c r="G60" s="177">
        <v>3600</v>
      </c>
      <c r="H60" s="177">
        <f t="shared" si="0"/>
        <v>0</v>
      </c>
      <c r="I60" s="178">
        <f t="shared" si="0"/>
        <v>-590</v>
      </c>
    </row>
    <row r="62" spans="2:9" x14ac:dyDescent="0.25">
      <c r="B62" s="150"/>
      <c r="C62" s="151"/>
      <c r="D62" s="179" t="s">
        <v>104</v>
      </c>
      <c r="E62" s="179" t="s">
        <v>171</v>
      </c>
      <c r="F62" s="180" t="s">
        <v>172</v>
      </c>
    </row>
    <row r="63" spans="2:9" x14ac:dyDescent="0.25">
      <c r="B63" s="153"/>
      <c r="C63" s="154"/>
      <c r="D63" s="181" t="s">
        <v>173</v>
      </c>
      <c r="E63" s="181" t="s">
        <v>173</v>
      </c>
      <c r="F63" s="182" t="s">
        <v>174</v>
      </c>
    </row>
    <row r="64" spans="2:9" x14ac:dyDescent="0.25">
      <c r="B64" s="164" t="str">
        <f>B53</f>
        <v>Materialavd.</v>
      </c>
      <c r="C64" s="156"/>
      <c r="D64" s="164">
        <f>840000/12</f>
        <v>70000</v>
      </c>
      <c r="E64" s="164">
        <v>77000</v>
      </c>
      <c r="F64" s="183" t="s">
        <v>175</v>
      </c>
    </row>
    <row r="65" spans="2:6" x14ac:dyDescent="0.25">
      <c r="B65" s="164" t="str">
        <f>B55</f>
        <v>T - 1</v>
      </c>
      <c r="C65" s="156"/>
      <c r="D65" s="164">
        <f>375000/12</f>
        <v>31250</v>
      </c>
      <c r="E65" s="164">
        <f>750*50</f>
        <v>37500</v>
      </c>
      <c r="F65" s="183" t="s">
        <v>176</v>
      </c>
    </row>
    <row r="66" spans="2:6" x14ac:dyDescent="0.25">
      <c r="B66" s="164" t="str">
        <f>B57</f>
        <v>T - 2</v>
      </c>
      <c r="C66" s="156"/>
      <c r="D66" s="164">
        <f>9000/12</f>
        <v>750</v>
      </c>
      <c r="E66" s="164">
        <v>600</v>
      </c>
      <c r="F66" s="183" t="s">
        <v>177</v>
      </c>
    </row>
    <row r="67" spans="2:6" x14ac:dyDescent="0.25">
      <c r="B67" s="153" t="str">
        <f>B59</f>
        <v>Salgs- og adm.avd.</v>
      </c>
      <c r="C67" s="154"/>
      <c r="D67" s="153">
        <f>1965000/12</f>
        <v>163750</v>
      </c>
      <c r="E67" s="153">
        <v>150500</v>
      </c>
      <c r="F67" s="184"/>
    </row>
    <row r="94" spans="1:6" x14ac:dyDescent="0.25">
      <c r="A94" s="145" t="s">
        <v>60</v>
      </c>
      <c r="B94" s="150"/>
      <c r="C94" s="151"/>
      <c r="D94" s="179" t="str">
        <f t="shared" ref="D94:E99" si="1">D62</f>
        <v>Normal</v>
      </c>
      <c r="E94" s="179" t="str">
        <f t="shared" si="1"/>
        <v>Virkelig</v>
      </c>
      <c r="F94" s="180" t="s">
        <v>101</v>
      </c>
    </row>
    <row r="95" spans="1:6" x14ac:dyDescent="0.25">
      <c r="B95" s="153"/>
      <c r="C95" s="154"/>
      <c r="D95" s="181" t="str">
        <f t="shared" si="1"/>
        <v>beskj.</v>
      </c>
      <c r="E95" s="181" t="str">
        <f t="shared" si="1"/>
        <v>beskj.</v>
      </c>
      <c r="F95" s="182" t="s">
        <v>106</v>
      </c>
    </row>
    <row r="96" spans="1:6" x14ac:dyDescent="0.25">
      <c r="B96" s="164" t="str">
        <f>B64</f>
        <v>Materialavd.</v>
      </c>
      <c r="C96" s="156"/>
      <c r="D96" s="165">
        <f t="shared" si="1"/>
        <v>70000</v>
      </c>
      <c r="E96" s="165">
        <f t="shared" si="1"/>
        <v>77000</v>
      </c>
      <c r="F96" s="185">
        <f>E96/D96</f>
        <v>1.1000000000000001</v>
      </c>
    </row>
    <row r="97" spans="2:6" x14ac:dyDescent="0.25">
      <c r="B97" s="164" t="str">
        <f>B65</f>
        <v>T - 1</v>
      </c>
      <c r="C97" s="156"/>
      <c r="D97" s="165">
        <f t="shared" si="1"/>
        <v>31250</v>
      </c>
      <c r="E97" s="165">
        <f t="shared" si="1"/>
        <v>37500</v>
      </c>
      <c r="F97" s="185">
        <f>E97/D97</f>
        <v>1.2</v>
      </c>
    </row>
    <row r="98" spans="2:6" x14ac:dyDescent="0.25">
      <c r="B98" s="164" t="str">
        <f>B66</f>
        <v>T - 2</v>
      </c>
      <c r="C98" s="156"/>
      <c r="D98" s="165">
        <f t="shared" si="1"/>
        <v>750</v>
      </c>
      <c r="E98" s="165">
        <f t="shared" si="1"/>
        <v>600</v>
      </c>
      <c r="F98" s="185">
        <f>E98/D98</f>
        <v>0.8</v>
      </c>
    </row>
    <row r="99" spans="2:6" x14ac:dyDescent="0.25">
      <c r="B99" s="153" t="str">
        <f>B67</f>
        <v>Salgs- og adm.avd.</v>
      </c>
      <c r="C99" s="154"/>
      <c r="D99" s="170">
        <f t="shared" si="1"/>
        <v>163750</v>
      </c>
      <c r="E99" s="170">
        <f t="shared" si="1"/>
        <v>150500</v>
      </c>
      <c r="F99" s="186">
        <f>E99/D99</f>
        <v>0.91908396946564885</v>
      </c>
    </row>
  </sheetData>
  <phoneticPr fontId="0" type="noConversion"/>
  <printOptions gridLinesSet="0"/>
  <pageMargins left="0.74803149606299213" right="0.74803149606299213" top="0.98425196850393704" bottom="0.98425196850393704" header="0.51181102362204722" footer="0.51181102362204722"/>
  <pageSetup paperSize="9" fitToHeight="2" orientation="portrait" horizontalDpi="4294967292"/>
  <headerFooter alignWithMargins="0">
    <oddHeader>&amp;A</oddHeader>
    <oddFooter>Side &amp;P av &amp;N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67"/>
  <sheetViews>
    <sheetView topLeftCell="A42" workbookViewId="0">
      <selection activeCell="C70" sqref="C70"/>
    </sheetView>
  </sheetViews>
  <sheetFormatPr baseColWidth="10" defaultColWidth="11.44140625" defaultRowHeight="15" x14ac:dyDescent="0.25"/>
  <cols>
    <col min="1" max="1" width="4.109375" style="25" customWidth="1"/>
    <col min="2" max="2" width="39.109375" style="25" customWidth="1"/>
    <col min="3" max="3" width="12.6640625" style="27" bestFit="1" customWidth="1"/>
    <col min="4" max="9" width="11.44140625" style="27"/>
    <col min="10" max="16384" width="11.44140625" style="25"/>
  </cols>
  <sheetData>
    <row r="1" spans="2:5" ht="15.6" x14ac:dyDescent="0.3">
      <c r="B1" s="24" t="s">
        <v>180</v>
      </c>
    </row>
    <row r="3" spans="2:5" ht="15.6" x14ac:dyDescent="0.3">
      <c r="B3" s="24" t="str">
        <f>'7,13-14'!B3</f>
        <v xml:space="preserve">Klikk på cellene for å se utregningene </v>
      </c>
    </row>
    <row r="5" spans="2:5" ht="15.6" x14ac:dyDescent="0.3">
      <c r="B5" s="44" t="s">
        <v>42</v>
      </c>
    </row>
    <row r="6" spans="2:5" x14ac:dyDescent="0.25">
      <c r="B6" s="25" t="str">
        <f>B24</f>
        <v>Direkte materialer</v>
      </c>
      <c r="C6" s="27">
        <v>1000000</v>
      </c>
    </row>
    <row r="7" spans="2:5" x14ac:dyDescent="0.25">
      <c r="B7" s="25" t="str">
        <f>B25</f>
        <v xml:space="preserve">Direkte lønn </v>
      </c>
      <c r="C7" s="27">
        <v>2000000</v>
      </c>
    </row>
    <row r="8" spans="2:5" ht="15.6" x14ac:dyDescent="0.3">
      <c r="B8" s="26" t="str">
        <f>B26</f>
        <v>Indirekte variable tilvirkn.kostnader:</v>
      </c>
    </row>
    <row r="9" spans="2:5" x14ac:dyDescent="0.25">
      <c r="B9" s="25" t="str">
        <f>B27</f>
        <v>Materialavdelingen</v>
      </c>
      <c r="C9" s="27">
        <v>100000</v>
      </c>
    </row>
    <row r="10" spans="2:5" x14ac:dyDescent="0.25">
      <c r="B10" s="45" t="str">
        <f>B28</f>
        <v xml:space="preserve">Tilvirkningsavdelingen </v>
      </c>
      <c r="C10" s="46">
        <v>400000</v>
      </c>
    </row>
    <row r="11" spans="2:5" x14ac:dyDescent="0.25">
      <c r="B11" s="25" t="s">
        <v>9</v>
      </c>
      <c r="C11" s="27">
        <f>SUM(C6:C10)</f>
        <v>3500000</v>
      </c>
    </row>
    <row r="12" spans="2:5" x14ac:dyDescent="0.25">
      <c r="B12" s="25" t="str">
        <f>B34</f>
        <v>Administrasjonsavd.</v>
      </c>
      <c r="C12" s="27">
        <v>700000</v>
      </c>
    </row>
    <row r="13" spans="2:5" x14ac:dyDescent="0.25">
      <c r="B13" s="47" t="s">
        <v>48</v>
      </c>
      <c r="C13" s="48">
        <f>SUM(C11:C12)</f>
        <v>4200000</v>
      </c>
    </row>
    <row r="15" spans="2:5" ht="15.6" x14ac:dyDescent="0.3">
      <c r="B15" s="161" t="s">
        <v>49</v>
      </c>
      <c r="C15" s="189" t="s">
        <v>134</v>
      </c>
      <c r="D15" s="189" t="s">
        <v>169</v>
      </c>
      <c r="E15" s="189" t="s">
        <v>170</v>
      </c>
    </row>
    <row r="16" spans="2:5" x14ac:dyDescent="0.25">
      <c r="B16" s="36" t="str">
        <f>B9</f>
        <v>Materialavdelingen</v>
      </c>
      <c r="C16" s="190">
        <f>C9/C6</f>
        <v>0.1</v>
      </c>
      <c r="D16" s="190">
        <v>0.06</v>
      </c>
      <c r="E16" s="190">
        <f>C16-D16</f>
        <v>4.0000000000000008E-2</v>
      </c>
    </row>
    <row r="17" spans="1:5" x14ac:dyDescent="0.25">
      <c r="B17" s="36" t="str">
        <f>B10</f>
        <v xml:space="preserve">Tilvirkningsavdelingen </v>
      </c>
      <c r="C17" s="190">
        <f>C10/C7</f>
        <v>0.2</v>
      </c>
      <c r="D17" s="190">
        <v>0.15</v>
      </c>
      <c r="E17" s="190">
        <f>C17-D17</f>
        <v>5.0000000000000017E-2</v>
      </c>
    </row>
    <row r="18" spans="1:5" x14ac:dyDescent="0.25">
      <c r="B18" s="42" t="str">
        <f>B12</f>
        <v>Administrasjonsavd.</v>
      </c>
      <c r="C18" s="191">
        <f>C12/C11</f>
        <v>0.2</v>
      </c>
      <c r="D18" s="191">
        <f>C18</f>
        <v>0.2</v>
      </c>
      <c r="E18" s="191"/>
    </row>
    <row r="19" spans="1:5" x14ac:dyDescent="0.25">
      <c r="B19" s="50"/>
      <c r="C19" s="201"/>
      <c r="D19" s="201"/>
      <c r="E19" s="201"/>
    </row>
    <row r="21" spans="1:5" ht="15.6" x14ac:dyDescent="0.3">
      <c r="A21" s="25" t="s">
        <v>12</v>
      </c>
      <c r="B21" s="44" t="s">
        <v>181</v>
      </c>
    </row>
    <row r="22" spans="1:5" x14ac:dyDescent="0.25">
      <c r="B22" s="28"/>
      <c r="C22" s="29" t="s">
        <v>30</v>
      </c>
      <c r="D22" s="30" t="s">
        <v>31</v>
      </c>
      <c r="E22" s="31" t="s">
        <v>32</v>
      </c>
    </row>
    <row r="23" spans="1:5" x14ac:dyDescent="0.25">
      <c r="B23" s="32"/>
      <c r="C23" s="33" t="s">
        <v>33</v>
      </c>
      <c r="D23" s="34" t="s">
        <v>33</v>
      </c>
      <c r="E23" s="35" t="s">
        <v>34</v>
      </c>
    </row>
    <row r="24" spans="1:5" x14ac:dyDescent="0.25">
      <c r="B24" s="199" t="s">
        <v>0</v>
      </c>
      <c r="C24" s="194">
        <v>1200000</v>
      </c>
      <c r="D24" s="31">
        <f>C24</f>
        <v>1200000</v>
      </c>
      <c r="E24" s="197"/>
    </row>
    <row r="25" spans="1:5" x14ac:dyDescent="0.25">
      <c r="B25" s="38" t="s">
        <v>43</v>
      </c>
      <c r="C25" s="194">
        <v>2200000</v>
      </c>
      <c r="D25" s="37">
        <f>C25</f>
        <v>2200000</v>
      </c>
      <c r="E25" s="197"/>
    </row>
    <row r="26" spans="1:5" ht="15.6" x14ac:dyDescent="0.3">
      <c r="B26" s="39" t="s">
        <v>202</v>
      </c>
      <c r="C26" s="194"/>
      <c r="D26" s="37"/>
      <c r="E26" s="197"/>
    </row>
    <row r="27" spans="1:5" x14ac:dyDescent="0.25">
      <c r="B27" s="36" t="s">
        <v>2</v>
      </c>
      <c r="C27" s="194">
        <f>C24*E16</f>
        <v>48000.000000000007</v>
      </c>
      <c r="D27" s="37">
        <v>62000</v>
      </c>
      <c r="E27" s="197">
        <f>C27-D27</f>
        <v>-13999.999999999993</v>
      </c>
    </row>
    <row r="28" spans="1:5" x14ac:dyDescent="0.25">
      <c r="B28" s="40" t="s">
        <v>44</v>
      </c>
      <c r="C28" s="194">
        <f>C25*E17</f>
        <v>110000.00000000004</v>
      </c>
      <c r="D28" s="37">
        <v>100000</v>
      </c>
      <c r="E28" s="197">
        <f>C28-D28</f>
        <v>10000.000000000044</v>
      </c>
    </row>
    <row r="29" spans="1:5" x14ac:dyDescent="0.25">
      <c r="B29" s="49" t="s">
        <v>182</v>
      </c>
      <c r="C29" s="194">
        <f>SUM(C24:C28)</f>
        <v>3558000</v>
      </c>
      <c r="D29" s="37"/>
      <c r="E29" s="197"/>
    </row>
    <row r="30" spans="1:5" x14ac:dyDescent="0.25">
      <c r="B30" s="42" t="s">
        <v>35</v>
      </c>
      <c r="C30" s="35">
        <v>-30000</v>
      </c>
      <c r="D30" s="37">
        <f>C30</f>
        <v>-30000</v>
      </c>
      <c r="E30" s="197"/>
    </row>
    <row r="31" spans="1:5" x14ac:dyDescent="0.25">
      <c r="B31" s="38" t="s">
        <v>183</v>
      </c>
      <c r="C31" s="194">
        <f>SUM(C29:C30)</f>
        <v>3528000</v>
      </c>
      <c r="D31" s="37"/>
      <c r="E31" s="197"/>
    </row>
    <row r="32" spans="1:5" x14ac:dyDescent="0.25">
      <c r="B32" s="42" t="s">
        <v>36</v>
      </c>
      <c r="C32" s="35">
        <v>50000</v>
      </c>
      <c r="D32" s="37">
        <f>C32</f>
        <v>50000</v>
      </c>
      <c r="E32" s="197"/>
    </row>
    <row r="33" spans="2:5" x14ac:dyDescent="0.25">
      <c r="B33" s="38" t="s">
        <v>184</v>
      </c>
      <c r="C33" s="194">
        <f>SUM(C31:C32)</f>
        <v>3578000</v>
      </c>
      <c r="D33" s="37"/>
      <c r="E33" s="197"/>
    </row>
    <row r="34" spans="2:5" x14ac:dyDescent="0.25">
      <c r="B34" s="42" t="s">
        <v>37</v>
      </c>
      <c r="C34" s="35">
        <v>0</v>
      </c>
      <c r="D34" s="37">
        <v>0</v>
      </c>
      <c r="E34" s="197">
        <f>C34-D34</f>
        <v>0</v>
      </c>
    </row>
    <row r="35" spans="2:5" x14ac:dyDescent="0.25">
      <c r="B35" s="36" t="s">
        <v>185</v>
      </c>
      <c r="C35" s="194">
        <f>SUM(C33:C34)</f>
        <v>3578000</v>
      </c>
      <c r="D35" s="37"/>
      <c r="E35" s="197"/>
    </row>
    <row r="36" spans="2:5" x14ac:dyDescent="0.25">
      <c r="B36" s="42" t="s">
        <v>38</v>
      </c>
      <c r="C36" s="35">
        <v>5500000</v>
      </c>
      <c r="D36" s="37">
        <f>C36</f>
        <v>5500000</v>
      </c>
      <c r="E36" s="197"/>
    </row>
    <row r="37" spans="2:5" x14ac:dyDescent="0.25">
      <c r="B37" s="36" t="s">
        <v>186</v>
      </c>
      <c r="C37" s="194">
        <f>C36-C35</f>
        <v>1922000</v>
      </c>
      <c r="D37" s="37"/>
      <c r="E37" s="197"/>
    </row>
    <row r="38" spans="2:5" x14ac:dyDescent="0.25">
      <c r="B38" s="36" t="s">
        <v>40</v>
      </c>
      <c r="C38" s="195">
        <f>E38</f>
        <v>-3999.9999999999491</v>
      </c>
      <c r="D38" s="37"/>
      <c r="E38" s="192">
        <f>SUM(E27:E34)</f>
        <v>-3999.9999999999491</v>
      </c>
    </row>
    <row r="39" spans="2:5" x14ac:dyDescent="0.25">
      <c r="B39" s="200" t="s">
        <v>187</v>
      </c>
      <c r="C39" s="196">
        <f>SUM(C37:C38)</f>
        <v>1918000</v>
      </c>
      <c r="D39" s="37">
        <f>D36-SUM(D24:D34)</f>
        <v>1918000</v>
      </c>
    </row>
    <row r="40" spans="2:5" ht="15.6" x14ac:dyDescent="0.3">
      <c r="B40" s="84" t="s">
        <v>188</v>
      </c>
      <c r="D40" s="37"/>
    </row>
    <row r="41" spans="2:5" x14ac:dyDescent="0.25">
      <c r="B41" s="200" t="s">
        <v>2</v>
      </c>
      <c r="D41" s="37">
        <f>'7,15'!C26-'7,22'!D27</f>
        <v>78000</v>
      </c>
    </row>
    <row r="42" spans="2:5" x14ac:dyDescent="0.25">
      <c r="B42" s="200" t="s">
        <v>44</v>
      </c>
      <c r="D42" s="37">
        <f>'7,15'!C27-'7,22'!D28</f>
        <v>300000</v>
      </c>
    </row>
    <row r="43" spans="2:5" x14ac:dyDescent="0.25">
      <c r="B43" s="32" t="s">
        <v>37</v>
      </c>
      <c r="D43" s="37">
        <f>'7,15'!C33</f>
        <v>750000</v>
      </c>
    </row>
    <row r="44" spans="2:5" x14ac:dyDescent="0.25">
      <c r="B44" s="198" t="s">
        <v>99</v>
      </c>
      <c r="C44" s="48"/>
      <c r="D44" s="41">
        <f>D39-SUM(D41:D43)</f>
        <v>790000</v>
      </c>
      <c r="E44" s="51"/>
    </row>
    <row r="50" spans="1:4" x14ac:dyDescent="0.25">
      <c r="A50" s="25" t="s">
        <v>13</v>
      </c>
      <c r="B50" s="25" t="s">
        <v>189</v>
      </c>
    </row>
    <row r="51" spans="1:4" x14ac:dyDescent="0.25">
      <c r="B51" s="25" t="s">
        <v>190</v>
      </c>
    </row>
    <row r="52" spans="1:4" x14ac:dyDescent="0.25">
      <c r="B52" s="25" t="s">
        <v>203</v>
      </c>
    </row>
    <row r="53" spans="1:4" x14ac:dyDescent="0.25">
      <c r="B53" s="25" t="s">
        <v>191</v>
      </c>
    </row>
    <row r="54" spans="1:4" x14ac:dyDescent="0.25">
      <c r="B54" s="25" t="s">
        <v>192</v>
      </c>
    </row>
    <row r="56" spans="1:4" x14ac:dyDescent="0.25">
      <c r="A56" s="25" t="s">
        <v>193</v>
      </c>
      <c r="B56" s="25" t="s">
        <v>194</v>
      </c>
      <c r="D56" s="27">
        <f>'7,15'!C38</f>
        <v>770000</v>
      </c>
    </row>
    <row r="57" spans="1:4" x14ac:dyDescent="0.25">
      <c r="B57" s="25" t="s">
        <v>195</v>
      </c>
      <c r="D57" s="27">
        <f>D44</f>
        <v>790000</v>
      </c>
    </row>
    <row r="58" spans="1:4" x14ac:dyDescent="0.25">
      <c r="B58" s="47" t="s">
        <v>196</v>
      </c>
      <c r="C58" s="48"/>
      <c r="D58" s="48">
        <f>D56-D57</f>
        <v>-20000</v>
      </c>
    </row>
    <row r="60" spans="1:4" x14ac:dyDescent="0.25">
      <c r="B60" s="25" t="s">
        <v>198</v>
      </c>
      <c r="D60" s="27">
        <f>-30000+50000</f>
        <v>20000</v>
      </c>
    </row>
    <row r="61" spans="1:4" x14ac:dyDescent="0.25">
      <c r="B61" s="25" t="s">
        <v>197</v>
      </c>
      <c r="D61" s="27">
        <f>-60000+100000</f>
        <v>40000</v>
      </c>
    </row>
    <row r="62" spans="1:4" x14ac:dyDescent="0.25">
      <c r="B62" s="47" t="str">
        <f>B58</f>
        <v>Differanse</v>
      </c>
      <c r="C62" s="48"/>
      <c r="D62" s="48">
        <f>D60-D61</f>
        <v>-20000</v>
      </c>
    </row>
    <row r="64" spans="1:4" x14ac:dyDescent="0.25">
      <c r="B64" s="25" t="s">
        <v>199</v>
      </c>
    </row>
    <row r="65" spans="2:2" x14ac:dyDescent="0.25">
      <c r="B65" s="25" t="s">
        <v>200</v>
      </c>
    </row>
    <row r="66" spans="2:2" x14ac:dyDescent="0.25">
      <c r="B66" s="25" t="s">
        <v>204</v>
      </c>
    </row>
    <row r="67" spans="2:2" x14ac:dyDescent="0.25">
      <c r="B67" s="25" t="s">
        <v>201</v>
      </c>
    </row>
  </sheetData>
  <phoneticPr fontId="5" type="noConversion"/>
  <pageMargins left="0.75" right="0.75" top="1" bottom="1" header="0.5" footer="0.5"/>
  <pageSetup paperSize="9" fitToHeight="2" orientation="portrait"/>
  <headerFooter alignWithMargins="0">
    <oddHeader>&amp;A</oddHeader>
    <oddFooter>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/>
  </sheetViews>
  <sheetFormatPr baseColWidth="10" defaultColWidth="11.44140625" defaultRowHeight="15" x14ac:dyDescent="0.25"/>
  <cols>
    <col min="1" max="1" width="2.44140625" style="25" customWidth="1"/>
    <col min="2" max="2" width="28.77734375" style="25" customWidth="1"/>
    <col min="3" max="3" width="14.109375" style="25" bestFit="1" customWidth="1"/>
    <col min="4" max="4" width="12.77734375" style="25" bestFit="1" customWidth="1"/>
    <col min="5" max="5" width="14.109375" style="25" bestFit="1" customWidth="1"/>
    <col min="6" max="7" width="12.77734375" style="25" bestFit="1" customWidth="1"/>
    <col min="8" max="16384" width="11.44140625" style="25"/>
  </cols>
  <sheetData>
    <row r="1" spans="1:7" ht="15.6" x14ac:dyDescent="0.3">
      <c r="A1" s="24" t="s">
        <v>331</v>
      </c>
    </row>
    <row r="3" spans="1:7" ht="15.6" x14ac:dyDescent="0.3">
      <c r="A3" s="315" t="str">
        <f>'7,1-2'!A3</f>
        <v>Klikk på cellene for å se utregningen.</v>
      </c>
    </row>
    <row r="5" spans="1:7" x14ac:dyDescent="0.25">
      <c r="C5" s="316"/>
      <c r="D5" s="316"/>
      <c r="E5" s="316" t="s">
        <v>332</v>
      </c>
      <c r="F5" s="316"/>
      <c r="G5" s="316"/>
    </row>
    <row r="6" spans="1:7" x14ac:dyDescent="0.25">
      <c r="B6" s="317"/>
      <c r="C6" s="318" t="s">
        <v>134</v>
      </c>
      <c r="D6" s="318" t="s">
        <v>333</v>
      </c>
      <c r="E6" s="318" t="s">
        <v>334</v>
      </c>
      <c r="F6" s="318" t="s">
        <v>335</v>
      </c>
      <c r="G6" s="318" t="s">
        <v>336</v>
      </c>
    </row>
    <row r="7" spans="1:7" x14ac:dyDescent="0.25">
      <c r="B7" s="25" t="s">
        <v>337</v>
      </c>
      <c r="C7" s="319">
        <v>240000</v>
      </c>
      <c r="D7" s="320">
        <f>C7*2/12</f>
        <v>40000</v>
      </c>
      <c r="E7" s="320">
        <f>C7*4/12</f>
        <v>80000</v>
      </c>
      <c r="F7" s="320">
        <f>C7*3/12</f>
        <v>60000</v>
      </c>
      <c r="G7" s="320">
        <f>C7*3/12</f>
        <v>60000</v>
      </c>
    </row>
    <row r="8" spans="1:7" x14ac:dyDescent="0.25">
      <c r="B8" s="25" t="s">
        <v>338</v>
      </c>
      <c r="C8" s="321">
        <v>36000</v>
      </c>
      <c r="D8" s="320">
        <f>C8*2/12</f>
        <v>6000</v>
      </c>
      <c r="E8" s="320">
        <f>C8*4/12</f>
        <v>12000</v>
      </c>
      <c r="F8" s="320">
        <f>C8*3/12</f>
        <v>9000</v>
      </c>
      <c r="G8" s="320">
        <f>C8*3/12</f>
        <v>9000</v>
      </c>
    </row>
    <row r="9" spans="1:7" x14ac:dyDescent="0.25">
      <c r="B9" s="25" t="s">
        <v>339</v>
      </c>
      <c r="C9" s="320">
        <v>23000</v>
      </c>
      <c r="D9" s="320">
        <f>C9*100/2300</f>
        <v>1000</v>
      </c>
      <c r="E9" s="320">
        <f>C9*900/2300</f>
        <v>9000</v>
      </c>
      <c r="F9" s="320">
        <f>C9*700/2300</f>
        <v>7000</v>
      </c>
      <c r="G9" s="320">
        <f>C9*600/2300</f>
        <v>6000</v>
      </c>
    </row>
    <row r="10" spans="1:7" x14ac:dyDescent="0.25">
      <c r="B10" s="25" t="s">
        <v>340</v>
      </c>
      <c r="C10" s="320">
        <v>12000</v>
      </c>
      <c r="D10" s="322"/>
      <c r="E10" s="320">
        <f>C10*550000/1200000</f>
        <v>5500</v>
      </c>
      <c r="F10" s="320">
        <f>C10*350000/1200000</f>
        <v>3500</v>
      </c>
      <c r="G10" s="320">
        <f>C10*300000/1200000</f>
        <v>3000</v>
      </c>
    </row>
    <row r="11" spans="1:7" x14ac:dyDescent="0.25">
      <c r="B11" s="25" t="s">
        <v>341</v>
      </c>
      <c r="C11" s="320">
        <v>9600</v>
      </c>
      <c r="D11" s="320">
        <f>C11*2/16</f>
        <v>1200</v>
      </c>
      <c r="E11" s="320">
        <f>C11*6/16</f>
        <v>3600</v>
      </c>
      <c r="F11" s="320">
        <f>C11*5/16</f>
        <v>3000</v>
      </c>
      <c r="G11" s="320">
        <f>C11*3/16</f>
        <v>1800</v>
      </c>
    </row>
    <row r="12" spans="1:7" x14ac:dyDescent="0.25">
      <c r="B12" s="317" t="s">
        <v>342</v>
      </c>
      <c r="C12" s="323">
        <v>10800</v>
      </c>
      <c r="D12" s="323">
        <f>C12*500000/2700000</f>
        <v>2000</v>
      </c>
      <c r="E12" s="323">
        <f>C12*900000/2700000</f>
        <v>3600</v>
      </c>
      <c r="F12" s="323">
        <f>C12*750000/2700000</f>
        <v>3000</v>
      </c>
      <c r="G12" s="323">
        <f>C12*550000/2700000</f>
        <v>2200</v>
      </c>
    </row>
    <row r="13" spans="1:7" x14ac:dyDescent="0.25">
      <c r="B13" s="25" t="s">
        <v>134</v>
      </c>
      <c r="C13" s="324">
        <f>SUM(C7:C12)</f>
        <v>331400</v>
      </c>
      <c r="D13" s="324">
        <f>SUM(D7:D12)</f>
        <v>50200</v>
      </c>
      <c r="E13" s="324">
        <f>SUM(E7:E12)</f>
        <v>113700</v>
      </c>
      <c r="F13" s="324">
        <f>SUM(F7:F12)</f>
        <v>85500</v>
      </c>
      <c r="G13" s="324">
        <f>SUM(G7:G12)</f>
        <v>82000</v>
      </c>
    </row>
  </sheetData>
  <pageMargins left="0.75" right="0.75" top="1" bottom="1" header="0.5" footer="0.5"/>
  <pageSetup paperSize="9" orientation="landscape"/>
  <headerFooter alignWithMargins="0"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131"/>
  <sheetViews>
    <sheetView topLeftCell="A57" zoomScale="70" workbookViewId="0">
      <selection activeCell="B113" sqref="B113"/>
    </sheetView>
  </sheetViews>
  <sheetFormatPr baseColWidth="10" defaultColWidth="11.44140625" defaultRowHeight="15" x14ac:dyDescent="0.25"/>
  <cols>
    <col min="1" max="1" width="3.44140625" style="25" customWidth="1"/>
    <col min="2" max="2" width="43.44140625" style="25" customWidth="1"/>
    <col min="3" max="3" width="12.44140625" style="25" customWidth="1"/>
    <col min="4" max="4" width="11.44140625" style="25"/>
    <col min="5" max="5" width="12" style="25" customWidth="1"/>
    <col min="6" max="6" width="11.44140625" style="25"/>
    <col min="7" max="7" width="41.6640625" style="25" customWidth="1"/>
    <col min="8" max="16384" width="11.44140625" style="25"/>
  </cols>
  <sheetData>
    <row r="1" spans="1:4" ht="15.6" x14ac:dyDescent="0.3">
      <c r="A1" s="24" t="s">
        <v>220</v>
      </c>
    </row>
    <row r="3" spans="1:4" ht="15.6" x14ac:dyDescent="0.3">
      <c r="A3" s="24" t="str">
        <f>'7,20'!A3</f>
        <v xml:space="preserve">Klikk på cellene for å se utregningene </v>
      </c>
    </row>
    <row r="5" spans="1:4" x14ac:dyDescent="0.25">
      <c r="C5" s="106"/>
    </row>
    <row r="6" spans="1:4" x14ac:dyDescent="0.25">
      <c r="B6" s="50"/>
      <c r="C6" s="50"/>
      <c r="D6" s="226"/>
    </row>
    <row r="7" spans="1:4" ht="15.6" x14ac:dyDescent="0.3">
      <c r="B7" s="221" t="s">
        <v>42</v>
      </c>
      <c r="C7" s="50"/>
      <c r="D7" s="226"/>
    </row>
    <row r="8" spans="1:4" ht="15.6" x14ac:dyDescent="0.3">
      <c r="B8" s="227" t="s">
        <v>205</v>
      </c>
      <c r="C8" s="226"/>
      <c r="D8" s="50"/>
    </row>
    <row r="9" spans="1:4" x14ac:dyDescent="0.25">
      <c r="B9" s="2" t="s">
        <v>0</v>
      </c>
      <c r="C9" s="50"/>
      <c r="D9" s="3">
        <v>300000</v>
      </c>
    </row>
    <row r="10" spans="1:4" x14ac:dyDescent="0.25">
      <c r="B10" s="9" t="s">
        <v>43</v>
      </c>
      <c r="C10" s="3"/>
      <c r="D10" s="3">
        <v>200000</v>
      </c>
    </row>
    <row r="11" spans="1:4" ht="15.6" x14ac:dyDescent="0.3">
      <c r="B11" s="11" t="s">
        <v>1</v>
      </c>
      <c r="C11" s="3"/>
      <c r="D11" s="3"/>
    </row>
    <row r="12" spans="1:4" x14ac:dyDescent="0.25">
      <c r="B12" s="9" t="s">
        <v>206</v>
      </c>
      <c r="C12" s="3">
        <v>45000</v>
      </c>
      <c r="D12" s="3"/>
    </row>
    <row r="13" spans="1:4" x14ac:dyDescent="0.25">
      <c r="B13" s="10" t="s">
        <v>207</v>
      </c>
      <c r="C13" s="3">
        <v>15000</v>
      </c>
      <c r="D13" s="3">
        <f>SUM(C12:C13)</f>
        <v>60000</v>
      </c>
    </row>
    <row r="14" spans="1:4" x14ac:dyDescent="0.25">
      <c r="B14" s="9" t="s">
        <v>208</v>
      </c>
      <c r="C14" s="3">
        <v>60000</v>
      </c>
      <c r="D14" s="3"/>
    </row>
    <row r="15" spans="1:4" x14ac:dyDescent="0.25">
      <c r="B15" s="228" t="s">
        <v>209</v>
      </c>
      <c r="C15" s="15">
        <v>20000</v>
      </c>
      <c r="D15" s="15">
        <f>SUM(C14:C15)</f>
        <v>80000</v>
      </c>
    </row>
    <row r="16" spans="1:4" x14ac:dyDescent="0.25">
      <c r="B16" s="2" t="s">
        <v>9</v>
      </c>
      <c r="C16" s="3"/>
      <c r="D16" s="3">
        <f>SUM(D9:D15)</f>
        <v>640000</v>
      </c>
    </row>
    <row r="17" spans="1:5" x14ac:dyDescent="0.25">
      <c r="B17" s="228" t="s">
        <v>210</v>
      </c>
      <c r="C17" s="15"/>
      <c r="D17" s="15">
        <f>D16*0.1</f>
        <v>64000</v>
      </c>
    </row>
    <row r="18" spans="1:5" x14ac:dyDescent="0.25">
      <c r="B18" s="2" t="s">
        <v>4</v>
      </c>
      <c r="C18" s="3"/>
      <c r="D18" s="3">
        <f>SUM(D16:D17)</f>
        <v>704000</v>
      </c>
    </row>
    <row r="19" spans="1:5" x14ac:dyDescent="0.25">
      <c r="B19" s="228" t="s">
        <v>38</v>
      </c>
      <c r="C19" s="15"/>
      <c r="D19" s="15">
        <v>1000000</v>
      </c>
    </row>
    <row r="20" spans="1:5" x14ac:dyDescent="0.25">
      <c r="B20" s="228" t="s">
        <v>39</v>
      </c>
      <c r="C20" s="15"/>
      <c r="D20" s="15">
        <f>D19-D18</f>
        <v>296000</v>
      </c>
    </row>
    <row r="23" spans="1:5" ht="15.6" x14ac:dyDescent="0.3">
      <c r="B23" s="229" t="s">
        <v>49</v>
      </c>
      <c r="C23" s="203"/>
      <c r="D23" s="203"/>
    </row>
    <row r="24" spans="1:5" x14ac:dyDescent="0.25">
      <c r="B24" s="203" t="s">
        <v>2</v>
      </c>
      <c r="C24" s="203" t="s">
        <v>109</v>
      </c>
      <c r="D24" s="217">
        <f>C12/D9</f>
        <v>0.15</v>
      </c>
      <c r="E24" s="217"/>
    </row>
    <row r="25" spans="1:5" x14ac:dyDescent="0.25">
      <c r="C25" s="203" t="s">
        <v>110</v>
      </c>
      <c r="D25" s="217">
        <f>C13/D9</f>
        <v>0.05</v>
      </c>
      <c r="E25" s="217">
        <f>SUM(D24:D25)</f>
        <v>0.2</v>
      </c>
    </row>
    <row r="26" spans="1:5" x14ac:dyDescent="0.25">
      <c r="B26" s="203"/>
      <c r="C26" s="203"/>
      <c r="D26" s="217"/>
      <c r="E26" s="217"/>
    </row>
    <row r="27" spans="1:5" x14ac:dyDescent="0.25">
      <c r="B27" s="203" t="s">
        <v>58</v>
      </c>
      <c r="C27" s="203" t="str">
        <f>C24</f>
        <v>Faste:</v>
      </c>
      <c r="D27" s="217">
        <f>C14/D10</f>
        <v>0.3</v>
      </c>
      <c r="E27" s="217"/>
    </row>
    <row r="28" spans="1:5" x14ac:dyDescent="0.25">
      <c r="B28" s="203"/>
      <c r="C28" s="203" t="str">
        <f>C25</f>
        <v>Variable:</v>
      </c>
      <c r="D28" s="217">
        <f>C15/D10</f>
        <v>0.1</v>
      </c>
      <c r="E28" s="217">
        <f>SUM(D27:D28)</f>
        <v>0.4</v>
      </c>
    </row>
    <row r="29" spans="1:5" x14ac:dyDescent="0.25">
      <c r="B29" s="203"/>
      <c r="C29" s="203"/>
      <c r="D29" s="204"/>
      <c r="E29" s="204"/>
    </row>
    <row r="30" spans="1:5" x14ac:dyDescent="0.25">
      <c r="B30" s="203" t="s">
        <v>211</v>
      </c>
      <c r="C30" s="203" t="str">
        <f>C27</f>
        <v>Faste:</v>
      </c>
      <c r="D30" s="204">
        <f>D17/D16</f>
        <v>0.1</v>
      </c>
      <c r="E30" s="204">
        <f>SUM(D30)</f>
        <v>0.1</v>
      </c>
    </row>
    <row r="31" spans="1:5" x14ac:dyDescent="0.25">
      <c r="B31" s="203"/>
      <c r="C31" s="203"/>
      <c r="D31" s="203"/>
      <c r="E31" s="204"/>
    </row>
    <row r="32" spans="1:5" ht="15.6" x14ac:dyDescent="0.3">
      <c r="A32" s="25" t="s">
        <v>12</v>
      </c>
      <c r="B32" s="44" t="s">
        <v>248</v>
      </c>
      <c r="C32" s="364" t="s">
        <v>221</v>
      </c>
      <c r="D32" s="365"/>
    </row>
    <row r="33" spans="2:4" x14ac:dyDescent="0.25">
      <c r="C33" s="28" t="s">
        <v>222</v>
      </c>
      <c r="D33" s="216" t="s">
        <v>223</v>
      </c>
    </row>
    <row r="34" spans="2:4" x14ac:dyDescent="0.25">
      <c r="B34" s="28" t="str">
        <f>B9</f>
        <v>Direkte materialer</v>
      </c>
      <c r="C34" s="31">
        <v>50000</v>
      </c>
      <c r="D34" s="31">
        <v>40000</v>
      </c>
    </row>
    <row r="35" spans="2:4" x14ac:dyDescent="0.25">
      <c r="B35" s="200" t="str">
        <f>B10</f>
        <v xml:space="preserve">Direkte lønn </v>
      </c>
      <c r="C35" s="37">
        <v>35000</v>
      </c>
      <c r="D35" s="37">
        <v>25000</v>
      </c>
    </row>
    <row r="36" spans="2:4" x14ac:dyDescent="0.25">
      <c r="B36" s="200" t="str">
        <f>B13</f>
        <v xml:space="preserve">   Materialavdelingen (variable)</v>
      </c>
      <c r="C36" s="37">
        <f>C34*$D$25</f>
        <v>2500</v>
      </c>
      <c r="D36" s="37">
        <f>D34*$D$25</f>
        <v>2000</v>
      </c>
    </row>
    <row r="37" spans="2:4" x14ac:dyDescent="0.25">
      <c r="B37" s="32" t="str">
        <f>B15</f>
        <v xml:space="preserve">   Tilvirkningsavdelingen (variable)</v>
      </c>
      <c r="C37" s="35">
        <f>C35*$D$28</f>
        <v>3500</v>
      </c>
      <c r="D37" s="35">
        <f>D35*$D$28</f>
        <v>2500</v>
      </c>
    </row>
    <row r="38" spans="2:4" x14ac:dyDescent="0.25">
      <c r="B38" s="218" t="s">
        <v>224</v>
      </c>
      <c r="C38" s="35">
        <f>SUM(C34:C37)</f>
        <v>91000</v>
      </c>
      <c r="D38" s="35">
        <f>SUM(D34:D37)</f>
        <v>69500</v>
      </c>
    </row>
    <row r="41" spans="2:4" x14ac:dyDescent="0.25">
      <c r="C41" s="364" t="s">
        <v>225</v>
      </c>
      <c r="D41" s="365"/>
    </row>
    <row r="42" spans="2:4" x14ac:dyDescent="0.25">
      <c r="C42" s="230" t="s">
        <v>222</v>
      </c>
      <c r="D42" s="230" t="s">
        <v>223</v>
      </c>
    </row>
    <row r="43" spans="2:4" x14ac:dyDescent="0.25">
      <c r="B43" s="199" t="s">
        <v>0</v>
      </c>
      <c r="C43" s="31">
        <v>75000</v>
      </c>
      <c r="D43" s="31">
        <v>0</v>
      </c>
    </row>
    <row r="44" spans="2:4" x14ac:dyDescent="0.25">
      <c r="B44" s="36" t="s">
        <v>43</v>
      </c>
      <c r="C44" s="37">
        <v>50000</v>
      </c>
      <c r="D44" s="37">
        <v>0</v>
      </c>
    </row>
    <row r="45" spans="2:4" x14ac:dyDescent="0.25">
      <c r="B45" s="36" t="s">
        <v>207</v>
      </c>
      <c r="C45" s="37">
        <f>C43*$D$25</f>
        <v>3750</v>
      </c>
      <c r="D45" s="37">
        <f>D43*$D$25</f>
        <v>0</v>
      </c>
    </row>
    <row r="46" spans="2:4" x14ac:dyDescent="0.25">
      <c r="B46" s="42" t="s">
        <v>209</v>
      </c>
      <c r="C46" s="35">
        <f>C44*$D$28</f>
        <v>5000</v>
      </c>
      <c r="D46" s="35">
        <f>D44*$D$28</f>
        <v>0</v>
      </c>
    </row>
    <row r="47" spans="2:4" x14ac:dyDescent="0.25">
      <c r="B47" s="218" t="s">
        <v>224</v>
      </c>
      <c r="C47" s="35">
        <f>SUM(C43:C46)</f>
        <v>133750</v>
      </c>
      <c r="D47" s="35">
        <f>SUM(D43:D46)</f>
        <v>0</v>
      </c>
    </row>
    <row r="49" spans="2:5" x14ac:dyDescent="0.25">
      <c r="B49" s="203"/>
      <c r="C49" s="203"/>
      <c r="D49" s="203"/>
    </row>
    <row r="51" spans="2:5" x14ac:dyDescent="0.25">
      <c r="B51" s="1" t="s">
        <v>181</v>
      </c>
      <c r="C51" s="106"/>
      <c r="D51" s="106"/>
      <c r="E51" s="106"/>
    </row>
    <row r="52" spans="2:5" x14ac:dyDescent="0.25">
      <c r="B52" s="73"/>
      <c r="C52" s="205" t="s">
        <v>111</v>
      </c>
      <c r="D52" s="206" t="s">
        <v>31</v>
      </c>
      <c r="E52" s="207" t="s">
        <v>32</v>
      </c>
    </row>
    <row r="53" spans="2:5" x14ac:dyDescent="0.25">
      <c r="B53" s="77"/>
      <c r="C53" s="78" t="s">
        <v>33</v>
      </c>
      <c r="D53" s="88" t="s">
        <v>33</v>
      </c>
      <c r="E53" s="87" t="s">
        <v>34</v>
      </c>
    </row>
    <row r="54" spans="2:5" ht="15.6" x14ac:dyDescent="0.3">
      <c r="B54" s="103" t="s">
        <v>205</v>
      </c>
      <c r="C54" s="81"/>
      <c r="D54" s="81"/>
      <c r="E54" s="81"/>
    </row>
    <row r="55" spans="2:5" ht="15.6" x14ac:dyDescent="0.3">
      <c r="B55" s="99" t="s">
        <v>214</v>
      </c>
      <c r="C55" s="81">
        <v>350000</v>
      </c>
      <c r="D55" s="81">
        <f>C55</f>
        <v>350000</v>
      </c>
      <c r="E55" s="81"/>
    </row>
    <row r="56" spans="2:5" x14ac:dyDescent="0.25">
      <c r="B56" s="219" t="s">
        <v>43</v>
      </c>
      <c r="C56" s="81">
        <v>250000</v>
      </c>
      <c r="D56" s="81">
        <f>C56</f>
        <v>250000</v>
      </c>
      <c r="E56" s="81"/>
    </row>
    <row r="57" spans="2:5" ht="15.6" x14ac:dyDescent="0.3">
      <c r="B57" s="103" t="s">
        <v>219</v>
      </c>
      <c r="C57" s="81"/>
      <c r="D57" s="81"/>
      <c r="E57" s="81"/>
    </row>
    <row r="58" spans="2:5" ht="15.6" x14ac:dyDescent="0.3">
      <c r="B58" s="99" t="s">
        <v>226</v>
      </c>
      <c r="C58" s="81">
        <f>C55*D25</f>
        <v>17500</v>
      </c>
      <c r="D58" s="81">
        <v>21900</v>
      </c>
      <c r="E58" s="81">
        <f>C58-D58</f>
        <v>-4400</v>
      </c>
    </row>
    <row r="59" spans="2:5" ht="15.6" x14ac:dyDescent="0.3">
      <c r="B59" s="231" t="s">
        <v>228</v>
      </c>
      <c r="C59" s="87">
        <f>C56*D28</f>
        <v>25000</v>
      </c>
      <c r="D59" s="81">
        <v>22500</v>
      </c>
      <c r="E59" s="81">
        <f>C59-D59</f>
        <v>2500</v>
      </c>
    </row>
    <row r="60" spans="2:5" ht="15.6" x14ac:dyDescent="0.3">
      <c r="B60" s="99" t="s">
        <v>182</v>
      </c>
      <c r="C60" s="81">
        <f>SUM(C55:C59)</f>
        <v>642500</v>
      </c>
      <c r="D60" s="81"/>
      <c r="E60" s="81"/>
    </row>
    <row r="61" spans="2:5" ht="15.6" x14ac:dyDescent="0.3">
      <c r="B61" s="231" t="s">
        <v>227</v>
      </c>
      <c r="C61" s="87">
        <f>C38-D38</f>
        <v>21500</v>
      </c>
      <c r="D61" s="81">
        <f>C61</f>
        <v>21500</v>
      </c>
      <c r="E61" s="81"/>
    </row>
    <row r="62" spans="2:5" ht="15.6" x14ac:dyDescent="0.3">
      <c r="B62" s="99" t="s">
        <v>215</v>
      </c>
      <c r="C62" s="81">
        <f>SUM(C60:C61)</f>
        <v>664000</v>
      </c>
      <c r="D62" s="81"/>
      <c r="E62" s="81"/>
    </row>
    <row r="63" spans="2:5" ht="15.6" x14ac:dyDescent="0.3">
      <c r="B63" s="231" t="s">
        <v>216</v>
      </c>
      <c r="C63" s="87">
        <f>C47-D47</f>
        <v>133750</v>
      </c>
      <c r="D63" s="81">
        <f>C63</f>
        <v>133750</v>
      </c>
      <c r="E63" s="81"/>
    </row>
    <row r="64" spans="2:5" ht="15.6" x14ac:dyDescent="0.3">
      <c r="B64" s="99" t="s">
        <v>217</v>
      </c>
      <c r="C64" s="81">
        <f>SUM(C62:C63)</f>
        <v>797750</v>
      </c>
      <c r="D64" s="81"/>
      <c r="E64" s="81"/>
    </row>
    <row r="65" spans="1:5" ht="15.6" x14ac:dyDescent="0.3">
      <c r="B65" s="99" t="s">
        <v>218</v>
      </c>
      <c r="C65" s="81"/>
      <c r="D65" s="81"/>
      <c r="E65" s="81"/>
    </row>
    <row r="66" spans="1:5" ht="15.6" x14ac:dyDescent="0.3">
      <c r="B66" s="231" t="s">
        <v>229</v>
      </c>
      <c r="C66" s="87">
        <v>0</v>
      </c>
      <c r="D66" s="81"/>
      <c r="E66" s="81"/>
    </row>
    <row r="67" spans="1:5" ht="15.6" x14ac:dyDescent="0.3">
      <c r="B67" s="99" t="s">
        <v>185</v>
      </c>
      <c r="C67" s="81">
        <f>SUM(C64:C66)</f>
        <v>797750</v>
      </c>
      <c r="D67" s="81"/>
      <c r="E67" s="81"/>
    </row>
    <row r="68" spans="1:5" ht="15.6" x14ac:dyDescent="0.3">
      <c r="B68" s="231" t="s">
        <v>38</v>
      </c>
      <c r="C68" s="87">
        <v>1000000</v>
      </c>
      <c r="D68" s="81">
        <f>C68</f>
        <v>1000000</v>
      </c>
      <c r="E68" s="81"/>
    </row>
    <row r="69" spans="1:5" ht="15.6" x14ac:dyDescent="0.3">
      <c r="B69" s="99" t="s">
        <v>186</v>
      </c>
      <c r="C69" s="81">
        <f>C68-C67</f>
        <v>202250</v>
      </c>
      <c r="E69" s="81"/>
    </row>
    <row r="70" spans="1:5" ht="15.6" x14ac:dyDescent="0.3">
      <c r="B70" s="231" t="s">
        <v>40</v>
      </c>
      <c r="C70" s="87">
        <f>E70</f>
        <v>-1900</v>
      </c>
      <c r="D70" s="81"/>
      <c r="E70" s="212">
        <f>SUM(E58:E69)</f>
        <v>-1900</v>
      </c>
    </row>
    <row r="71" spans="1:5" ht="15.6" x14ac:dyDescent="0.3">
      <c r="B71" s="231" t="s">
        <v>187</v>
      </c>
      <c r="C71" s="212">
        <f>SUM(C69:C70)</f>
        <v>200350</v>
      </c>
      <c r="D71" s="67">
        <f>D68-SUM(D55:D63)</f>
        <v>200350</v>
      </c>
      <c r="E71" s="67"/>
    </row>
    <row r="72" spans="1:5" ht="15.6" x14ac:dyDescent="0.3">
      <c r="B72" s="99" t="s">
        <v>238</v>
      </c>
      <c r="C72" s="3"/>
      <c r="D72" s="81">
        <f>D104-D58</f>
        <v>47100</v>
      </c>
      <c r="E72" s="3"/>
    </row>
    <row r="73" spans="1:5" ht="15.6" x14ac:dyDescent="0.3">
      <c r="B73" s="99" t="s">
        <v>239</v>
      </c>
      <c r="C73" s="3"/>
      <c r="D73" s="81">
        <f>D105-D59</f>
        <v>72500</v>
      </c>
      <c r="E73" s="3"/>
    </row>
    <row r="74" spans="1:5" ht="15.6" x14ac:dyDescent="0.3">
      <c r="B74" s="99" t="s">
        <v>240</v>
      </c>
      <c r="D74" s="81">
        <f>D111</f>
        <v>80000</v>
      </c>
    </row>
    <row r="75" spans="1:5" ht="16.2" thickBot="1" x14ac:dyDescent="0.35">
      <c r="B75" s="214" t="s">
        <v>99</v>
      </c>
      <c r="C75" s="47"/>
      <c r="D75" s="215">
        <f>D71-D72-D73-D74</f>
        <v>750</v>
      </c>
    </row>
    <row r="76" spans="1:5" ht="15.6" thickTop="1" x14ac:dyDescent="0.25"/>
    <row r="78" spans="1:5" ht="15.6" x14ac:dyDescent="0.3">
      <c r="A78" s="25" t="s">
        <v>13</v>
      </c>
      <c r="B78" s="44" t="s">
        <v>249</v>
      </c>
      <c r="C78" s="364" t="s">
        <v>221</v>
      </c>
      <c r="D78" s="365"/>
    </row>
    <row r="79" spans="1:5" x14ac:dyDescent="0.25">
      <c r="C79" s="230" t="s">
        <v>222</v>
      </c>
      <c r="D79" s="230" t="s">
        <v>223</v>
      </c>
    </row>
    <row r="80" spans="1:5" x14ac:dyDescent="0.25">
      <c r="B80" s="28" t="s">
        <v>0</v>
      </c>
      <c r="C80" s="31">
        <v>50000</v>
      </c>
      <c r="D80" s="31">
        <v>40000</v>
      </c>
    </row>
    <row r="81" spans="2:4" x14ac:dyDescent="0.25">
      <c r="B81" s="200" t="s">
        <v>43</v>
      </c>
      <c r="C81" s="37">
        <v>35000</v>
      </c>
      <c r="D81" s="37">
        <v>25000</v>
      </c>
    </row>
    <row r="82" spans="2:4" x14ac:dyDescent="0.25">
      <c r="B82" s="200" t="s">
        <v>230</v>
      </c>
      <c r="C82" s="37">
        <f>C80*$E$25</f>
        <v>10000</v>
      </c>
      <c r="D82" s="37">
        <f>D80*$E$25</f>
        <v>8000</v>
      </c>
    </row>
    <row r="83" spans="2:4" x14ac:dyDescent="0.25">
      <c r="B83" s="32" t="s">
        <v>231</v>
      </c>
      <c r="C83" s="35">
        <f>C81*$E$28</f>
        <v>14000</v>
      </c>
      <c r="D83" s="35">
        <f>D81*$E$28</f>
        <v>10000</v>
      </c>
    </row>
    <row r="84" spans="2:4" x14ac:dyDescent="0.25">
      <c r="B84" s="218" t="s">
        <v>224</v>
      </c>
      <c r="C84" s="35">
        <f>SUM(C80:C83)</f>
        <v>109000</v>
      </c>
      <c r="D84" s="35">
        <f>SUM(D80:D83)</f>
        <v>83000</v>
      </c>
    </row>
    <row r="87" spans="2:4" x14ac:dyDescent="0.25">
      <c r="C87" s="364" t="s">
        <v>225</v>
      </c>
      <c r="D87" s="365"/>
    </row>
    <row r="88" spans="2:4" x14ac:dyDescent="0.25">
      <c r="C88" s="230" t="s">
        <v>222</v>
      </c>
      <c r="D88" s="230" t="s">
        <v>223</v>
      </c>
    </row>
    <row r="89" spans="2:4" x14ac:dyDescent="0.25">
      <c r="B89" s="199" t="s">
        <v>0</v>
      </c>
      <c r="C89" s="31">
        <v>75000</v>
      </c>
      <c r="D89" s="31">
        <v>0</v>
      </c>
    </row>
    <row r="90" spans="2:4" x14ac:dyDescent="0.25">
      <c r="B90" s="36" t="s">
        <v>43</v>
      </c>
      <c r="C90" s="37">
        <v>50000</v>
      </c>
      <c r="D90" s="37">
        <v>0</v>
      </c>
    </row>
    <row r="91" spans="2:4" x14ac:dyDescent="0.25">
      <c r="B91" s="36" t="s">
        <v>232</v>
      </c>
      <c r="C91" s="37">
        <f>C89*$E$25</f>
        <v>15000</v>
      </c>
      <c r="D91" s="37">
        <f>D89*$E$25</f>
        <v>0</v>
      </c>
    </row>
    <row r="92" spans="2:4" x14ac:dyDescent="0.25">
      <c r="B92" s="42" t="s">
        <v>233</v>
      </c>
      <c r="C92" s="35">
        <f>C90*$E$28</f>
        <v>20000</v>
      </c>
      <c r="D92" s="35">
        <f>D90*$E$28</f>
        <v>0</v>
      </c>
    </row>
    <row r="93" spans="2:4" x14ac:dyDescent="0.25">
      <c r="B93" s="218" t="s">
        <v>224</v>
      </c>
      <c r="C93" s="35">
        <f>SUM(C89:C92)</f>
        <v>160000</v>
      </c>
      <c r="D93" s="35">
        <f>SUM(D89:D92)</f>
        <v>0</v>
      </c>
    </row>
    <row r="98" spans="2:5" x14ac:dyDescent="0.25">
      <c r="B98" s="73"/>
      <c r="C98" s="205" t="s">
        <v>111</v>
      </c>
      <c r="D98" s="206" t="s">
        <v>31</v>
      </c>
      <c r="E98" s="207" t="s">
        <v>32</v>
      </c>
    </row>
    <row r="99" spans="2:5" x14ac:dyDescent="0.25">
      <c r="B99" s="77"/>
      <c r="C99" s="78" t="s">
        <v>33</v>
      </c>
      <c r="D99" s="88" t="s">
        <v>33</v>
      </c>
      <c r="E99" s="87" t="s">
        <v>34</v>
      </c>
    </row>
    <row r="100" spans="2:5" ht="15.6" x14ac:dyDescent="0.3">
      <c r="B100" s="208" t="s">
        <v>205</v>
      </c>
      <c r="C100" s="193"/>
      <c r="D100" s="83"/>
      <c r="E100" s="81"/>
    </row>
    <row r="101" spans="2:5" x14ac:dyDescent="0.25">
      <c r="B101" s="209" t="s">
        <v>0</v>
      </c>
      <c r="C101" s="81">
        <f>C55</f>
        <v>350000</v>
      </c>
      <c r="D101" s="81">
        <f>C101</f>
        <v>350000</v>
      </c>
      <c r="E101" s="81"/>
    </row>
    <row r="102" spans="2:5" x14ac:dyDescent="0.25">
      <c r="B102" s="210" t="s">
        <v>43</v>
      </c>
      <c r="C102" s="81">
        <f>C56</f>
        <v>250000</v>
      </c>
      <c r="D102" s="81">
        <f>C102</f>
        <v>250000</v>
      </c>
      <c r="E102" s="81"/>
    </row>
    <row r="103" spans="2:5" ht="15.6" x14ac:dyDescent="0.3">
      <c r="B103" s="211" t="s">
        <v>1</v>
      </c>
      <c r="C103" s="81"/>
      <c r="D103" s="81"/>
      <c r="E103" s="81"/>
    </row>
    <row r="104" spans="2:5" x14ac:dyDescent="0.25">
      <c r="B104" s="210" t="s">
        <v>234</v>
      </c>
      <c r="C104" s="81">
        <f>C101*E25</f>
        <v>70000</v>
      </c>
      <c r="D104" s="81">
        <v>69000</v>
      </c>
      <c r="E104" s="81">
        <f>C104-D104</f>
        <v>1000</v>
      </c>
    </row>
    <row r="105" spans="2:5" x14ac:dyDescent="0.25">
      <c r="B105" s="202" t="s">
        <v>235</v>
      </c>
      <c r="C105" s="87">
        <f>C102*E28</f>
        <v>100000</v>
      </c>
      <c r="D105" s="83">
        <v>95000</v>
      </c>
      <c r="E105" s="81">
        <f>C105-D105</f>
        <v>5000</v>
      </c>
    </row>
    <row r="106" spans="2:5" x14ac:dyDescent="0.25">
      <c r="B106" s="209" t="s">
        <v>45</v>
      </c>
      <c r="C106" s="81">
        <f>SUM(C101:C105)</f>
        <v>770000</v>
      </c>
      <c r="D106" s="81"/>
      <c r="E106" s="81"/>
    </row>
    <row r="107" spans="2:5" x14ac:dyDescent="0.25">
      <c r="B107" s="220" t="s">
        <v>236</v>
      </c>
      <c r="C107" s="87">
        <f>C84-D84</f>
        <v>26000</v>
      </c>
      <c r="D107" s="81">
        <f>C107</f>
        <v>26000</v>
      </c>
      <c r="E107" s="81"/>
    </row>
    <row r="108" spans="2:5" x14ac:dyDescent="0.25">
      <c r="B108" s="209" t="s">
        <v>212</v>
      </c>
      <c r="C108" s="81">
        <f>SUM(C106:C107)</f>
        <v>796000</v>
      </c>
      <c r="D108" s="81"/>
      <c r="E108" s="81"/>
    </row>
    <row r="109" spans="2:5" x14ac:dyDescent="0.25">
      <c r="B109" s="213" t="s">
        <v>237</v>
      </c>
      <c r="C109" s="87">
        <f>C93-D93</f>
        <v>160000</v>
      </c>
      <c r="D109" s="81">
        <f>C109</f>
        <v>160000</v>
      </c>
      <c r="E109" s="81"/>
    </row>
    <row r="110" spans="2:5" x14ac:dyDescent="0.25">
      <c r="B110" s="209" t="s">
        <v>213</v>
      </c>
      <c r="C110" s="81">
        <f>SUM(C108:C109)</f>
        <v>956000</v>
      </c>
      <c r="D110" s="81"/>
      <c r="E110" s="81"/>
    </row>
    <row r="111" spans="2:5" x14ac:dyDescent="0.25">
      <c r="B111" s="213" t="s">
        <v>210</v>
      </c>
      <c r="C111" s="87">
        <f>C110*E30</f>
        <v>95600</v>
      </c>
      <c r="D111" s="81">
        <v>80000</v>
      </c>
      <c r="E111" s="81">
        <f>C111-D111</f>
        <v>15600</v>
      </c>
    </row>
    <row r="112" spans="2:5" x14ac:dyDescent="0.25">
      <c r="B112" s="209" t="s">
        <v>242</v>
      </c>
      <c r="C112" s="81">
        <f>SUM(C110:C111)</f>
        <v>1051600</v>
      </c>
      <c r="D112" s="81"/>
      <c r="E112" s="81"/>
    </row>
    <row r="113" spans="1:5" x14ac:dyDescent="0.25">
      <c r="B113" s="213" t="s">
        <v>38</v>
      </c>
      <c r="C113" s="87">
        <f>C68</f>
        <v>1000000</v>
      </c>
      <c r="D113" s="81">
        <f>C113</f>
        <v>1000000</v>
      </c>
      <c r="E113" s="81"/>
    </row>
    <row r="114" spans="1:5" x14ac:dyDescent="0.25">
      <c r="B114" s="209" t="s">
        <v>39</v>
      </c>
      <c r="C114" s="81">
        <f>C113-C112</f>
        <v>-51600</v>
      </c>
      <c r="D114" s="81"/>
      <c r="E114" s="81"/>
    </row>
    <row r="115" spans="1:5" x14ac:dyDescent="0.25">
      <c r="B115" s="213" t="s">
        <v>40</v>
      </c>
      <c r="C115" s="87">
        <f>E115</f>
        <v>21600</v>
      </c>
      <c r="D115" s="81"/>
      <c r="E115" s="212">
        <f>SUM(E104:E112)</f>
        <v>21600</v>
      </c>
    </row>
    <row r="116" spans="1:5" x14ac:dyDescent="0.25">
      <c r="B116" s="213" t="s">
        <v>41</v>
      </c>
      <c r="C116" s="212">
        <f>SUM(C114:C115)</f>
        <v>-30000</v>
      </c>
      <c r="D116" s="212">
        <f>D113-SUM(D101:D111)</f>
        <v>-30000</v>
      </c>
      <c r="E116" s="87"/>
    </row>
    <row r="120" spans="1:5" x14ac:dyDescent="0.25">
      <c r="A120" s="25" t="s">
        <v>193</v>
      </c>
      <c r="B120" s="25" t="s">
        <v>194</v>
      </c>
      <c r="C120" s="27"/>
      <c r="D120" s="27">
        <f>D116</f>
        <v>-30000</v>
      </c>
    </row>
    <row r="121" spans="1:5" x14ac:dyDescent="0.25">
      <c r="B121" s="25" t="s">
        <v>195</v>
      </c>
      <c r="C121" s="27"/>
      <c r="D121" s="27">
        <f>D75</f>
        <v>750</v>
      </c>
    </row>
    <row r="122" spans="1:5" x14ac:dyDescent="0.25">
      <c r="B122" s="47" t="s">
        <v>196</v>
      </c>
      <c r="C122" s="48"/>
      <c r="D122" s="48">
        <f>D120-D121</f>
        <v>-30750</v>
      </c>
    </row>
    <row r="123" spans="1:5" x14ac:dyDescent="0.25">
      <c r="C123" s="27"/>
      <c r="D123" s="27"/>
    </row>
    <row r="124" spans="1:5" x14ac:dyDescent="0.25">
      <c r="B124" s="25" t="s">
        <v>250</v>
      </c>
      <c r="C124" s="27"/>
      <c r="D124" s="27">
        <f>D61+D63</f>
        <v>155250</v>
      </c>
    </row>
    <row r="125" spans="1:5" x14ac:dyDescent="0.25">
      <c r="B125" s="25" t="s">
        <v>251</v>
      </c>
      <c r="C125" s="27"/>
      <c r="D125" s="27">
        <f>$D$107+$D$109</f>
        <v>186000</v>
      </c>
    </row>
    <row r="126" spans="1:5" x14ac:dyDescent="0.25">
      <c r="B126" s="47" t="str">
        <f>B122</f>
        <v>Differanse</v>
      </c>
      <c r="C126" s="48"/>
      <c r="D126" s="48">
        <f>D124-D125</f>
        <v>-30750</v>
      </c>
    </row>
    <row r="128" spans="1:5" x14ac:dyDescent="0.25">
      <c r="B128" s="25" t="s">
        <v>199</v>
      </c>
    </row>
    <row r="129" spans="2:2" x14ac:dyDescent="0.25">
      <c r="B129" s="25" t="s">
        <v>200</v>
      </c>
    </row>
    <row r="130" spans="2:2" x14ac:dyDescent="0.25">
      <c r="B130" s="25" t="s">
        <v>252</v>
      </c>
    </row>
    <row r="131" spans="2:2" x14ac:dyDescent="0.25">
      <c r="B131" s="25" t="s">
        <v>253</v>
      </c>
    </row>
  </sheetData>
  <mergeCells count="4">
    <mergeCell ref="C32:D32"/>
    <mergeCell ref="C41:D41"/>
    <mergeCell ref="C78:D78"/>
    <mergeCell ref="C87:D87"/>
  </mergeCells>
  <phoneticPr fontId="5" type="noConversion"/>
  <pageMargins left="0.75" right="0.75" top="1" bottom="1" header="0.5" footer="0.5"/>
  <pageSetup paperSize="9" fitToHeight="0" orientation="portrait"/>
  <headerFooter alignWithMargins="0">
    <oddHeader>&amp;A</oddHeader>
    <oddFooter>Side &amp;P av &amp;N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40"/>
  <sheetViews>
    <sheetView zoomScale="75" workbookViewId="0">
      <selection activeCell="H19" sqref="H19"/>
    </sheetView>
  </sheetViews>
  <sheetFormatPr baseColWidth="10" defaultColWidth="11.44140625" defaultRowHeight="15" x14ac:dyDescent="0.25"/>
  <cols>
    <col min="1" max="1" width="30.109375" style="25" customWidth="1"/>
    <col min="2" max="2" width="13.33203125" style="27" customWidth="1"/>
    <col min="3" max="4" width="12" style="27" bestFit="1" customWidth="1"/>
    <col min="5" max="5" width="14.33203125" style="27" bestFit="1" customWidth="1"/>
    <col min="6" max="6" width="12.77734375" style="27" customWidth="1"/>
    <col min="7" max="8" width="11.44140625" style="27"/>
    <col min="9" max="16384" width="11.44140625" style="25"/>
  </cols>
  <sheetData>
    <row r="1" spans="1:6" ht="15.6" x14ac:dyDescent="0.3">
      <c r="A1" s="8" t="s">
        <v>254</v>
      </c>
    </row>
    <row r="3" spans="1:6" ht="15.6" x14ac:dyDescent="0.3">
      <c r="A3" s="24" t="str">
        <f>'7,13-14'!B3</f>
        <v xml:space="preserve">Klikk på cellene for å se utregningene </v>
      </c>
    </row>
    <row r="6" spans="1:6" ht="15.6" x14ac:dyDescent="0.3">
      <c r="A6" s="44" t="s">
        <v>247</v>
      </c>
    </row>
    <row r="7" spans="1:6" ht="18" customHeight="1" x14ac:dyDescent="0.25">
      <c r="A7" s="361"/>
      <c r="B7" s="132" t="s">
        <v>111</v>
      </c>
      <c r="C7" s="132" t="s">
        <v>112</v>
      </c>
      <c r="D7" s="132" t="s">
        <v>31</v>
      </c>
      <c r="E7" s="132" t="s">
        <v>113</v>
      </c>
      <c r="F7" s="132" t="s">
        <v>115</v>
      </c>
    </row>
    <row r="8" spans="1:6" ht="15.6" x14ac:dyDescent="0.25">
      <c r="A8" s="361"/>
      <c r="B8" s="133" t="s">
        <v>33</v>
      </c>
      <c r="C8" s="133" t="s">
        <v>33</v>
      </c>
      <c r="D8" s="133" t="s">
        <v>33</v>
      </c>
      <c r="E8" s="133" t="s">
        <v>114</v>
      </c>
      <c r="F8" s="133" t="s">
        <v>114</v>
      </c>
    </row>
    <row r="9" spans="1:6" ht="15.6" x14ac:dyDescent="0.25">
      <c r="A9" s="232" t="s">
        <v>255</v>
      </c>
      <c r="B9" s="122" t="s">
        <v>116</v>
      </c>
      <c r="C9" s="122" t="s">
        <v>60</v>
      </c>
      <c r="D9" s="122" t="s">
        <v>117</v>
      </c>
      <c r="E9" s="122" t="s">
        <v>118</v>
      </c>
      <c r="F9" s="122" t="s">
        <v>119</v>
      </c>
    </row>
    <row r="10" spans="1:6" ht="15.6" x14ac:dyDescent="0.25">
      <c r="A10" s="232" t="s">
        <v>133</v>
      </c>
      <c r="B10" s="137">
        <f>350000*15%</f>
        <v>52500</v>
      </c>
      <c r="C10" s="137">
        <v>45000</v>
      </c>
      <c r="D10" s="137">
        <v>47100</v>
      </c>
      <c r="E10" s="137">
        <f>B10-C10</f>
        <v>7500</v>
      </c>
      <c r="F10" s="137">
        <f>C10-D10</f>
        <v>-2100</v>
      </c>
    </row>
    <row r="11" spans="1:6" ht="15.6" x14ac:dyDescent="0.25">
      <c r="A11" s="232" t="s">
        <v>135</v>
      </c>
      <c r="B11" s="137">
        <f>350000*5%</f>
        <v>17500</v>
      </c>
      <c r="C11" s="137">
        <f>B11</f>
        <v>17500</v>
      </c>
      <c r="D11" s="137">
        <v>21900</v>
      </c>
      <c r="E11" s="137" t="s">
        <v>124</v>
      </c>
      <c r="F11" s="137">
        <f>C11-D11</f>
        <v>-4400</v>
      </c>
    </row>
    <row r="12" spans="1:6" ht="15.6" x14ac:dyDescent="0.25">
      <c r="A12" s="232"/>
      <c r="B12" s="224">
        <f>SUM(B10:B11)</f>
        <v>70000</v>
      </c>
      <c r="C12" s="224">
        <f>SUM(C10:C11)</f>
        <v>62500</v>
      </c>
      <c r="D12" s="224">
        <f>SUM(D10:D11)</f>
        <v>69000</v>
      </c>
      <c r="E12" s="137"/>
      <c r="F12" s="137"/>
    </row>
    <row r="13" spans="1:6" ht="15.6" x14ac:dyDescent="0.25">
      <c r="A13" s="136" t="s">
        <v>120</v>
      </c>
      <c r="B13" s="137"/>
      <c r="C13" s="137"/>
      <c r="D13" s="137"/>
      <c r="E13" s="137"/>
      <c r="F13" s="137"/>
    </row>
    <row r="14" spans="1:6" ht="15.6" x14ac:dyDescent="0.25">
      <c r="A14" s="136" t="s">
        <v>109</v>
      </c>
      <c r="B14" s="137">
        <f>250000*30%</f>
        <v>75000</v>
      </c>
      <c r="C14" s="137">
        <v>60000</v>
      </c>
      <c r="D14" s="137">
        <v>72500</v>
      </c>
      <c r="E14" s="137">
        <f>B14-C14</f>
        <v>15000</v>
      </c>
      <c r="F14" s="137">
        <f>C14-D14</f>
        <v>-12500</v>
      </c>
    </row>
    <row r="15" spans="1:6" ht="15.6" x14ac:dyDescent="0.25">
      <c r="A15" s="136" t="s">
        <v>110</v>
      </c>
      <c r="B15" s="137">
        <f>250000*10%</f>
        <v>25000</v>
      </c>
      <c r="C15" s="137">
        <f>B15</f>
        <v>25000</v>
      </c>
      <c r="D15" s="137">
        <v>22500</v>
      </c>
      <c r="E15" s="137" t="s">
        <v>124</v>
      </c>
      <c r="F15" s="137">
        <f>C15-D15</f>
        <v>2500</v>
      </c>
    </row>
    <row r="16" spans="1:6" ht="15.6" x14ac:dyDescent="0.25">
      <c r="A16" s="136"/>
      <c r="B16" s="224">
        <f>SUM(B14:B15)</f>
        <v>100000</v>
      </c>
      <c r="C16" s="224">
        <f>SUM(C14:C15)</f>
        <v>85000</v>
      </c>
      <c r="D16" s="224">
        <f>SUM(D14:D15)</f>
        <v>95000</v>
      </c>
      <c r="E16" s="137"/>
      <c r="F16" s="137"/>
    </row>
    <row r="17" spans="1:6" ht="15.6" x14ac:dyDescent="0.25">
      <c r="A17" s="136" t="s">
        <v>136</v>
      </c>
      <c r="B17" s="137"/>
      <c r="C17" s="137"/>
      <c r="D17" s="137"/>
      <c r="E17" s="137"/>
      <c r="F17" s="137"/>
    </row>
    <row r="18" spans="1:6" ht="15.6" x14ac:dyDescent="0.25">
      <c r="A18" s="136" t="s">
        <v>109</v>
      </c>
      <c r="B18" s="224">
        <f>'7,23'!C110*10%</f>
        <v>95600</v>
      </c>
      <c r="C18" s="224">
        <v>64000</v>
      </c>
      <c r="D18" s="224">
        <v>80000</v>
      </c>
      <c r="E18" s="137">
        <f>B18-C18</f>
        <v>31600</v>
      </c>
      <c r="F18" s="137">
        <f>C18-D18</f>
        <v>-16000</v>
      </c>
    </row>
    <row r="19" spans="1:6" ht="15.6" x14ac:dyDescent="0.25">
      <c r="A19" s="136"/>
      <c r="B19" s="137"/>
      <c r="C19" s="137"/>
      <c r="D19" s="137"/>
      <c r="E19" s="137"/>
      <c r="F19" s="137"/>
    </row>
    <row r="20" spans="1:6" ht="15.6" x14ac:dyDescent="0.25">
      <c r="A20" s="136"/>
      <c r="B20" s="225">
        <f>SUM(B10:B19)</f>
        <v>435600</v>
      </c>
      <c r="C20" s="225">
        <f>SUM(C10:C19)</f>
        <v>359000</v>
      </c>
      <c r="D20" s="225">
        <f>SUM(D10:D19)</f>
        <v>408000</v>
      </c>
      <c r="E20" s="138"/>
      <c r="F20" s="138"/>
    </row>
    <row r="21" spans="1:6" ht="15.6" x14ac:dyDescent="0.25">
      <c r="A21" s="136" t="s">
        <v>121</v>
      </c>
      <c r="B21" s="139"/>
      <c r="C21" s="139"/>
      <c r="D21" s="140"/>
      <c r="E21" s="138">
        <f>SUM(E10:E20)</f>
        <v>54100</v>
      </c>
      <c r="F21" s="138">
        <f>SUM(F10:F20)</f>
        <v>-32500</v>
      </c>
    </row>
    <row r="22" spans="1:6" ht="15.6" x14ac:dyDescent="0.25">
      <c r="A22" s="126" t="s">
        <v>122</v>
      </c>
      <c r="B22" s="141"/>
      <c r="C22" s="141"/>
      <c r="D22" s="142"/>
      <c r="E22" s="362">
        <f>E21+F21</f>
        <v>21600</v>
      </c>
      <c r="F22" s="363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 t="s">
        <v>123</v>
      </c>
      <c r="B24" s="1"/>
      <c r="C24" s="1"/>
      <c r="D24" s="1"/>
      <c r="E24" s="1"/>
      <c r="F24" s="1"/>
    </row>
    <row r="25" spans="1:6" x14ac:dyDescent="0.25">
      <c r="A25" s="143" t="s">
        <v>138</v>
      </c>
      <c r="B25" s="1"/>
      <c r="C25" s="1"/>
      <c r="D25" s="1"/>
      <c r="E25" s="1"/>
      <c r="F25" s="1"/>
    </row>
    <row r="26" spans="1:6" x14ac:dyDescent="0.25">
      <c r="A26" s="1" t="s">
        <v>137</v>
      </c>
      <c r="B26" s="1"/>
      <c r="C26" s="1"/>
      <c r="D26" s="1"/>
      <c r="E26" s="1"/>
      <c r="F26" s="1"/>
    </row>
    <row r="27" spans="1:6" x14ac:dyDescent="0.25">
      <c r="A27" s="144" t="s">
        <v>139</v>
      </c>
      <c r="E27" s="1"/>
      <c r="F27" s="1"/>
    </row>
    <row r="28" spans="1:6" x14ac:dyDescent="0.25">
      <c r="D28" s="1"/>
      <c r="E28" s="1"/>
      <c r="F28" s="1"/>
    </row>
    <row r="29" spans="1:6" x14ac:dyDescent="0.25">
      <c r="D29" s="1"/>
      <c r="E29" s="1"/>
      <c r="F29" s="1"/>
    </row>
    <row r="30" spans="1:6" x14ac:dyDescent="0.25">
      <c r="D30" s="1"/>
      <c r="E30" s="1"/>
      <c r="F30" s="1"/>
    </row>
    <row r="31" spans="1:6" x14ac:dyDescent="0.25">
      <c r="A31" s="1" t="s">
        <v>125</v>
      </c>
      <c r="B31" s="1" t="s">
        <v>256</v>
      </c>
      <c r="C31" s="106"/>
      <c r="D31" s="1"/>
    </row>
    <row r="32" spans="1:6" x14ac:dyDescent="0.25">
      <c r="A32" s="1"/>
      <c r="B32" s="1"/>
      <c r="C32" s="106"/>
      <c r="D32" s="1"/>
    </row>
    <row r="33" spans="1:3" x14ac:dyDescent="0.25">
      <c r="A33" s="1" t="s">
        <v>126</v>
      </c>
      <c r="B33" s="1" t="s">
        <v>130</v>
      </c>
      <c r="C33" s="1"/>
    </row>
    <row r="34" spans="1:3" x14ac:dyDescent="0.25">
      <c r="A34" s="1"/>
      <c r="B34" s="143" t="s">
        <v>142</v>
      </c>
      <c r="C34" s="1"/>
    </row>
    <row r="35" spans="1:3" x14ac:dyDescent="0.25">
      <c r="B35" s="1" t="s">
        <v>141</v>
      </c>
    </row>
    <row r="36" spans="1:3" x14ac:dyDescent="0.25">
      <c r="B36" s="1" t="s">
        <v>142</v>
      </c>
    </row>
    <row r="38" spans="1:3" x14ac:dyDescent="0.25">
      <c r="B38" s="27" t="s">
        <v>257</v>
      </c>
    </row>
    <row r="39" spans="1:3" x14ac:dyDescent="0.25">
      <c r="B39" s="27" t="s">
        <v>258</v>
      </c>
    </row>
    <row r="40" spans="1:3" x14ac:dyDescent="0.25">
      <c r="B40" s="27" t="s">
        <v>259</v>
      </c>
    </row>
  </sheetData>
  <mergeCells count="2">
    <mergeCell ref="A7:A8"/>
    <mergeCell ref="E22:F22"/>
  </mergeCells>
  <phoneticPr fontId="5" type="noConversion"/>
  <pageMargins left="0.75" right="0.75" top="1" bottom="1" header="0.5" footer="0.5"/>
  <pageSetup paperSize="9" scale="91" orientation="portrait"/>
  <headerFooter alignWithMargins="0">
    <oddHeader>&amp;A</oddHeader>
    <oddFooter>Side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78"/>
  <sheetViews>
    <sheetView zoomScale="80" workbookViewId="0">
      <selection activeCell="B65" sqref="B65"/>
    </sheetView>
  </sheetViews>
  <sheetFormatPr baseColWidth="10" defaultColWidth="11.44140625" defaultRowHeight="15" x14ac:dyDescent="0.25"/>
  <cols>
    <col min="1" max="1" width="3" style="25" customWidth="1"/>
    <col min="2" max="2" width="36.109375" style="25" customWidth="1"/>
    <col min="3" max="3" width="14.109375" style="27" customWidth="1"/>
    <col min="4" max="7" width="12.6640625" style="27" customWidth="1"/>
    <col min="8" max="13" width="11.44140625" style="27"/>
    <col min="14" max="16384" width="11.44140625" style="25"/>
  </cols>
  <sheetData>
    <row r="1" spans="2:7" ht="15.6" x14ac:dyDescent="0.3">
      <c r="B1" s="8" t="s">
        <v>260</v>
      </c>
    </row>
    <row r="3" spans="2:7" ht="15.6" x14ac:dyDescent="0.3">
      <c r="B3" s="24" t="str">
        <f>'7,13-14'!B3</f>
        <v xml:space="preserve">Klikk på cellene for å se utregningene </v>
      </c>
    </row>
    <row r="5" spans="2:7" ht="15.6" x14ac:dyDescent="0.3">
      <c r="B5" s="44" t="s">
        <v>42</v>
      </c>
    </row>
    <row r="6" spans="2:7" x14ac:dyDescent="0.25">
      <c r="B6" s="25" t="str">
        <f t="shared" ref="B6:B12" si="0">B36</f>
        <v>Direkte materialer</v>
      </c>
      <c r="C6" s="27">
        <v>320000</v>
      </c>
    </row>
    <row r="7" spans="2:7" x14ac:dyDescent="0.25">
      <c r="B7" s="25" t="str">
        <f t="shared" si="0"/>
        <v>Direkte lønn avdeling 1</v>
      </c>
      <c r="C7" s="27">
        <v>180000</v>
      </c>
    </row>
    <row r="8" spans="2:7" x14ac:dyDescent="0.25">
      <c r="B8" s="25" t="str">
        <f t="shared" si="0"/>
        <v>Direkte lønn avdeling 2</v>
      </c>
      <c r="C8" s="27">
        <v>160000</v>
      </c>
    </row>
    <row r="9" spans="2:7" ht="15.6" x14ac:dyDescent="0.3">
      <c r="B9" s="26" t="str">
        <f t="shared" si="0"/>
        <v>Indirekte tilvirkn.kostnader</v>
      </c>
    </row>
    <row r="10" spans="2:7" x14ac:dyDescent="0.25">
      <c r="B10" s="25" t="str">
        <f t="shared" si="0"/>
        <v>Materialavdelingen</v>
      </c>
      <c r="C10" s="27">
        <v>32000</v>
      </c>
    </row>
    <row r="11" spans="2:7" x14ac:dyDescent="0.25">
      <c r="B11" s="50" t="str">
        <f t="shared" si="0"/>
        <v>Tilvirkningsavdeling 1</v>
      </c>
      <c r="C11" s="51">
        <v>90000</v>
      </c>
      <c r="D11" s="51"/>
      <c r="E11" s="51"/>
      <c r="F11" s="51"/>
      <c r="G11" s="51"/>
    </row>
    <row r="12" spans="2:7" x14ac:dyDescent="0.25">
      <c r="B12" s="45" t="str">
        <f t="shared" si="0"/>
        <v>Tilvirkningsavdeling 2</v>
      </c>
      <c r="C12" s="46">
        <v>176000</v>
      </c>
      <c r="D12" s="51"/>
      <c r="E12" s="51"/>
      <c r="F12" s="51"/>
      <c r="G12" s="51"/>
    </row>
    <row r="13" spans="2:7" x14ac:dyDescent="0.25">
      <c r="B13" s="25" t="s">
        <v>9</v>
      </c>
      <c r="C13" s="27">
        <f>SUM(C6:C12)</f>
        <v>958000</v>
      </c>
    </row>
    <row r="14" spans="2:7" x14ac:dyDescent="0.25">
      <c r="B14" s="25" t="str">
        <f>B48</f>
        <v>Administrasjonsavd.</v>
      </c>
      <c r="C14" s="27">
        <v>95800</v>
      </c>
    </row>
    <row r="15" spans="2:7" x14ac:dyDescent="0.25">
      <c r="B15" s="47" t="s">
        <v>48</v>
      </c>
      <c r="C15" s="48">
        <f>SUM(C13:C14)</f>
        <v>1053800</v>
      </c>
      <c r="D15" s="51"/>
      <c r="E15" s="51"/>
      <c r="F15" s="51"/>
      <c r="G15" s="51"/>
    </row>
    <row r="16" spans="2:7" x14ac:dyDescent="0.25">
      <c r="B16" s="50"/>
      <c r="C16" s="51"/>
      <c r="D16" s="51"/>
      <c r="E16" s="51"/>
      <c r="F16" s="51"/>
      <c r="G16" s="51"/>
    </row>
    <row r="18" spans="1:7" ht="15.6" x14ac:dyDescent="0.3">
      <c r="A18" s="25" t="s">
        <v>12</v>
      </c>
      <c r="B18" s="44" t="s">
        <v>49</v>
      </c>
    </row>
    <row r="19" spans="1:7" x14ac:dyDescent="0.25">
      <c r="B19" s="25" t="str">
        <f>B10</f>
        <v>Materialavdelingen</v>
      </c>
      <c r="C19" s="43">
        <f>C10/C6</f>
        <v>0.1</v>
      </c>
      <c r="D19" s="43"/>
      <c r="E19" s="43"/>
      <c r="F19" s="43"/>
      <c r="G19" s="43"/>
    </row>
    <row r="20" spans="1:7" x14ac:dyDescent="0.25">
      <c r="B20" s="25" t="str">
        <f>B11</f>
        <v>Tilvirkningsavdeling 1</v>
      </c>
      <c r="C20" s="43">
        <f>C11/C7</f>
        <v>0.5</v>
      </c>
      <c r="D20" s="43"/>
      <c r="E20" s="43"/>
      <c r="F20" s="43"/>
      <c r="G20" s="43"/>
    </row>
    <row r="21" spans="1:7" x14ac:dyDescent="0.25">
      <c r="B21" s="25" t="str">
        <f>B12</f>
        <v>Tilvirkningsavdeling 2</v>
      </c>
      <c r="C21" s="43">
        <f>C12/C8</f>
        <v>1.1000000000000001</v>
      </c>
      <c r="D21" s="43"/>
      <c r="E21" s="43"/>
      <c r="F21" s="43"/>
      <c r="G21" s="43"/>
    </row>
    <row r="22" spans="1:7" x14ac:dyDescent="0.25">
      <c r="B22" s="25" t="str">
        <f>B14</f>
        <v>Administrasjonsavd.</v>
      </c>
      <c r="C22" s="43">
        <f>C14/C13</f>
        <v>0.1</v>
      </c>
      <c r="D22" s="43"/>
      <c r="E22" s="43"/>
      <c r="F22" s="43"/>
      <c r="G22" s="43"/>
    </row>
    <row r="23" spans="1:7" x14ac:dyDescent="0.25">
      <c r="C23" s="43"/>
      <c r="D23" s="43"/>
      <c r="E23" s="43"/>
      <c r="F23" s="43"/>
      <c r="G23" s="43"/>
    </row>
    <row r="24" spans="1:7" x14ac:dyDescent="0.25">
      <c r="C24" s="43"/>
      <c r="D24" s="43"/>
      <c r="E24" s="43"/>
      <c r="F24" s="43"/>
      <c r="G24" s="43"/>
    </row>
    <row r="25" spans="1:7" x14ac:dyDescent="0.25">
      <c r="C25" s="43"/>
      <c r="D25" s="43"/>
      <c r="E25" s="43"/>
      <c r="F25" s="43"/>
      <c r="G25" s="43"/>
    </row>
    <row r="26" spans="1:7" x14ac:dyDescent="0.25">
      <c r="C26" s="43"/>
      <c r="D26" s="43"/>
      <c r="E26" s="43"/>
      <c r="F26" s="43"/>
      <c r="G26" s="43"/>
    </row>
    <row r="27" spans="1:7" x14ac:dyDescent="0.25">
      <c r="C27" s="43"/>
      <c r="D27" s="43"/>
      <c r="E27" s="43"/>
      <c r="F27" s="43"/>
      <c r="G27" s="43"/>
    </row>
    <row r="28" spans="1:7" x14ac:dyDescent="0.25">
      <c r="C28" s="43"/>
      <c r="D28" s="43"/>
      <c r="E28" s="43"/>
      <c r="F28" s="43"/>
      <c r="G28" s="43"/>
    </row>
    <row r="29" spans="1:7" x14ac:dyDescent="0.25">
      <c r="C29" s="43"/>
      <c r="D29" s="43"/>
      <c r="E29" s="43"/>
      <c r="F29" s="43"/>
      <c r="G29" s="43"/>
    </row>
    <row r="30" spans="1:7" x14ac:dyDescent="0.25">
      <c r="C30" s="43"/>
      <c r="D30" s="43"/>
      <c r="E30" s="43"/>
      <c r="F30" s="43"/>
      <c r="G30" s="43"/>
    </row>
    <row r="31" spans="1:7" x14ac:dyDescent="0.25">
      <c r="C31" s="43"/>
      <c r="D31" s="43"/>
      <c r="E31" s="43"/>
      <c r="F31" s="43"/>
      <c r="G31" s="43"/>
    </row>
    <row r="33" spans="1:9" ht="15.6" x14ac:dyDescent="0.3">
      <c r="A33" s="25" t="s">
        <v>13</v>
      </c>
      <c r="B33" s="44" t="s">
        <v>3</v>
      </c>
    </row>
    <row r="34" spans="1:9" x14ac:dyDescent="0.25">
      <c r="B34" s="28"/>
      <c r="C34" s="366" t="s">
        <v>167</v>
      </c>
      <c r="D34" s="367"/>
      <c r="E34" s="367"/>
      <c r="F34" s="367"/>
      <c r="G34" s="368"/>
      <c r="H34" s="30" t="s">
        <v>31</v>
      </c>
      <c r="I34" s="31" t="s">
        <v>32</v>
      </c>
    </row>
    <row r="35" spans="1:9" x14ac:dyDescent="0.25">
      <c r="B35" s="32"/>
      <c r="C35" s="33" t="s">
        <v>261</v>
      </c>
      <c r="D35" s="233" t="s">
        <v>262</v>
      </c>
      <c r="E35" s="233" t="s">
        <v>263</v>
      </c>
      <c r="F35" s="233" t="s">
        <v>264</v>
      </c>
      <c r="G35" s="233" t="s">
        <v>134</v>
      </c>
      <c r="H35" s="197" t="s">
        <v>33</v>
      </c>
      <c r="I35" s="35" t="s">
        <v>34</v>
      </c>
    </row>
    <row r="36" spans="1:9" x14ac:dyDescent="0.25">
      <c r="B36" s="36" t="s">
        <v>0</v>
      </c>
      <c r="C36" s="37">
        <v>5000</v>
      </c>
      <c r="D36" s="37">
        <v>12000</v>
      </c>
      <c r="E36" s="37">
        <v>10000</v>
      </c>
      <c r="F36" s="37">
        <v>3000</v>
      </c>
      <c r="G36" s="194">
        <f>SUM(C36:F36)</f>
        <v>30000</v>
      </c>
      <c r="H36" s="31">
        <f>G36</f>
        <v>30000</v>
      </c>
      <c r="I36" s="197"/>
    </row>
    <row r="37" spans="1:9" x14ac:dyDescent="0.25">
      <c r="B37" s="38" t="s">
        <v>52</v>
      </c>
      <c r="C37" s="37">
        <v>4000</v>
      </c>
      <c r="D37" s="37">
        <v>8000</v>
      </c>
      <c r="E37" s="37">
        <v>3000</v>
      </c>
      <c r="F37" s="37">
        <v>2000</v>
      </c>
      <c r="G37" s="194">
        <f t="shared" ref="G37:G51" si="1">SUM(C37:F37)</f>
        <v>17000</v>
      </c>
      <c r="H37" s="37">
        <f>G37</f>
        <v>17000</v>
      </c>
      <c r="I37" s="197"/>
    </row>
    <row r="38" spans="1:9" x14ac:dyDescent="0.25">
      <c r="B38" s="49" t="s">
        <v>51</v>
      </c>
      <c r="C38" s="37">
        <v>3000</v>
      </c>
      <c r="D38" s="37">
        <v>5000</v>
      </c>
      <c r="E38" s="37">
        <v>7000</v>
      </c>
      <c r="F38" s="37">
        <v>0</v>
      </c>
      <c r="G38" s="194">
        <f t="shared" si="1"/>
        <v>15000</v>
      </c>
      <c r="H38" s="37">
        <f>G38</f>
        <v>15000</v>
      </c>
      <c r="I38" s="197"/>
    </row>
    <row r="39" spans="1:9" ht="15.6" x14ac:dyDescent="0.3">
      <c r="B39" s="39" t="s">
        <v>1</v>
      </c>
      <c r="C39" s="37"/>
      <c r="D39" s="37"/>
      <c r="E39" s="37"/>
      <c r="F39" s="37"/>
      <c r="G39" s="194"/>
      <c r="H39" s="37"/>
      <c r="I39" s="197"/>
    </row>
    <row r="40" spans="1:9" x14ac:dyDescent="0.25">
      <c r="B40" s="36" t="s">
        <v>2</v>
      </c>
      <c r="C40" s="37">
        <f>C36*$C$19</f>
        <v>500</v>
      </c>
      <c r="D40" s="37">
        <f>D36*$C$19</f>
        <v>1200</v>
      </c>
      <c r="E40" s="37">
        <f>E36*$C$19</f>
        <v>1000</v>
      </c>
      <c r="F40" s="37">
        <f>F36*$C$19</f>
        <v>300</v>
      </c>
      <c r="G40" s="194">
        <f t="shared" si="1"/>
        <v>3000</v>
      </c>
      <c r="H40" s="37">
        <v>3220</v>
      </c>
      <c r="I40" s="197">
        <f>G40-H40</f>
        <v>-220</v>
      </c>
    </row>
    <row r="41" spans="1:9" x14ac:dyDescent="0.25">
      <c r="B41" s="40" t="s">
        <v>8</v>
      </c>
      <c r="C41" s="37">
        <f>C37*$C$20</f>
        <v>2000</v>
      </c>
      <c r="D41" s="37">
        <f>D37*$C$20</f>
        <v>4000</v>
      </c>
      <c r="E41" s="37">
        <f>E37*$C$20</f>
        <v>1500</v>
      </c>
      <c r="F41" s="37">
        <f>F37*$C$20</f>
        <v>1000</v>
      </c>
      <c r="G41" s="194">
        <f t="shared" si="1"/>
        <v>8500</v>
      </c>
      <c r="H41" s="37">
        <v>8000</v>
      </c>
      <c r="I41" s="197">
        <f>G41-H41</f>
        <v>500</v>
      </c>
    </row>
    <row r="42" spans="1:9" x14ac:dyDescent="0.25">
      <c r="B42" s="223" t="s">
        <v>27</v>
      </c>
      <c r="C42" s="35">
        <f>$C$21*C38</f>
        <v>3300.0000000000005</v>
      </c>
      <c r="D42" s="35">
        <f>$C$21*D38</f>
        <v>5500</v>
      </c>
      <c r="E42" s="35">
        <f>$C$21*E38</f>
        <v>7700.0000000000009</v>
      </c>
      <c r="F42" s="35">
        <f>$C$21*F38</f>
        <v>0</v>
      </c>
      <c r="G42" s="195">
        <f t="shared" si="1"/>
        <v>16500</v>
      </c>
      <c r="H42" s="37">
        <v>15900</v>
      </c>
      <c r="I42" s="197">
        <f>G42-H42</f>
        <v>600</v>
      </c>
    </row>
    <row r="43" spans="1:9" x14ac:dyDescent="0.25">
      <c r="B43" s="38" t="s">
        <v>45</v>
      </c>
      <c r="C43" s="37">
        <f>SUM(C36:C42)</f>
        <v>17800</v>
      </c>
      <c r="D43" s="37">
        <f>SUM(D36:D42)</f>
        <v>35700</v>
      </c>
      <c r="E43" s="37">
        <f>SUM(E36:E42)</f>
        <v>30200</v>
      </c>
      <c r="F43" s="37">
        <f>SUM(F36:F42)</f>
        <v>6300</v>
      </c>
      <c r="G43" s="194">
        <f t="shared" si="1"/>
        <v>90000</v>
      </c>
      <c r="H43" s="37"/>
      <c r="I43" s="197"/>
    </row>
    <row r="44" spans="1:9" x14ac:dyDescent="0.25">
      <c r="B44" s="223" t="s">
        <v>35</v>
      </c>
      <c r="C44" s="35"/>
      <c r="D44" s="35"/>
      <c r="E44" s="35"/>
      <c r="F44" s="35">
        <v>0</v>
      </c>
      <c r="G44" s="195">
        <f t="shared" si="1"/>
        <v>0</v>
      </c>
      <c r="H44" s="37">
        <f>G44</f>
        <v>0</v>
      </c>
      <c r="I44" s="197"/>
    </row>
    <row r="45" spans="1:9" x14ac:dyDescent="0.25">
      <c r="B45" s="38" t="s">
        <v>46</v>
      </c>
      <c r="C45" s="37">
        <f>SUM(C43:C44)</f>
        <v>17800</v>
      </c>
      <c r="D45" s="37">
        <f>SUM(D43:D44)</f>
        <v>35700</v>
      </c>
      <c r="E45" s="37">
        <f>SUM(E43:E44)</f>
        <v>30200</v>
      </c>
      <c r="F45" s="37">
        <f>SUM(F43:F44)</f>
        <v>6300</v>
      </c>
      <c r="G45" s="194">
        <f t="shared" si="1"/>
        <v>90000</v>
      </c>
      <c r="H45" s="37"/>
      <c r="I45" s="197"/>
    </row>
    <row r="46" spans="1:9" x14ac:dyDescent="0.25">
      <c r="B46" s="223" t="s">
        <v>36</v>
      </c>
      <c r="C46" s="35"/>
      <c r="D46" s="35"/>
      <c r="E46" s="35"/>
      <c r="F46" s="35">
        <f>-F45</f>
        <v>-6300</v>
      </c>
      <c r="G46" s="195">
        <f t="shared" si="1"/>
        <v>-6300</v>
      </c>
      <c r="H46" s="37">
        <f>G46</f>
        <v>-6300</v>
      </c>
      <c r="I46" s="197"/>
    </row>
    <row r="47" spans="1:9" x14ac:dyDescent="0.25">
      <c r="B47" s="38" t="s">
        <v>47</v>
      </c>
      <c r="C47" s="37">
        <f>SUM(C45:C46)</f>
        <v>17800</v>
      </c>
      <c r="D47" s="37">
        <f>SUM(D45:D46)</f>
        <v>35700</v>
      </c>
      <c r="E47" s="37">
        <f>SUM(E45:E46)</f>
        <v>30200</v>
      </c>
      <c r="F47" s="37"/>
      <c r="G47" s="194">
        <f t="shared" si="1"/>
        <v>83700</v>
      </c>
      <c r="H47" s="37"/>
      <c r="I47" s="197"/>
    </row>
    <row r="48" spans="1:9" x14ac:dyDescent="0.25">
      <c r="B48" s="223" t="s">
        <v>37</v>
      </c>
      <c r="C48" s="35">
        <f>C47*$C$22</f>
        <v>1780</v>
      </c>
      <c r="D48" s="35">
        <f>D47*$C$22</f>
        <v>3570</v>
      </c>
      <c r="E48" s="35">
        <f>E47*$C$22</f>
        <v>3020</v>
      </c>
      <c r="F48" s="35"/>
      <c r="G48" s="195">
        <f t="shared" si="1"/>
        <v>8370</v>
      </c>
      <c r="H48" s="37">
        <v>14900</v>
      </c>
      <c r="I48" s="197">
        <f>G48-H48</f>
        <v>-6530</v>
      </c>
    </row>
    <row r="49" spans="1:9" x14ac:dyDescent="0.25">
      <c r="B49" s="36" t="s">
        <v>242</v>
      </c>
      <c r="C49" s="37">
        <f>SUM(C47:C48)</f>
        <v>19580</v>
      </c>
      <c r="D49" s="37">
        <f>SUM(D47:D48)</f>
        <v>39270</v>
      </c>
      <c r="E49" s="37">
        <f>SUM(E47:E48)</f>
        <v>33220</v>
      </c>
      <c r="F49" s="37"/>
      <c r="G49" s="194">
        <f t="shared" si="1"/>
        <v>92070</v>
      </c>
      <c r="H49" s="37"/>
      <c r="I49" s="197"/>
    </row>
    <row r="50" spans="1:9" x14ac:dyDescent="0.25">
      <c r="B50" s="223" t="s">
        <v>38</v>
      </c>
      <c r="C50" s="35">
        <v>21000</v>
      </c>
      <c r="D50" s="35">
        <v>43000</v>
      </c>
      <c r="E50" s="35">
        <v>36000</v>
      </c>
      <c r="F50" s="35"/>
      <c r="G50" s="195">
        <f t="shared" si="1"/>
        <v>100000</v>
      </c>
      <c r="H50" s="37">
        <f>G50</f>
        <v>100000</v>
      </c>
      <c r="I50" s="197"/>
    </row>
    <row r="51" spans="1:9" x14ac:dyDescent="0.25">
      <c r="B51" s="36" t="s">
        <v>39</v>
      </c>
      <c r="C51" s="37">
        <f>C50-C49</f>
        <v>1420</v>
      </c>
      <c r="D51" s="37">
        <f>D50-D49</f>
        <v>3730</v>
      </c>
      <c r="E51" s="37">
        <f>E50-E49</f>
        <v>2780</v>
      </c>
      <c r="F51" s="37"/>
      <c r="G51" s="194">
        <f t="shared" si="1"/>
        <v>7930</v>
      </c>
      <c r="H51" s="37"/>
      <c r="I51" s="197"/>
    </row>
    <row r="52" spans="1:9" x14ac:dyDescent="0.25">
      <c r="B52" s="36" t="s">
        <v>40</v>
      </c>
      <c r="D52" s="37"/>
      <c r="E52" s="37"/>
      <c r="F52" s="37"/>
      <c r="G52" s="195">
        <f>I52</f>
        <v>-5650</v>
      </c>
      <c r="H52" s="35"/>
      <c r="I52" s="192">
        <f>SUM(I40:I48)</f>
        <v>-5650</v>
      </c>
    </row>
    <row r="53" spans="1:9" x14ac:dyDescent="0.25">
      <c r="B53" s="218" t="s">
        <v>41</v>
      </c>
      <c r="C53" s="41"/>
      <c r="D53" s="41"/>
      <c r="E53" s="41"/>
      <c r="F53" s="41"/>
      <c r="G53" s="41">
        <f>SUM(G51:G52)</f>
        <v>2280</v>
      </c>
      <c r="H53" s="35">
        <f>H50-SUM(H36:H48)</f>
        <v>2280</v>
      </c>
      <c r="I53" s="35"/>
    </row>
    <row r="56" spans="1:9" x14ac:dyDescent="0.25">
      <c r="A56" s="25" t="s">
        <v>193</v>
      </c>
      <c r="B56" s="25" t="s">
        <v>266</v>
      </c>
    </row>
    <row r="58" spans="1:9" ht="15.6" x14ac:dyDescent="0.3">
      <c r="B58" s="44" t="str">
        <f>B9</f>
        <v>Indirekte tilvirkn.kostnader</v>
      </c>
      <c r="C58" s="135" t="s">
        <v>134</v>
      </c>
      <c r="D58" s="135" t="s">
        <v>133</v>
      </c>
      <c r="E58" s="135" t="s">
        <v>269</v>
      </c>
    </row>
    <row r="59" spans="1:9" x14ac:dyDescent="0.25">
      <c r="B59" s="25" t="str">
        <f>B11</f>
        <v>Tilvirkningsavdeling 1</v>
      </c>
      <c r="C59" s="27">
        <f>C11</f>
        <v>90000</v>
      </c>
      <c r="D59" s="27">
        <v>54000</v>
      </c>
      <c r="E59" s="27">
        <v>36000</v>
      </c>
    </row>
    <row r="61" spans="1:9" x14ac:dyDescent="0.25">
      <c r="B61" s="25" t="str">
        <f>B7</f>
        <v>Direkte lønn avdeling 1</v>
      </c>
      <c r="C61" s="27">
        <f>C7</f>
        <v>180000</v>
      </c>
    </row>
    <row r="65" spans="1:7" ht="15.6" x14ac:dyDescent="0.3">
      <c r="B65" s="24" t="str">
        <f>B18</f>
        <v>Normalsatser:</v>
      </c>
    </row>
    <row r="66" spans="1:7" x14ac:dyDescent="0.25">
      <c r="B66" s="25" t="s">
        <v>268</v>
      </c>
      <c r="C66" s="234">
        <f>D59/C61</f>
        <v>0.3</v>
      </c>
    </row>
    <row r="67" spans="1:7" x14ac:dyDescent="0.25">
      <c r="B67" s="25" t="s">
        <v>267</v>
      </c>
      <c r="C67" s="234">
        <f>E59/C61</f>
        <v>0.2</v>
      </c>
    </row>
    <row r="71" spans="1:7" ht="15.6" x14ac:dyDescent="0.3">
      <c r="B71" s="44" t="s">
        <v>247</v>
      </c>
    </row>
    <row r="72" spans="1:7" ht="15.6" x14ac:dyDescent="0.25">
      <c r="B72" s="361"/>
      <c r="C72" s="132" t="s">
        <v>111</v>
      </c>
      <c r="D72" s="132" t="s">
        <v>112</v>
      </c>
      <c r="E72" s="132" t="s">
        <v>31</v>
      </c>
      <c r="F72" s="132" t="s">
        <v>265</v>
      </c>
      <c r="G72" s="132" t="s">
        <v>115</v>
      </c>
    </row>
    <row r="73" spans="1:7" ht="15.6" x14ac:dyDescent="0.25">
      <c r="B73" s="361"/>
      <c r="C73" s="133" t="s">
        <v>33</v>
      </c>
      <c r="D73" s="133" t="s">
        <v>33</v>
      </c>
      <c r="E73" s="133" t="s">
        <v>33</v>
      </c>
      <c r="F73" s="133" t="s">
        <v>114</v>
      </c>
      <c r="G73" s="133" t="s">
        <v>114</v>
      </c>
    </row>
    <row r="74" spans="1:7" ht="15.6" x14ac:dyDescent="0.25">
      <c r="B74" s="232" t="str">
        <f>B59</f>
        <v>Tilvirkningsavdeling 1</v>
      </c>
      <c r="C74" s="122" t="s">
        <v>116</v>
      </c>
      <c r="D74" s="122" t="s">
        <v>60</v>
      </c>
      <c r="E74" s="122" t="s">
        <v>117</v>
      </c>
      <c r="F74" s="122" t="s">
        <v>118</v>
      </c>
      <c r="G74" s="122" t="s">
        <v>119</v>
      </c>
    </row>
    <row r="75" spans="1:7" ht="15.6" x14ac:dyDescent="0.25">
      <c r="B75" s="232" t="s">
        <v>133</v>
      </c>
      <c r="C75" s="137">
        <f>G37*C66</f>
        <v>5100</v>
      </c>
      <c r="D75" s="137">
        <f>54000/12</f>
        <v>4500</v>
      </c>
      <c r="E75" s="137">
        <v>4800</v>
      </c>
      <c r="F75" s="137">
        <f>C75-D75</f>
        <v>600</v>
      </c>
      <c r="G75" s="137">
        <f>D75-E75</f>
        <v>-300</v>
      </c>
    </row>
    <row r="76" spans="1:7" ht="15.6" x14ac:dyDescent="0.25">
      <c r="B76" s="238" t="s">
        <v>135</v>
      </c>
      <c r="C76" s="137">
        <f>G37*C67</f>
        <v>3400</v>
      </c>
      <c r="D76" s="137">
        <f>C76</f>
        <v>3400</v>
      </c>
      <c r="E76" s="137">
        <f>H41-E75</f>
        <v>3200</v>
      </c>
      <c r="F76" s="137" t="s">
        <v>124</v>
      </c>
      <c r="G76" s="137">
        <f>D76-E76</f>
        <v>200</v>
      </c>
    </row>
    <row r="77" spans="1:7" ht="15.6" x14ac:dyDescent="0.25">
      <c r="A77" s="50"/>
      <c r="B77" s="237"/>
      <c r="C77" s="224">
        <f>SUM(C75:C76)</f>
        <v>8500</v>
      </c>
      <c r="D77" s="224">
        <f>SUM(D75:D76)</f>
        <v>7900</v>
      </c>
      <c r="E77" s="235">
        <f>SUM(E75:E76)</f>
        <v>8000</v>
      </c>
      <c r="F77" s="236">
        <f>SUM(F75:F76)</f>
        <v>600</v>
      </c>
      <c r="G77" s="236">
        <f>SUM(G75:G76)</f>
        <v>-100</v>
      </c>
    </row>
    <row r="78" spans="1:7" ht="15.6" x14ac:dyDescent="0.3">
      <c r="F78" s="369">
        <f>F77+G77</f>
        <v>500</v>
      </c>
      <c r="G78" s="370"/>
    </row>
  </sheetData>
  <mergeCells count="3">
    <mergeCell ref="C34:G34"/>
    <mergeCell ref="B72:B73"/>
    <mergeCell ref="F78:G78"/>
  </mergeCells>
  <phoneticPr fontId="5" type="noConversion"/>
  <pageMargins left="0.75" right="0.75" top="1" bottom="1" header="0.5" footer="0.5"/>
  <pageSetup paperSize="9" orientation="landscape"/>
  <headerFooter alignWithMargins="0">
    <oddHeader>&amp;A</oddHeader>
    <oddFooter>Side &amp;P av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106"/>
  <sheetViews>
    <sheetView workbookViewId="0">
      <selection activeCell="A68" sqref="A68"/>
    </sheetView>
  </sheetViews>
  <sheetFormatPr baseColWidth="10" defaultColWidth="11.44140625" defaultRowHeight="13.8" x14ac:dyDescent="0.25"/>
  <cols>
    <col min="1" max="1" width="3.44140625" style="240" customWidth="1"/>
    <col min="2" max="2" width="32.109375" style="240" customWidth="1"/>
    <col min="3" max="3" width="12.77734375" style="240" bestFit="1" customWidth="1"/>
    <col min="4" max="16384" width="11.44140625" style="240"/>
  </cols>
  <sheetData>
    <row r="1" spans="1:10" x14ac:dyDescent="0.25">
      <c r="A1" s="239" t="s">
        <v>270</v>
      </c>
    </row>
    <row r="3" spans="1:10" x14ac:dyDescent="0.25">
      <c r="A3" s="239" t="s">
        <v>271</v>
      </c>
    </row>
    <row r="5" spans="1:10" x14ac:dyDescent="0.25">
      <c r="B5" s="241" t="s">
        <v>42</v>
      </c>
    </row>
    <row r="6" spans="1:10" x14ac:dyDescent="0.25">
      <c r="B6" s="242" t="s">
        <v>214</v>
      </c>
      <c r="C6" s="243">
        <v>1600000</v>
      </c>
      <c r="D6" s="244"/>
      <c r="E6" s="244"/>
    </row>
    <row r="7" spans="1:10" x14ac:dyDescent="0.25">
      <c r="B7" s="245" t="s">
        <v>52</v>
      </c>
      <c r="C7" s="246">
        <v>900000</v>
      </c>
      <c r="D7" s="244"/>
      <c r="E7" s="244"/>
    </row>
    <row r="8" spans="1:10" x14ac:dyDescent="0.25">
      <c r="B8" s="245" t="s">
        <v>51</v>
      </c>
      <c r="C8" s="246">
        <v>800000</v>
      </c>
      <c r="D8" s="247"/>
      <c r="E8" s="247"/>
    </row>
    <row r="9" spans="1:10" x14ac:dyDescent="0.25">
      <c r="B9" s="245"/>
      <c r="C9" s="246"/>
      <c r="D9" s="248" t="s">
        <v>133</v>
      </c>
      <c r="E9" s="249" t="s">
        <v>135</v>
      </c>
    </row>
    <row r="10" spans="1:10" x14ac:dyDescent="0.25">
      <c r="B10" s="245" t="s">
        <v>272</v>
      </c>
      <c r="C10" s="246">
        <v>240000</v>
      </c>
      <c r="D10" s="250">
        <v>160000</v>
      </c>
      <c r="E10" s="243">
        <f>C10-D10</f>
        <v>80000</v>
      </c>
    </row>
    <row r="11" spans="1:10" x14ac:dyDescent="0.25">
      <c r="B11" s="245" t="s">
        <v>273</v>
      </c>
      <c r="C11" s="246">
        <v>450000</v>
      </c>
      <c r="D11" s="251">
        <v>270000</v>
      </c>
      <c r="E11" s="246">
        <f>C11-D11</f>
        <v>180000</v>
      </c>
    </row>
    <row r="12" spans="1:10" x14ac:dyDescent="0.25">
      <c r="B12" s="252" t="s">
        <v>27</v>
      </c>
      <c r="C12" s="253">
        <v>880000</v>
      </c>
      <c r="D12" s="251">
        <v>440000</v>
      </c>
      <c r="E12" s="246">
        <f>C12-D12</f>
        <v>440000</v>
      </c>
      <c r="J12" s="254"/>
    </row>
    <row r="13" spans="1:10" x14ac:dyDescent="0.25">
      <c r="B13" s="245" t="s">
        <v>9</v>
      </c>
      <c r="C13" s="246">
        <f>SUM(C6:C12)</f>
        <v>4870000</v>
      </c>
      <c r="D13" s="251"/>
      <c r="E13" s="246"/>
      <c r="J13" s="254"/>
    </row>
    <row r="14" spans="1:10" x14ac:dyDescent="0.25">
      <c r="B14" s="252" t="s">
        <v>274</v>
      </c>
      <c r="C14" s="253">
        <v>479000</v>
      </c>
      <c r="D14" s="255">
        <f>C14</f>
        <v>479000</v>
      </c>
      <c r="E14" s="253"/>
      <c r="J14" s="254"/>
    </row>
    <row r="15" spans="1:10" x14ac:dyDescent="0.25">
      <c r="D15" s="244"/>
      <c r="E15" s="244"/>
      <c r="J15" s="254"/>
    </row>
    <row r="16" spans="1:10" x14ac:dyDescent="0.25">
      <c r="D16" s="244"/>
      <c r="E16" s="244"/>
      <c r="J16" s="254"/>
    </row>
    <row r="17" spans="1:10" x14ac:dyDescent="0.25">
      <c r="D17" s="244"/>
      <c r="E17" s="244"/>
      <c r="J17" s="254"/>
    </row>
    <row r="18" spans="1:10" x14ac:dyDescent="0.25">
      <c r="A18" s="240" t="s">
        <v>12</v>
      </c>
      <c r="B18" s="241" t="s">
        <v>49</v>
      </c>
      <c r="C18" s="256" t="s">
        <v>134</v>
      </c>
      <c r="D18" s="257" t="s">
        <v>133</v>
      </c>
      <c r="E18" s="256" t="s">
        <v>135</v>
      </c>
      <c r="J18" s="254"/>
    </row>
    <row r="19" spans="1:10" x14ac:dyDescent="0.25">
      <c r="B19" s="242" t="str">
        <f>B10</f>
        <v>Materialforvaltning</v>
      </c>
      <c r="C19" s="258">
        <f>C10/C6</f>
        <v>0.15</v>
      </c>
      <c r="D19" s="258">
        <f>D10/C6</f>
        <v>0.1</v>
      </c>
      <c r="E19" s="258">
        <f>E10/C6</f>
        <v>0.05</v>
      </c>
    </row>
    <row r="20" spans="1:10" x14ac:dyDescent="0.25">
      <c r="B20" s="245" t="str">
        <f>B11</f>
        <v xml:space="preserve">Tilvirkningsavdeling 1 </v>
      </c>
      <c r="C20" s="259">
        <f>C11/C7</f>
        <v>0.5</v>
      </c>
      <c r="D20" s="259">
        <f>D11/C7</f>
        <v>0.3</v>
      </c>
      <c r="E20" s="259">
        <f>E11/C7</f>
        <v>0.2</v>
      </c>
    </row>
    <row r="21" spans="1:10" x14ac:dyDescent="0.25">
      <c r="B21" s="245" t="str">
        <f>B12</f>
        <v>Tilvirkningsavdeling 2</v>
      </c>
      <c r="C21" s="259">
        <f>C12/C8</f>
        <v>1.1000000000000001</v>
      </c>
      <c r="D21" s="259">
        <f>D12/C8</f>
        <v>0.55000000000000004</v>
      </c>
      <c r="E21" s="259">
        <f>E12/C8</f>
        <v>0.55000000000000004</v>
      </c>
    </row>
    <row r="22" spans="1:10" x14ac:dyDescent="0.25">
      <c r="B22" s="252" t="str">
        <f>B14</f>
        <v>Salgs og adm. avdeling</v>
      </c>
      <c r="C22" s="260">
        <f>C14/C13</f>
        <v>9.8357289527720743E-2</v>
      </c>
      <c r="D22" s="260">
        <f>D14/C13</f>
        <v>9.8357289527720743E-2</v>
      </c>
      <c r="E22" s="252"/>
    </row>
    <row r="34" spans="1:9" x14ac:dyDescent="0.25">
      <c r="A34" s="240" t="s">
        <v>193</v>
      </c>
      <c r="B34" s="241" t="s">
        <v>3</v>
      </c>
      <c r="C34" s="261"/>
      <c r="D34" s="261"/>
      <c r="E34" s="261"/>
      <c r="F34" s="261"/>
      <c r="G34" s="261"/>
      <c r="H34" s="261"/>
      <c r="I34" s="261"/>
    </row>
    <row r="35" spans="1:9" x14ac:dyDescent="0.25">
      <c r="B35" s="242"/>
      <c r="C35" s="371" t="s">
        <v>275</v>
      </c>
      <c r="D35" s="371"/>
      <c r="E35" s="371"/>
      <c r="F35" s="371"/>
      <c r="G35" s="371"/>
      <c r="H35" s="263" t="s">
        <v>31</v>
      </c>
      <c r="I35" s="263" t="s">
        <v>32</v>
      </c>
    </row>
    <row r="36" spans="1:9" x14ac:dyDescent="0.25">
      <c r="B36" s="252"/>
      <c r="C36" s="262">
        <v>1</v>
      </c>
      <c r="D36" s="262">
        <v>2</v>
      </c>
      <c r="E36" s="262">
        <v>3</v>
      </c>
      <c r="F36" s="262">
        <v>4</v>
      </c>
      <c r="G36" s="262" t="s">
        <v>147</v>
      </c>
      <c r="H36" s="264" t="s">
        <v>33</v>
      </c>
      <c r="I36" s="264" t="s">
        <v>34</v>
      </c>
    </row>
    <row r="37" spans="1:9" x14ac:dyDescent="0.25">
      <c r="B37" s="245" t="s">
        <v>0</v>
      </c>
      <c r="C37" s="265">
        <v>0</v>
      </c>
      <c r="D37" s="265">
        <v>70000</v>
      </c>
      <c r="E37" s="265">
        <v>45000</v>
      </c>
      <c r="F37" s="265">
        <v>20000</v>
      </c>
      <c r="G37" s="265">
        <f>SUM(C37:F37)</f>
        <v>135000</v>
      </c>
      <c r="H37" s="265">
        <f>G37</f>
        <v>135000</v>
      </c>
      <c r="I37" s="265"/>
    </row>
    <row r="38" spans="1:9" x14ac:dyDescent="0.25">
      <c r="B38" s="245" t="s">
        <v>6</v>
      </c>
      <c r="C38" s="265">
        <v>0</v>
      </c>
      <c r="D38" s="265">
        <v>60000</v>
      </c>
      <c r="E38" s="265">
        <v>25000</v>
      </c>
      <c r="F38" s="265">
        <v>11000</v>
      </c>
      <c r="G38" s="265">
        <f t="shared" ref="G38:G52" si="0">SUM(C38:F38)</f>
        <v>96000</v>
      </c>
      <c r="H38" s="265">
        <f>G38</f>
        <v>96000</v>
      </c>
      <c r="I38" s="265"/>
    </row>
    <row r="39" spans="1:9" x14ac:dyDescent="0.25">
      <c r="B39" s="245" t="s">
        <v>5</v>
      </c>
      <c r="C39" s="265">
        <v>0</v>
      </c>
      <c r="D39" s="265">
        <v>55000</v>
      </c>
      <c r="E39" s="265">
        <v>18000</v>
      </c>
      <c r="F39" s="265">
        <v>8000</v>
      </c>
      <c r="G39" s="265">
        <f t="shared" si="0"/>
        <v>81000</v>
      </c>
      <c r="H39" s="265">
        <f>G39</f>
        <v>81000</v>
      </c>
      <c r="I39" s="265"/>
    </row>
    <row r="40" spans="1:9" ht="14.4" x14ac:dyDescent="0.3">
      <c r="B40" s="266" t="s">
        <v>1</v>
      </c>
      <c r="C40" s="265"/>
      <c r="D40" s="265"/>
      <c r="E40" s="265"/>
      <c r="F40" s="265"/>
      <c r="G40" s="265"/>
      <c r="H40" s="265"/>
      <c r="I40" s="265"/>
    </row>
    <row r="41" spans="1:9" x14ac:dyDescent="0.25">
      <c r="B41" s="245" t="str">
        <f>B19</f>
        <v>Materialforvaltning</v>
      </c>
      <c r="C41" s="265">
        <f>C37*'7,25'!$C$19</f>
        <v>0</v>
      </c>
      <c r="D41" s="265">
        <f>D37*'7,25'!$C$19</f>
        <v>10500</v>
      </c>
      <c r="E41" s="265">
        <f>E37*'7,25'!$C$19</f>
        <v>6750</v>
      </c>
      <c r="F41" s="265">
        <f>F37*'7,25'!$C$19</f>
        <v>3000</v>
      </c>
      <c r="G41" s="265">
        <f t="shared" si="0"/>
        <v>20250</v>
      </c>
      <c r="H41" s="265">
        <v>20000</v>
      </c>
      <c r="I41" s="265">
        <f>G41-H41</f>
        <v>250</v>
      </c>
    </row>
    <row r="42" spans="1:9" x14ac:dyDescent="0.25">
      <c r="B42" s="245" t="str">
        <f>B20</f>
        <v xml:space="preserve">Tilvirkningsavdeling 1 </v>
      </c>
      <c r="C42" s="267">
        <f>C38*'7,25'!$C$20</f>
        <v>0</v>
      </c>
      <c r="D42" s="267">
        <f>D38*'7,25'!$C$20</f>
        <v>30000</v>
      </c>
      <c r="E42" s="267">
        <f>E38*'7,25'!$C$20</f>
        <v>12500</v>
      </c>
      <c r="F42" s="267">
        <f>F38*'7,25'!$C$20</f>
        <v>5500</v>
      </c>
      <c r="G42" s="265">
        <f t="shared" si="0"/>
        <v>48000</v>
      </c>
      <c r="H42" s="265">
        <v>50000</v>
      </c>
      <c r="I42" s="265">
        <f>G42-H42</f>
        <v>-2000</v>
      </c>
    </row>
    <row r="43" spans="1:9" x14ac:dyDescent="0.25">
      <c r="B43" s="245" t="str">
        <f>B21</f>
        <v>Tilvirkningsavdeling 2</v>
      </c>
      <c r="C43" s="264">
        <f>C39*'7,25'!$C$21</f>
        <v>0</v>
      </c>
      <c r="D43" s="264">
        <f>D39*'7,25'!$C$21</f>
        <v>60500.000000000007</v>
      </c>
      <c r="E43" s="264">
        <f>E39*'7,25'!$C$21</f>
        <v>19800</v>
      </c>
      <c r="F43" s="264">
        <f>F39*'7,25'!$C$21</f>
        <v>8800</v>
      </c>
      <c r="G43" s="265">
        <f t="shared" si="0"/>
        <v>89100</v>
      </c>
      <c r="H43" s="265">
        <v>95000</v>
      </c>
      <c r="I43" s="265">
        <f>G43-H43</f>
        <v>-5900</v>
      </c>
    </row>
    <row r="44" spans="1:9" x14ac:dyDescent="0.25">
      <c r="B44" s="245" t="s">
        <v>45</v>
      </c>
      <c r="C44" s="265">
        <f>SUM(C37:C43)</f>
        <v>0</v>
      </c>
      <c r="D44" s="265">
        <f>SUM(D37:D43)</f>
        <v>286000</v>
      </c>
      <c r="E44" s="265">
        <f>SUM(E37:E43)</f>
        <v>127050</v>
      </c>
      <c r="F44" s="265">
        <f>SUM(F37:F43)</f>
        <v>56300</v>
      </c>
      <c r="G44" s="265">
        <f t="shared" si="0"/>
        <v>469350</v>
      </c>
      <c r="H44" s="265">
        <f>SUM(H37:H43)</f>
        <v>477000</v>
      </c>
      <c r="I44" s="265"/>
    </row>
    <row r="45" spans="1:9" x14ac:dyDescent="0.25">
      <c r="B45" s="245" t="s">
        <v>35</v>
      </c>
      <c r="C45" s="264">
        <v>0</v>
      </c>
      <c r="D45" s="264">
        <f>D64</f>
        <v>7430</v>
      </c>
      <c r="E45" s="264"/>
      <c r="F45" s="264">
        <v>0</v>
      </c>
      <c r="G45" s="265">
        <f t="shared" si="0"/>
        <v>7430</v>
      </c>
      <c r="H45" s="265">
        <f>G45</f>
        <v>7430</v>
      </c>
      <c r="I45" s="265"/>
    </row>
    <row r="46" spans="1:9" x14ac:dyDescent="0.25">
      <c r="B46" s="245" t="s">
        <v>276</v>
      </c>
      <c r="C46" s="265">
        <f>SUM(C44:C45)</f>
        <v>0</v>
      </c>
      <c r="D46" s="265">
        <f>SUM(D44:D45)</f>
        <v>293430</v>
      </c>
      <c r="E46" s="265">
        <f>SUM(E44:E45)</f>
        <v>127050</v>
      </c>
      <c r="F46" s="265">
        <f>SUM(F44:F45)</f>
        <v>56300</v>
      </c>
      <c r="G46" s="265">
        <f t="shared" si="0"/>
        <v>476780</v>
      </c>
      <c r="H46" s="265">
        <f>SUM(H44:H45)</f>
        <v>484430</v>
      </c>
      <c r="I46" s="265"/>
    </row>
    <row r="47" spans="1:9" x14ac:dyDescent="0.25">
      <c r="B47" s="245" t="s">
        <v>36</v>
      </c>
      <c r="C47" s="264">
        <f>C64</f>
        <v>109500</v>
      </c>
      <c r="D47" s="264">
        <v>0</v>
      </c>
      <c r="E47" s="264">
        <v>0</v>
      </c>
      <c r="F47" s="264">
        <f>-F46</f>
        <v>-56300</v>
      </c>
      <c r="G47" s="265">
        <f t="shared" si="0"/>
        <v>53200</v>
      </c>
      <c r="H47" s="265">
        <f>G47</f>
        <v>53200</v>
      </c>
      <c r="I47" s="265"/>
    </row>
    <row r="48" spans="1:9" x14ac:dyDescent="0.25">
      <c r="B48" s="245" t="s">
        <v>47</v>
      </c>
      <c r="C48" s="265">
        <f>SUM(C46:C47)</f>
        <v>109500</v>
      </c>
      <c r="D48" s="265">
        <f>SUM(D46:D47)</f>
        <v>293430</v>
      </c>
      <c r="E48" s="265">
        <f>SUM(E46:E47)</f>
        <v>127050</v>
      </c>
      <c r="F48" s="265">
        <f>SUM(F46:F47)</f>
        <v>0</v>
      </c>
      <c r="G48" s="265">
        <f t="shared" si="0"/>
        <v>529980</v>
      </c>
      <c r="H48" s="265">
        <f>SUM(H46:H47)</f>
        <v>537630</v>
      </c>
      <c r="I48" s="265"/>
    </row>
    <row r="49" spans="1:9" x14ac:dyDescent="0.25">
      <c r="B49" s="245" t="str">
        <f>B22</f>
        <v>Salgs og adm. avdeling</v>
      </c>
      <c r="C49" s="264">
        <f>C48*'7,25'!$C$22</f>
        <v>10770.12320328542</v>
      </c>
      <c r="D49" s="264">
        <f>D48*'7,25'!$C$22</f>
        <v>28860.979466119097</v>
      </c>
      <c r="E49" s="264">
        <f>E48*'7,25'!$C$22</f>
        <v>12496.29363449692</v>
      </c>
      <c r="F49" s="264">
        <f>F48*'7,25'!$C$22</f>
        <v>0</v>
      </c>
      <c r="G49" s="265">
        <f t="shared" si="0"/>
        <v>52127.396303901434</v>
      </c>
      <c r="H49" s="265">
        <v>50000</v>
      </c>
      <c r="I49" s="265">
        <f>G49-H49</f>
        <v>2127.3963039014343</v>
      </c>
    </row>
    <row r="50" spans="1:9" x14ac:dyDescent="0.25">
      <c r="B50" s="245" t="s">
        <v>242</v>
      </c>
      <c r="C50" s="265">
        <f>SUM(C48:C49)</f>
        <v>120270.12320328542</v>
      </c>
      <c r="D50" s="265">
        <f>SUM(D48:D49)</f>
        <v>322290.97946611908</v>
      </c>
      <c r="E50" s="265">
        <f>SUM(E48:E49)</f>
        <v>139546.29363449692</v>
      </c>
      <c r="F50" s="265">
        <f>SUM(F48:F49)</f>
        <v>0</v>
      </c>
      <c r="G50" s="265">
        <f t="shared" si="0"/>
        <v>582107.39630390145</v>
      </c>
      <c r="H50" s="265">
        <f>SUM(H48:H49)</f>
        <v>587630</v>
      </c>
      <c r="I50" s="265"/>
    </row>
    <row r="51" spans="1:9" x14ac:dyDescent="0.25">
      <c r="B51" s="245" t="s">
        <v>38</v>
      </c>
      <c r="C51" s="264">
        <v>150000</v>
      </c>
      <c r="D51" s="264">
        <v>290000</v>
      </c>
      <c r="E51" s="264">
        <v>130000</v>
      </c>
      <c r="F51" s="264">
        <v>0</v>
      </c>
      <c r="G51" s="265">
        <f t="shared" si="0"/>
        <v>570000</v>
      </c>
      <c r="H51" s="265">
        <f>G51</f>
        <v>570000</v>
      </c>
      <c r="I51" s="265"/>
    </row>
    <row r="52" spans="1:9" x14ac:dyDescent="0.25">
      <c r="B52" s="245" t="s">
        <v>39</v>
      </c>
      <c r="C52" s="265">
        <f>C51-C50</f>
        <v>29729.876796714583</v>
      </c>
      <c r="D52" s="265">
        <f>D51-D50</f>
        <v>-32290.979466119083</v>
      </c>
      <c r="E52" s="265">
        <f>E51-E50</f>
        <v>-9546.2936344969203</v>
      </c>
      <c r="F52" s="265">
        <f>F51-F50</f>
        <v>0</v>
      </c>
      <c r="G52" s="265">
        <f t="shared" si="0"/>
        <v>-12107.39630390142</v>
      </c>
      <c r="H52" s="265"/>
      <c r="I52" s="265"/>
    </row>
    <row r="53" spans="1:9" x14ac:dyDescent="0.25">
      <c r="B53" s="245" t="s">
        <v>40</v>
      </c>
      <c r="C53" s="265"/>
      <c r="D53" s="265"/>
      <c r="E53" s="265"/>
      <c r="F53" s="265"/>
      <c r="G53" s="264">
        <f>I53</f>
        <v>-5522.6036960985657</v>
      </c>
      <c r="H53" s="265"/>
      <c r="I53" s="268">
        <f>SUM(I41:I49)</f>
        <v>-5522.6036960985657</v>
      </c>
    </row>
    <row r="54" spans="1:9" x14ac:dyDescent="0.25">
      <c r="B54" s="252" t="s">
        <v>41</v>
      </c>
      <c r="C54" s="264"/>
      <c r="D54" s="264"/>
      <c r="E54" s="264"/>
      <c r="F54" s="264"/>
      <c r="G54" s="268">
        <f>SUM(G52:G53)</f>
        <v>-17629.999999999985</v>
      </c>
      <c r="H54" s="268">
        <f>H51-H50</f>
        <v>-17630</v>
      </c>
      <c r="I54" s="264"/>
    </row>
    <row r="56" spans="1:9" x14ac:dyDescent="0.25">
      <c r="A56" s="240" t="s">
        <v>13</v>
      </c>
      <c r="B56" s="269" t="s">
        <v>277</v>
      </c>
      <c r="C56" s="270">
        <f>C36</f>
        <v>1</v>
      </c>
      <c r="D56" s="270">
        <f>D36</f>
        <v>2</v>
      </c>
      <c r="F56" s="254"/>
    </row>
    <row r="57" spans="1:9" x14ac:dyDescent="0.25">
      <c r="B57" s="271" t="str">
        <f t="shared" ref="B57:B64" si="1">B37</f>
        <v>Direkte materialer</v>
      </c>
      <c r="C57" s="265">
        <v>30000</v>
      </c>
      <c r="D57" s="265">
        <v>2000</v>
      </c>
      <c r="F57" s="254"/>
      <c r="H57" s="254"/>
    </row>
    <row r="58" spans="1:9" x14ac:dyDescent="0.25">
      <c r="B58" s="272" t="str">
        <f t="shared" si="1"/>
        <v>Direkte lønn 1</v>
      </c>
      <c r="C58" s="265">
        <v>22000</v>
      </c>
      <c r="D58" s="265">
        <v>1600</v>
      </c>
      <c r="F58" s="254"/>
      <c r="H58" s="254"/>
    </row>
    <row r="59" spans="1:9" x14ac:dyDescent="0.25">
      <c r="B59" s="272" t="str">
        <f t="shared" si="1"/>
        <v>Direkte lønn 2</v>
      </c>
      <c r="C59" s="265">
        <v>20000</v>
      </c>
      <c r="D59" s="265">
        <v>1300</v>
      </c>
      <c r="F59" s="254"/>
      <c r="H59" s="254"/>
    </row>
    <row r="60" spans="1:9" x14ac:dyDescent="0.25">
      <c r="B60" s="272" t="str">
        <f t="shared" si="1"/>
        <v>Indirekte tilvirkn.kostnader</v>
      </c>
      <c r="C60" s="265"/>
      <c r="D60" s="265"/>
      <c r="F60" s="254"/>
      <c r="H60" s="254"/>
    </row>
    <row r="61" spans="1:9" x14ac:dyDescent="0.25">
      <c r="B61" s="272" t="str">
        <f t="shared" si="1"/>
        <v>Materialforvaltning</v>
      </c>
      <c r="C61" s="265">
        <f>C57*'7,25'!$C$19</f>
        <v>4500</v>
      </c>
      <c r="D61" s="265">
        <f>D57*'7,25'!$C$19</f>
        <v>300</v>
      </c>
      <c r="F61" s="254"/>
      <c r="H61" s="254"/>
    </row>
    <row r="62" spans="1:9" x14ac:dyDescent="0.25">
      <c r="B62" s="272" t="str">
        <f t="shared" si="1"/>
        <v xml:space="preserve">Tilvirkningsavdeling 1 </v>
      </c>
      <c r="C62" s="265">
        <f>C58*'7,25'!$C$20</f>
        <v>11000</v>
      </c>
      <c r="D62" s="265">
        <f>D58*'7,25'!$C$20</f>
        <v>800</v>
      </c>
      <c r="F62" s="254"/>
      <c r="H62" s="254"/>
    </row>
    <row r="63" spans="1:9" x14ac:dyDescent="0.25">
      <c r="B63" s="272" t="str">
        <f t="shared" si="1"/>
        <v>Tilvirkningsavdeling 2</v>
      </c>
      <c r="C63" s="265">
        <f>C59*'7,25'!$C$21</f>
        <v>22000</v>
      </c>
      <c r="D63" s="265">
        <f>D59*'7,25'!$C$21</f>
        <v>1430.0000000000002</v>
      </c>
      <c r="F63" s="254"/>
      <c r="H63" s="254"/>
    </row>
    <row r="64" spans="1:9" x14ac:dyDescent="0.25">
      <c r="B64" s="273" t="str">
        <f t="shared" si="1"/>
        <v>Kalkulert tilvirkningskost</v>
      </c>
      <c r="C64" s="268">
        <f>SUM(C57:C63)</f>
        <v>109500</v>
      </c>
      <c r="D64" s="268">
        <f>SUM(D57:D63)</f>
        <v>7430</v>
      </c>
      <c r="E64" s="254"/>
      <c r="F64" s="254"/>
      <c r="G64" s="254"/>
      <c r="H64" s="254"/>
      <c r="I64" s="254"/>
    </row>
    <row r="65" spans="1:9" x14ac:dyDescent="0.25">
      <c r="B65" s="254"/>
      <c r="C65" s="254"/>
      <c r="D65" s="254"/>
      <c r="E65" s="254"/>
      <c r="F65" s="254"/>
      <c r="G65" s="254"/>
      <c r="H65" s="254"/>
      <c r="I65" s="254"/>
    </row>
    <row r="67" spans="1:9" x14ac:dyDescent="0.25">
      <c r="A67" s="240" t="s">
        <v>293</v>
      </c>
      <c r="B67" s="274" t="s">
        <v>181</v>
      </c>
      <c r="C67" s="147"/>
      <c r="D67" s="147"/>
      <c r="E67" s="147"/>
      <c r="F67" s="147"/>
      <c r="G67" s="147"/>
      <c r="H67" s="147"/>
      <c r="I67" s="147"/>
    </row>
    <row r="68" spans="1:9" x14ac:dyDescent="0.25">
      <c r="B68" s="275"/>
      <c r="C68" s="372" t="s">
        <v>275</v>
      </c>
      <c r="D68" s="372"/>
      <c r="E68" s="372"/>
      <c r="F68" s="372"/>
      <c r="G68" s="372"/>
      <c r="H68" s="172" t="s">
        <v>31</v>
      </c>
      <c r="I68" s="172" t="s">
        <v>32</v>
      </c>
    </row>
    <row r="69" spans="1:9" x14ac:dyDescent="0.25">
      <c r="B69" s="184"/>
      <c r="C69" s="276">
        <v>1</v>
      </c>
      <c r="D69" s="276">
        <v>2</v>
      </c>
      <c r="E69" s="276">
        <v>3</v>
      </c>
      <c r="F69" s="276">
        <v>4</v>
      </c>
      <c r="G69" s="276" t="s">
        <v>147</v>
      </c>
      <c r="H69" s="169" t="s">
        <v>33</v>
      </c>
      <c r="I69" s="169" t="s">
        <v>34</v>
      </c>
    </row>
    <row r="70" spans="1:9" ht="15.6" x14ac:dyDescent="0.35">
      <c r="B70" s="277" t="s">
        <v>0</v>
      </c>
      <c r="C70" s="278">
        <f>'7,25'!C37</f>
        <v>0</v>
      </c>
      <c r="D70" s="278">
        <f>'7,25'!D37</f>
        <v>70000</v>
      </c>
      <c r="E70" s="278">
        <f>'7,25'!E37</f>
        <v>45000</v>
      </c>
      <c r="F70" s="278">
        <f>'7,25'!F37</f>
        <v>20000</v>
      </c>
      <c r="G70" s="278">
        <f>SUM(C70:F70)</f>
        <v>135000</v>
      </c>
      <c r="H70" s="278">
        <f>G70</f>
        <v>135000</v>
      </c>
      <c r="I70" s="278"/>
    </row>
    <row r="71" spans="1:9" ht="15.6" x14ac:dyDescent="0.35">
      <c r="B71" s="277" t="s">
        <v>6</v>
      </c>
      <c r="C71" s="278">
        <f>'7,25'!C38</f>
        <v>0</v>
      </c>
      <c r="D71" s="278">
        <f>'7,25'!D38</f>
        <v>60000</v>
      </c>
      <c r="E71" s="278">
        <f>'7,25'!E38</f>
        <v>25000</v>
      </c>
      <c r="F71" s="278">
        <f>'7,25'!F38</f>
        <v>11000</v>
      </c>
      <c r="G71" s="278">
        <f>SUM(C71:F71)</f>
        <v>96000</v>
      </c>
      <c r="H71" s="278">
        <f>G71</f>
        <v>96000</v>
      </c>
      <c r="I71" s="278"/>
    </row>
    <row r="72" spans="1:9" x14ac:dyDescent="0.25">
      <c r="B72" s="279" t="s">
        <v>5</v>
      </c>
      <c r="C72" s="278">
        <f>'7,25'!C39</f>
        <v>0</v>
      </c>
      <c r="D72" s="278">
        <f>'7,25'!D39</f>
        <v>55000</v>
      </c>
      <c r="E72" s="278">
        <f>'7,25'!E39</f>
        <v>18000</v>
      </c>
      <c r="F72" s="278">
        <f>'7,25'!F39</f>
        <v>8000</v>
      </c>
      <c r="G72" s="278">
        <f>SUM(C72:F72)</f>
        <v>81000</v>
      </c>
      <c r="H72" s="278">
        <f>G72</f>
        <v>81000</v>
      </c>
      <c r="I72" s="278"/>
    </row>
    <row r="73" spans="1:9" ht="14.4" x14ac:dyDescent="0.3">
      <c r="B73" s="266" t="s">
        <v>278</v>
      </c>
      <c r="C73" s="278"/>
      <c r="D73" s="278"/>
      <c r="E73" s="278"/>
      <c r="F73" s="278"/>
      <c r="G73" s="278"/>
      <c r="H73" s="278"/>
      <c r="I73" s="278"/>
    </row>
    <row r="74" spans="1:9" ht="15.6" x14ac:dyDescent="0.35">
      <c r="B74" s="277" t="str">
        <f>B41</f>
        <v>Materialforvaltning</v>
      </c>
      <c r="C74" s="278">
        <f>C70*'7,25'!$E$19</f>
        <v>0</v>
      </c>
      <c r="D74" s="278">
        <f>D70*'7,25'!$E$19</f>
        <v>3500</v>
      </c>
      <c r="E74" s="278">
        <f>E70*'7,25'!$E$19</f>
        <v>2250</v>
      </c>
      <c r="F74" s="278">
        <f>F70*'7,25'!$E$19</f>
        <v>1000</v>
      </c>
      <c r="G74" s="278">
        <f t="shared" ref="G74:G81" si="2">SUM(C74:F74)</f>
        <v>6750</v>
      </c>
      <c r="H74" s="278">
        <v>8000</v>
      </c>
      <c r="I74" s="278">
        <f>G74-H74</f>
        <v>-1250</v>
      </c>
    </row>
    <row r="75" spans="1:9" ht="15.6" x14ac:dyDescent="0.35">
      <c r="B75" s="277" t="str">
        <f>B42</f>
        <v xml:space="preserve">Tilvirkningsavdeling 1 </v>
      </c>
      <c r="C75" s="165">
        <f>C71*'7,25'!$E$20</f>
        <v>0</v>
      </c>
      <c r="D75" s="165">
        <f>D71*'7,25'!$E$20</f>
        <v>12000</v>
      </c>
      <c r="E75" s="165">
        <f>E71*'7,25'!$E$20</f>
        <v>5000</v>
      </c>
      <c r="F75" s="165">
        <f>F71*'7,25'!$E$20</f>
        <v>2200</v>
      </c>
      <c r="G75" s="278">
        <f t="shared" si="2"/>
        <v>19200</v>
      </c>
      <c r="H75" s="278">
        <v>20000</v>
      </c>
      <c r="I75" s="278">
        <f>G75-H75</f>
        <v>-800</v>
      </c>
    </row>
    <row r="76" spans="1:9" ht="15.6" x14ac:dyDescent="0.35">
      <c r="B76" s="280" t="str">
        <f>B43</f>
        <v>Tilvirkningsavdeling 2</v>
      </c>
      <c r="C76" s="169">
        <f>C72*'7,25'!$E$21</f>
        <v>0</v>
      </c>
      <c r="D76" s="169">
        <f>D72*'7,25'!$E$21</f>
        <v>30250.000000000004</v>
      </c>
      <c r="E76" s="169">
        <f>E72*'7,25'!$E$21</f>
        <v>9900</v>
      </c>
      <c r="F76" s="169">
        <f>F72*'7,25'!$E$21</f>
        <v>4400</v>
      </c>
      <c r="G76" s="278">
        <f t="shared" si="2"/>
        <v>44550</v>
      </c>
      <c r="H76" s="278">
        <v>40000</v>
      </c>
      <c r="I76" s="278">
        <f>G76-H76</f>
        <v>4550</v>
      </c>
    </row>
    <row r="77" spans="1:9" ht="15.6" x14ac:dyDescent="0.35">
      <c r="B77" s="277" t="s">
        <v>182</v>
      </c>
      <c r="C77" s="278">
        <f>SUM(C70:C76)</f>
        <v>0</v>
      </c>
      <c r="D77" s="278">
        <f>SUM(D70:D76)</f>
        <v>230750</v>
      </c>
      <c r="E77" s="278">
        <f>SUM(E70:E76)</f>
        <v>105150</v>
      </c>
      <c r="F77" s="278">
        <f>SUM(F70:F76)</f>
        <v>46600</v>
      </c>
      <c r="G77" s="278">
        <f t="shared" si="2"/>
        <v>382500</v>
      </c>
      <c r="H77" s="278"/>
      <c r="I77" s="278"/>
    </row>
    <row r="78" spans="1:9" ht="15.6" x14ac:dyDescent="0.35">
      <c r="B78" s="280" t="s">
        <v>35</v>
      </c>
      <c r="C78" s="169">
        <v>0</v>
      </c>
      <c r="D78" s="169">
        <f>D106</f>
        <v>6035</v>
      </c>
      <c r="E78" s="169"/>
      <c r="F78" s="169"/>
      <c r="G78" s="278">
        <f t="shared" si="2"/>
        <v>6035</v>
      </c>
      <c r="H78" s="278">
        <f>G78</f>
        <v>6035</v>
      </c>
      <c r="I78" s="278"/>
    </row>
    <row r="79" spans="1:9" ht="15.6" x14ac:dyDescent="0.35">
      <c r="B79" s="277" t="s">
        <v>279</v>
      </c>
      <c r="C79" s="278">
        <f>SUM(C77:C78)</f>
        <v>0</v>
      </c>
      <c r="D79" s="278">
        <f>SUM(D77:D78)</f>
        <v>236785</v>
      </c>
      <c r="E79" s="278">
        <f>SUM(E77:E78)</f>
        <v>105150</v>
      </c>
      <c r="F79" s="278">
        <f>SUM(F77:F78)</f>
        <v>46600</v>
      </c>
      <c r="G79" s="278">
        <f t="shared" si="2"/>
        <v>388535</v>
      </c>
      <c r="H79" s="278"/>
      <c r="I79" s="278"/>
    </row>
    <row r="80" spans="1:9" ht="15.6" x14ac:dyDescent="0.35">
      <c r="B80" s="280" t="s">
        <v>36</v>
      </c>
      <c r="C80" s="169">
        <f>C106</f>
        <v>88900</v>
      </c>
      <c r="D80" s="169"/>
      <c r="E80" s="169"/>
      <c r="F80" s="169">
        <f>-F79</f>
        <v>-46600</v>
      </c>
      <c r="G80" s="278">
        <f t="shared" si="2"/>
        <v>42300</v>
      </c>
      <c r="H80" s="278">
        <f>G80</f>
        <v>42300</v>
      </c>
      <c r="I80" s="278"/>
    </row>
    <row r="81" spans="2:9" ht="15.6" x14ac:dyDescent="0.35">
      <c r="B81" s="277" t="s">
        <v>280</v>
      </c>
      <c r="C81" s="278">
        <f>SUM(C79:C80)</f>
        <v>88900</v>
      </c>
      <c r="D81" s="278">
        <f>SUM(D79:D80)</f>
        <v>236785</v>
      </c>
      <c r="E81" s="278">
        <f>SUM(E79:E80)</f>
        <v>105150</v>
      </c>
      <c r="F81" s="278">
        <f>SUM(F79:F80)</f>
        <v>0</v>
      </c>
      <c r="G81" s="278">
        <f t="shared" si="2"/>
        <v>430835</v>
      </c>
      <c r="H81" s="278"/>
      <c r="I81" s="278"/>
    </row>
    <row r="82" spans="2:9" ht="15.6" x14ac:dyDescent="0.35">
      <c r="B82" s="280" t="str">
        <f>B49</f>
        <v>Salgs og adm. avdeling</v>
      </c>
      <c r="C82" s="169"/>
      <c r="D82" s="169"/>
      <c r="E82" s="169"/>
      <c r="F82" s="169"/>
      <c r="G82" s="278"/>
      <c r="H82" s="278"/>
      <c r="I82" s="278"/>
    </row>
    <row r="83" spans="2:9" ht="15.6" x14ac:dyDescent="0.35">
      <c r="B83" s="277" t="s">
        <v>281</v>
      </c>
      <c r="C83" s="278">
        <f>SUM(C81:C82)</f>
        <v>88900</v>
      </c>
      <c r="D83" s="278">
        <f>SUM(D81:D82)</f>
        <v>236785</v>
      </c>
      <c r="E83" s="278">
        <f>SUM(E81:E82)</f>
        <v>105150</v>
      </c>
      <c r="F83" s="278">
        <f>SUM(F81:F82)</f>
        <v>0</v>
      </c>
      <c r="G83" s="278">
        <f>SUM(C83:F83)</f>
        <v>430835</v>
      </c>
      <c r="H83" s="278"/>
      <c r="I83" s="278"/>
    </row>
    <row r="84" spans="2:9" ht="15.6" x14ac:dyDescent="0.35">
      <c r="B84" s="280" t="s">
        <v>38</v>
      </c>
      <c r="C84" s="169">
        <f>'7,25'!C51</f>
        <v>150000</v>
      </c>
      <c r="D84" s="169">
        <f>'7,25'!D51</f>
        <v>290000</v>
      </c>
      <c r="E84" s="169">
        <f>'7,25'!E51</f>
        <v>130000</v>
      </c>
      <c r="F84" s="169">
        <f>'7,25'!F51</f>
        <v>0</v>
      </c>
      <c r="G84" s="278">
        <f>SUM(C84:F84)</f>
        <v>570000</v>
      </c>
      <c r="H84" s="278">
        <f>G84</f>
        <v>570000</v>
      </c>
      <c r="I84" s="278"/>
    </row>
    <row r="85" spans="2:9" ht="15.6" x14ac:dyDescent="0.35">
      <c r="B85" s="277" t="s">
        <v>186</v>
      </c>
      <c r="C85" s="278">
        <f>C84-C83</f>
        <v>61100</v>
      </c>
      <c r="D85" s="278">
        <f>D84-D83</f>
        <v>53215</v>
      </c>
      <c r="E85" s="278">
        <f>E84-E83</f>
        <v>24850</v>
      </c>
      <c r="F85" s="278">
        <f>F84-F83</f>
        <v>0</v>
      </c>
      <c r="G85" s="278">
        <f>SUM(C85:F85)</f>
        <v>139165</v>
      </c>
      <c r="H85" s="278"/>
      <c r="I85" s="278"/>
    </row>
    <row r="86" spans="2:9" ht="15.6" x14ac:dyDescent="0.35">
      <c r="B86" s="277" t="s">
        <v>40</v>
      </c>
      <c r="C86" s="278"/>
      <c r="D86" s="278"/>
      <c r="E86" s="278"/>
      <c r="F86" s="278"/>
      <c r="G86" s="169">
        <f>I86</f>
        <v>2500</v>
      </c>
      <c r="H86" s="278"/>
      <c r="I86" s="281">
        <f>SUM(I74:I85)</f>
        <v>2500</v>
      </c>
    </row>
    <row r="87" spans="2:9" ht="15.6" x14ac:dyDescent="0.35">
      <c r="B87" s="277" t="s">
        <v>187</v>
      </c>
      <c r="C87" s="169"/>
      <c r="D87" s="169"/>
      <c r="E87" s="169"/>
      <c r="F87" s="169"/>
      <c r="G87" s="281">
        <f>SUM(G85:G86)</f>
        <v>141665</v>
      </c>
      <c r="H87" s="281">
        <f>H84-SUM(H70:H83)</f>
        <v>141665</v>
      </c>
      <c r="I87" s="169"/>
    </row>
    <row r="88" spans="2:9" ht="15.6" x14ac:dyDescent="0.35">
      <c r="B88" s="282" t="s">
        <v>282</v>
      </c>
      <c r="H88" s="278"/>
    </row>
    <row r="89" spans="2:9" ht="15.6" x14ac:dyDescent="0.35">
      <c r="B89" s="277" t="s">
        <v>2</v>
      </c>
      <c r="H89" s="278">
        <v>12000</v>
      </c>
    </row>
    <row r="90" spans="2:9" ht="15.6" x14ac:dyDescent="0.35">
      <c r="B90" s="277" t="s">
        <v>283</v>
      </c>
      <c r="H90" s="278">
        <v>30000</v>
      </c>
    </row>
    <row r="91" spans="2:9" ht="15.6" x14ac:dyDescent="0.35">
      <c r="B91" s="277" t="s">
        <v>284</v>
      </c>
      <c r="H91" s="278">
        <v>55000</v>
      </c>
    </row>
    <row r="92" spans="2:9" ht="15.6" x14ac:dyDescent="0.35">
      <c r="B92" s="277" t="s">
        <v>285</v>
      </c>
      <c r="H92" s="278">
        <v>50000</v>
      </c>
    </row>
    <row r="93" spans="2:9" ht="16.2" thickBot="1" x14ac:dyDescent="0.4">
      <c r="B93" s="283" t="s">
        <v>99</v>
      </c>
      <c r="C93" s="284"/>
      <c r="D93" s="285"/>
      <c r="E93" s="285"/>
      <c r="F93" s="285"/>
      <c r="G93" s="285"/>
      <c r="H93" s="286">
        <f>H87-SUM(H89:H92)</f>
        <v>-5335</v>
      </c>
    </row>
    <row r="94" spans="2:9" ht="16.2" thickTop="1" x14ac:dyDescent="0.35">
      <c r="B94" s="287"/>
      <c r="C94" s="288"/>
      <c r="D94" s="288"/>
      <c r="E94" s="288"/>
      <c r="F94" s="288"/>
      <c r="G94" s="288"/>
      <c r="H94" s="149"/>
    </row>
    <row r="95" spans="2:9" ht="15.6" x14ac:dyDescent="0.35">
      <c r="B95" s="287"/>
      <c r="C95" s="288"/>
      <c r="D95" s="288"/>
      <c r="E95" s="288"/>
      <c r="F95" s="288"/>
      <c r="G95" s="288"/>
      <c r="H95" s="149"/>
    </row>
    <row r="96" spans="2:9" ht="15.6" x14ac:dyDescent="0.35">
      <c r="B96" s="287"/>
      <c r="C96" s="288"/>
      <c r="D96" s="288"/>
      <c r="E96" s="288"/>
      <c r="F96" s="288"/>
      <c r="G96" s="288"/>
      <c r="H96" s="149"/>
    </row>
    <row r="98" spans="2:10" x14ac:dyDescent="0.25">
      <c r="B98" s="289" t="s">
        <v>277</v>
      </c>
      <c r="C98" s="290">
        <v>1</v>
      </c>
      <c r="D98" s="290">
        <v>2</v>
      </c>
      <c r="F98" s="291" t="s">
        <v>286</v>
      </c>
      <c r="J98" s="261">
        <f>'7,25'!H54</f>
        <v>-17630</v>
      </c>
    </row>
    <row r="99" spans="2:10" x14ac:dyDescent="0.25">
      <c r="B99" s="292" t="str">
        <f t="shared" ref="B99:B105" si="3">B70</f>
        <v>Direkte materialer</v>
      </c>
      <c r="C99" s="165">
        <v>30000</v>
      </c>
      <c r="D99" s="172">
        <v>2000</v>
      </c>
      <c r="F99" s="291" t="s">
        <v>287</v>
      </c>
      <c r="J99" s="261">
        <f>H93</f>
        <v>-5335</v>
      </c>
    </row>
    <row r="100" spans="2:10" ht="14.4" thickBot="1" x14ac:dyDescent="0.3">
      <c r="B100" s="279" t="str">
        <f t="shared" si="3"/>
        <v>Direkte lønn 1</v>
      </c>
      <c r="C100" s="165">
        <v>22000</v>
      </c>
      <c r="D100" s="278">
        <v>1600</v>
      </c>
      <c r="F100" s="293" t="s">
        <v>288</v>
      </c>
      <c r="G100" s="294"/>
      <c r="H100" s="294"/>
      <c r="I100" s="294"/>
      <c r="J100" s="295">
        <f>J98-J99</f>
        <v>-12295</v>
      </c>
    </row>
    <row r="101" spans="2:10" ht="14.4" thickTop="1" x14ac:dyDescent="0.25">
      <c r="B101" s="279" t="str">
        <f t="shared" si="3"/>
        <v>Direkte lønn 2</v>
      </c>
      <c r="C101" s="165">
        <v>20000</v>
      </c>
      <c r="D101" s="278">
        <v>1300</v>
      </c>
      <c r="F101" s="291"/>
    </row>
    <row r="102" spans="2:10" ht="14.4" x14ac:dyDescent="0.3">
      <c r="B102" s="296" t="str">
        <f t="shared" si="3"/>
        <v>Indir. var. tilvirkningskostnader</v>
      </c>
      <c r="C102" s="165"/>
      <c r="D102" s="278"/>
      <c r="F102" s="297" t="s">
        <v>289</v>
      </c>
    </row>
    <row r="103" spans="2:10" x14ac:dyDescent="0.25">
      <c r="B103" s="279" t="str">
        <f t="shared" si="3"/>
        <v>Materialforvaltning</v>
      </c>
      <c r="C103" s="165">
        <f>C99*'7,25'!E19</f>
        <v>1500</v>
      </c>
      <c r="D103" s="278">
        <f>D99*'7,25'!E19</f>
        <v>100</v>
      </c>
      <c r="F103" s="291" t="s">
        <v>290</v>
      </c>
      <c r="J103" s="261">
        <f>G78+G80</f>
        <v>48335</v>
      </c>
    </row>
    <row r="104" spans="2:10" x14ac:dyDescent="0.25">
      <c r="B104" s="279" t="str">
        <f t="shared" si="3"/>
        <v xml:space="preserve">Tilvirkningsavdeling 1 </v>
      </c>
      <c r="C104" s="165">
        <f>C100*'7,25'!E20</f>
        <v>4400</v>
      </c>
      <c r="D104" s="278">
        <f>D100*'7,25'!E20</f>
        <v>320</v>
      </c>
      <c r="F104" s="291" t="s">
        <v>291</v>
      </c>
      <c r="J104" s="261">
        <f>'7,25'!G45+'7,25'!H47</f>
        <v>60630</v>
      </c>
    </row>
    <row r="105" spans="2:10" ht="14.4" thickBot="1" x14ac:dyDescent="0.3">
      <c r="B105" s="279" t="str">
        <f t="shared" si="3"/>
        <v>Tilvirkningsavdeling 2</v>
      </c>
      <c r="C105" s="165">
        <f>C101*'7,25'!E21</f>
        <v>11000</v>
      </c>
      <c r="D105" s="278">
        <f>D101*'7,25'!E21</f>
        <v>715.00000000000011</v>
      </c>
      <c r="F105" s="298" t="s">
        <v>292</v>
      </c>
      <c r="G105" s="294"/>
      <c r="H105" s="294"/>
      <c r="I105" s="294"/>
      <c r="J105" s="295">
        <f>J103-J104</f>
        <v>-12295</v>
      </c>
    </row>
    <row r="106" spans="2:10" ht="14.4" thickTop="1" x14ac:dyDescent="0.25">
      <c r="B106" s="299" t="str">
        <f>B81</f>
        <v>Kalk.tilv.merkost solgte varer</v>
      </c>
      <c r="C106" s="281">
        <f>SUM(C99:C105)</f>
        <v>88900</v>
      </c>
      <c r="D106" s="281">
        <f>SUM(D99:D105)</f>
        <v>6035</v>
      </c>
    </row>
  </sheetData>
  <mergeCells count="2">
    <mergeCell ref="C35:G35"/>
    <mergeCell ref="C68:G68"/>
  </mergeCells>
  <phoneticPr fontId="0" type="noConversion"/>
  <pageMargins left="0.75" right="0.75" top="1" bottom="1" header="0.5" footer="0.5"/>
  <pageSetup paperSize="9" orientation="landscape" horizontalDpi="1200" verticalDpi="1200"/>
  <headerFooter alignWithMargins="0">
    <oddHeader>&amp;A</oddHeader>
    <oddFooter>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7"/>
  <sheetViews>
    <sheetView zoomScale="75" workbookViewId="0"/>
  </sheetViews>
  <sheetFormatPr baseColWidth="10" defaultColWidth="11.44140625" defaultRowHeight="15" x14ac:dyDescent="0.25"/>
  <cols>
    <col min="1" max="1" width="3.109375" style="25" customWidth="1"/>
    <col min="2" max="2" width="25.6640625" style="25" customWidth="1"/>
    <col min="3" max="7" width="12.6640625" style="25" customWidth="1"/>
    <col min="8" max="16384" width="11.44140625" style="25"/>
  </cols>
  <sheetData>
    <row r="1" spans="1:8" ht="15.6" x14ac:dyDescent="0.3">
      <c r="A1" s="24" t="s">
        <v>343</v>
      </c>
    </row>
    <row r="3" spans="1:8" ht="15.6" x14ac:dyDescent="0.3">
      <c r="A3" s="315" t="str">
        <f>'7,3'!A3</f>
        <v>Klikk på cellene for å se utregningen.</v>
      </c>
    </row>
    <row r="4" spans="1:8" ht="15.6" x14ac:dyDescent="0.3">
      <c r="A4" s="315"/>
    </row>
    <row r="5" spans="1:8" x14ac:dyDescent="0.25">
      <c r="A5" s="1" t="s">
        <v>12</v>
      </c>
      <c r="C5" s="316" t="s">
        <v>344</v>
      </c>
      <c r="D5" s="316"/>
      <c r="E5" s="316"/>
      <c r="F5" s="316"/>
      <c r="G5" s="316"/>
    </row>
    <row r="6" spans="1:8" x14ac:dyDescent="0.25">
      <c r="C6" s="318" t="s">
        <v>345</v>
      </c>
      <c r="D6" s="318" t="s">
        <v>346</v>
      </c>
      <c r="E6" s="318" t="s">
        <v>347</v>
      </c>
      <c r="F6" s="318" t="s">
        <v>348</v>
      </c>
      <c r="G6" s="318" t="s">
        <v>349</v>
      </c>
    </row>
    <row r="7" spans="1:8" ht="15.6" x14ac:dyDescent="0.3">
      <c r="B7" s="325" t="s">
        <v>350</v>
      </c>
      <c r="C7" s="326"/>
      <c r="D7" s="327"/>
      <c r="E7" s="327"/>
      <c r="F7" s="327"/>
      <c r="G7" s="327"/>
    </row>
    <row r="8" spans="1:8" x14ac:dyDescent="0.25">
      <c r="B8" s="36" t="s">
        <v>351</v>
      </c>
      <c r="C8" s="328">
        <f>SUM(E8:G8)</f>
        <v>3010000</v>
      </c>
      <c r="D8" s="329"/>
      <c r="E8" s="329">
        <v>810000</v>
      </c>
      <c r="F8" s="329">
        <v>1700000</v>
      </c>
      <c r="G8" s="329">
        <v>500000</v>
      </c>
    </row>
    <row r="9" spans="1:8" x14ac:dyDescent="0.25">
      <c r="B9" s="36"/>
      <c r="C9" s="328"/>
      <c r="D9" s="329"/>
      <c r="E9" s="329"/>
      <c r="F9" s="329"/>
      <c r="G9" s="329"/>
    </row>
    <row r="10" spans="1:8" ht="15.6" x14ac:dyDescent="0.3">
      <c r="B10" s="211" t="s">
        <v>352</v>
      </c>
      <c r="C10" s="328"/>
      <c r="D10" s="329"/>
      <c r="E10" s="329"/>
      <c r="F10" s="329"/>
      <c r="G10" s="329"/>
    </row>
    <row r="11" spans="1:8" x14ac:dyDescent="0.25">
      <c r="B11" s="42" t="s">
        <v>307</v>
      </c>
      <c r="C11" s="330">
        <f>SUM(E11:G11)</f>
        <v>2250000</v>
      </c>
      <c r="D11" s="331"/>
      <c r="E11" s="331">
        <v>600000</v>
      </c>
      <c r="F11" s="331">
        <v>1250000</v>
      </c>
      <c r="G11" s="331">
        <v>400000</v>
      </c>
    </row>
    <row r="12" spans="1:8" x14ac:dyDescent="0.25">
      <c r="B12" s="36" t="s">
        <v>309</v>
      </c>
      <c r="C12" s="328">
        <f>SUM(E12:G12)</f>
        <v>760000</v>
      </c>
      <c r="D12" s="329"/>
      <c r="E12" s="329">
        <f>E8-E11</f>
        <v>210000</v>
      </c>
      <c r="F12" s="329">
        <f>F8-F11</f>
        <v>450000</v>
      </c>
      <c r="G12" s="329">
        <f>G8-G11</f>
        <v>100000</v>
      </c>
    </row>
    <row r="13" spans="1:8" ht="15.6" x14ac:dyDescent="0.3">
      <c r="B13" s="211" t="s">
        <v>311</v>
      </c>
      <c r="C13" s="328"/>
      <c r="D13" s="329"/>
      <c r="E13" s="329"/>
      <c r="F13" s="329"/>
      <c r="G13" s="329"/>
    </row>
    <row r="14" spans="1:8" ht="15.6" x14ac:dyDescent="0.3">
      <c r="B14" s="211" t="s">
        <v>353</v>
      </c>
      <c r="C14" s="328"/>
      <c r="D14" s="329"/>
      <c r="E14" s="329"/>
      <c r="F14" s="329"/>
      <c r="G14" s="329"/>
    </row>
    <row r="15" spans="1:8" x14ac:dyDescent="0.25">
      <c r="B15" s="36" t="s">
        <v>354</v>
      </c>
      <c r="C15" s="328">
        <v>285000</v>
      </c>
      <c r="D15" s="329">
        <v>35000</v>
      </c>
      <c r="E15" s="329">
        <f>(C15-D15)*1/5</f>
        <v>50000</v>
      </c>
      <c r="F15" s="329">
        <f>(C15-D15)*3/5</f>
        <v>150000</v>
      </c>
      <c r="G15" s="329">
        <f>(C15-D15)*1/5</f>
        <v>50000</v>
      </c>
      <c r="H15" s="332"/>
    </row>
    <row r="16" spans="1:8" x14ac:dyDescent="0.25">
      <c r="B16" s="36" t="s">
        <v>355</v>
      </c>
      <c r="C16" s="328">
        <v>30000</v>
      </c>
      <c r="D16" s="329"/>
      <c r="E16" s="329">
        <f>C16*1/4</f>
        <v>7500</v>
      </c>
      <c r="F16" s="329">
        <f>C16*2/4</f>
        <v>15000</v>
      </c>
      <c r="G16" s="329">
        <f>C16*1/4</f>
        <v>7500</v>
      </c>
    </row>
    <row r="17" spans="1:8" x14ac:dyDescent="0.25">
      <c r="B17" s="36" t="s">
        <v>356</v>
      </c>
      <c r="C17" s="328">
        <v>90000</v>
      </c>
      <c r="D17" s="329"/>
      <c r="E17" s="329">
        <f>C17*5/9</f>
        <v>50000</v>
      </c>
      <c r="F17" s="329">
        <f>C17*2/9</f>
        <v>20000</v>
      </c>
      <c r="G17" s="329">
        <f>C17*2/9</f>
        <v>20000</v>
      </c>
      <c r="H17" s="332"/>
    </row>
    <row r="18" spans="1:8" x14ac:dyDescent="0.25">
      <c r="B18" s="36" t="s">
        <v>357</v>
      </c>
      <c r="C18" s="328">
        <f>SUM(E18:G18)</f>
        <v>125000</v>
      </c>
      <c r="D18" s="329"/>
      <c r="E18" s="329">
        <v>35000</v>
      </c>
      <c r="F18" s="329">
        <v>70000</v>
      </c>
      <c r="G18" s="329">
        <v>20000</v>
      </c>
    </row>
    <row r="19" spans="1:8" x14ac:dyDescent="0.25">
      <c r="B19" s="36" t="s">
        <v>358</v>
      </c>
      <c r="C19" s="328">
        <f>SUM(D19)</f>
        <v>18000</v>
      </c>
      <c r="D19" s="329">
        <v>18000</v>
      </c>
      <c r="E19" s="329"/>
      <c r="F19" s="329"/>
      <c r="G19" s="329"/>
    </row>
    <row r="20" spans="1:8" x14ac:dyDescent="0.25">
      <c r="B20" s="36" t="s">
        <v>359</v>
      </c>
      <c r="C20" s="328">
        <f>G20</f>
        <v>9000</v>
      </c>
      <c r="D20" s="329"/>
      <c r="E20" s="329"/>
      <c r="F20" s="329"/>
      <c r="G20" s="329">
        <v>9000</v>
      </c>
    </row>
    <row r="21" spans="1:8" ht="15.6" x14ac:dyDescent="0.3">
      <c r="B21" s="211" t="s">
        <v>360</v>
      </c>
      <c r="C21" s="328"/>
      <c r="D21" s="329"/>
      <c r="E21" s="329"/>
      <c r="F21" s="329"/>
      <c r="G21" s="329"/>
    </row>
    <row r="22" spans="1:8" x14ac:dyDescent="0.25">
      <c r="B22" s="36" t="s">
        <v>361</v>
      </c>
      <c r="C22" s="328">
        <f>16000*3/12</f>
        <v>4000</v>
      </c>
      <c r="D22" s="329"/>
      <c r="E22" s="329">
        <f>C22*1/4</f>
        <v>1000</v>
      </c>
      <c r="F22" s="329">
        <f>C22*2/4</f>
        <v>2000</v>
      </c>
      <c r="G22" s="329">
        <f>C22*1/4</f>
        <v>1000</v>
      </c>
      <c r="H22" s="332"/>
    </row>
    <row r="23" spans="1:8" x14ac:dyDescent="0.25">
      <c r="B23" s="36" t="s">
        <v>362</v>
      </c>
      <c r="C23" s="328">
        <f>48000*3/12</f>
        <v>12000</v>
      </c>
      <c r="D23" s="329">
        <f>C23</f>
        <v>12000</v>
      </c>
      <c r="E23" s="329"/>
      <c r="F23" s="329"/>
      <c r="G23" s="329"/>
      <c r="H23" s="332"/>
    </row>
    <row r="24" spans="1:8" x14ac:dyDescent="0.25">
      <c r="B24" s="42" t="s">
        <v>363</v>
      </c>
      <c r="C24" s="330">
        <f>156000*3/12</f>
        <v>39000</v>
      </c>
      <c r="D24" s="331">
        <v>10000</v>
      </c>
      <c r="E24" s="331">
        <f>29000*1/4</f>
        <v>7250</v>
      </c>
      <c r="F24" s="331">
        <f>29000*2/4</f>
        <v>14500</v>
      </c>
      <c r="G24" s="331">
        <f>29000*1/4</f>
        <v>7250</v>
      </c>
      <c r="H24" s="332"/>
    </row>
    <row r="25" spans="1:8" x14ac:dyDescent="0.25">
      <c r="B25" s="36" t="s">
        <v>364</v>
      </c>
      <c r="C25" s="328">
        <f>SUM(C15:C24)</f>
        <v>612000</v>
      </c>
      <c r="D25" s="329">
        <f>SUM(D15:D24)</f>
        <v>75000</v>
      </c>
      <c r="E25" s="329">
        <f>SUM(E15:E24)</f>
        <v>150750</v>
      </c>
      <c r="F25" s="329">
        <f>SUM(F15:F24)</f>
        <v>271500</v>
      </c>
      <c r="G25" s="329">
        <f>SUM(G15:G24)</f>
        <v>114750</v>
      </c>
    </row>
    <row r="26" spans="1:8" x14ac:dyDescent="0.25">
      <c r="B26" s="42" t="s">
        <v>365</v>
      </c>
      <c r="C26" s="330"/>
      <c r="D26" s="331">
        <f>-D25</f>
        <v>-75000</v>
      </c>
      <c r="E26" s="331">
        <f>40000*3/5</f>
        <v>24000</v>
      </c>
      <c r="F26" s="331">
        <v>35000</v>
      </c>
      <c r="G26" s="331">
        <f>40000*2/5</f>
        <v>16000</v>
      </c>
      <c r="H26" s="332"/>
    </row>
    <row r="27" spans="1:8" x14ac:dyDescent="0.25">
      <c r="B27" s="36" t="s">
        <v>364</v>
      </c>
      <c r="C27" s="328">
        <f>SUM(C25:C26)</f>
        <v>612000</v>
      </c>
      <c r="D27" s="329"/>
      <c r="E27" s="329">
        <f>SUM(E25:E26)</f>
        <v>174750</v>
      </c>
      <c r="F27" s="329">
        <f>SUM(F25:F26)</f>
        <v>306500</v>
      </c>
      <c r="G27" s="329">
        <f>SUM(G25:G26)</f>
        <v>130750</v>
      </c>
    </row>
    <row r="28" spans="1:8" x14ac:dyDescent="0.25">
      <c r="B28" s="42" t="s">
        <v>48</v>
      </c>
      <c r="C28" s="330">
        <f>C27+C11</f>
        <v>2862000</v>
      </c>
      <c r="D28" s="331"/>
      <c r="E28" s="331">
        <f>E27+E11</f>
        <v>774750</v>
      </c>
      <c r="F28" s="331">
        <f>F27+F11</f>
        <v>1556500</v>
      </c>
      <c r="G28" s="331">
        <f>G27+G11</f>
        <v>530750</v>
      </c>
    </row>
    <row r="29" spans="1:8" x14ac:dyDescent="0.25">
      <c r="B29" s="42" t="s">
        <v>310</v>
      </c>
      <c r="C29" s="330">
        <f>C8-C28</f>
        <v>148000</v>
      </c>
      <c r="D29" s="331"/>
      <c r="E29" s="331">
        <f>E8-E28</f>
        <v>35250</v>
      </c>
      <c r="F29" s="331">
        <f>F8-F28</f>
        <v>143500</v>
      </c>
      <c r="G29" s="331">
        <f>G8-G28</f>
        <v>-30750</v>
      </c>
      <c r="H29" s="27"/>
    </row>
    <row r="30" spans="1:8" x14ac:dyDescent="0.25">
      <c r="B30" s="199"/>
      <c r="C30" s="31"/>
      <c r="D30" s="27"/>
      <c r="E30" s="31"/>
      <c r="F30" s="31"/>
      <c r="G30" s="31"/>
    </row>
    <row r="31" spans="1:8" x14ac:dyDescent="0.25">
      <c r="A31" s="25" t="s">
        <v>13</v>
      </c>
      <c r="B31" s="36" t="s">
        <v>312</v>
      </c>
      <c r="C31" s="333">
        <f>C12/C11</f>
        <v>0.33777777777777779</v>
      </c>
      <c r="D31" s="334"/>
      <c r="E31" s="333">
        <f>E12/E11</f>
        <v>0.35</v>
      </c>
      <c r="F31" s="333">
        <f>F12/F11</f>
        <v>0.36</v>
      </c>
      <c r="G31" s="333">
        <f>G12/G11</f>
        <v>0.25</v>
      </c>
    </row>
    <row r="32" spans="1:8" x14ac:dyDescent="0.25">
      <c r="B32" s="36" t="s">
        <v>366</v>
      </c>
      <c r="C32" s="333">
        <f>C12/C8</f>
        <v>0.25249169435215946</v>
      </c>
      <c r="D32" s="334"/>
      <c r="E32" s="333">
        <f>E12/E8</f>
        <v>0.25925925925925924</v>
      </c>
      <c r="F32" s="333">
        <f>F12/F8</f>
        <v>0.26470588235294118</v>
      </c>
      <c r="G32" s="333">
        <f>G12/G8</f>
        <v>0.2</v>
      </c>
    </row>
    <row r="33" spans="2:7" x14ac:dyDescent="0.25">
      <c r="B33" s="36" t="s">
        <v>367</v>
      </c>
      <c r="C33" s="333">
        <f>C27/C11</f>
        <v>0.27200000000000002</v>
      </c>
      <c r="D33" s="334"/>
      <c r="E33" s="333">
        <f>E27/E11</f>
        <v>0.29125000000000001</v>
      </c>
      <c r="F33" s="333">
        <f>F27/F11</f>
        <v>0.2452</v>
      </c>
      <c r="G33" s="333">
        <f>G27/G11</f>
        <v>0.32687500000000003</v>
      </c>
    </row>
    <row r="34" spans="2:7" x14ac:dyDescent="0.25">
      <c r="B34" s="42" t="s">
        <v>368</v>
      </c>
      <c r="C34" s="335">
        <f>C29/C28</f>
        <v>5.1712089447938502E-2</v>
      </c>
      <c r="D34" s="334"/>
      <c r="E34" s="335">
        <f>E29/E28</f>
        <v>4.5498547918683449E-2</v>
      </c>
      <c r="F34" s="335">
        <f>F29/F28</f>
        <v>9.2194025056215864E-2</v>
      </c>
      <c r="G34" s="335">
        <f>G29/G28</f>
        <v>-5.7936881771078662E-2</v>
      </c>
    </row>
    <row r="36" spans="2:7" x14ac:dyDescent="0.25">
      <c r="B36" s="25" t="s">
        <v>369</v>
      </c>
    </row>
    <row r="37" spans="2:7" x14ac:dyDescent="0.25">
      <c r="B37" s="25" t="s">
        <v>370</v>
      </c>
    </row>
  </sheetData>
  <pageMargins left="0.75" right="0.75" top="1" bottom="1" header="0.5" footer="0.5"/>
  <pageSetup paperSize="9" scale="94" orientation="portrait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"/>
  <sheetViews>
    <sheetView workbookViewId="0"/>
  </sheetViews>
  <sheetFormatPr baseColWidth="10" defaultColWidth="11.44140625" defaultRowHeight="15" x14ac:dyDescent="0.25"/>
  <cols>
    <col min="1" max="1" width="2.77734375" style="25" customWidth="1"/>
    <col min="2" max="2" width="17.6640625" style="25" customWidth="1"/>
    <col min="3" max="3" width="16" style="25" bestFit="1" customWidth="1"/>
    <col min="4" max="16384" width="11.44140625" style="25"/>
  </cols>
  <sheetData>
    <row r="1" spans="1:4" ht="15.6" x14ac:dyDescent="0.3">
      <c r="A1" s="24" t="s">
        <v>371</v>
      </c>
    </row>
    <row r="3" spans="1:4" ht="15.6" x14ac:dyDescent="0.3">
      <c r="A3" s="315" t="str">
        <f>'7,4'!A3</f>
        <v>Klikk på cellene for å se utregningen.</v>
      </c>
    </row>
    <row r="4" spans="1:4" ht="15.6" x14ac:dyDescent="0.3">
      <c r="A4" s="315"/>
    </row>
    <row r="5" spans="1:4" x14ac:dyDescent="0.25">
      <c r="A5" s="25" t="s">
        <v>12</v>
      </c>
    </row>
    <row r="6" spans="1:4" x14ac:dyDescent="0.25">
      <c r="B6" s="25" t="s">
        <v>351</v>
      </c>
      <c r="C6" s="322">
        <v>5000000</v>
      </c>
    </row>
    <row r="7" spans="1:4" x14ac:dyDescent="0.25">
      <c r="A7" s="25" t="s">
        <v>306</v>
      </c>
      <c r="B7" s="25" t="s">
        <v>307</v>
      </c>
      <c r="C7" s="322">
        <f>3450000+50000</f>
        <v>3500000</v>
      </c>
      <c r="D7" s="25" t="s">
        <v>372</v>
      </c>
    </row>
    <row r="8" spans="1:4" x14ac:dyDescent="0.25">
      <c r="A8" s="25" t="s">
        <v>308</v>
      </c>
      <c r="B8" s="47" t="s">
        <v>309</v>
      </c>
      <c r="C8" s="336">
        <f>C6-C7</f>
        <v>1500000</v>
      </c>
    </row>
    <row r="10" spans="1:4" x14ac:dyDescent="0.25">
      <c r="B10" s="25" t="s">
        <v>373</v>
      </c>
      <c r="C10" s="337">
        <f>C8/C6</f>
        <v>0.3</v>
      </c>
    </row>
    <row r="12" spans="1:4" x14ac:dyDescent="0.25">
      <c r="A12" s="25" t="s">
        <v>13</v>
      </c>
    </row>
    <row r="13" spans="1:4" x14ac:dyDescent="0.25">
      <c r="A13" s="25" t="s">
        <v>374</v>
      </c>
    </row>
    <row r="14" spans="1:4" x14ac:dyDescent="0.25">
      <c r="A14" s="25" t="s">
        <v>375</v>
      </c>
    </row>
    <row r="15" spans="1:4" x14ac:dyDescent="0.25">
      <c r="A15" s="25" t="s">
        <v>376</v>
      </c>
      <c r="B15" s="25" t="s">
        <v>377</v>
      </c>
    </row>
    <row r="16" spans="1:4" x14ac:dyDescent="0.25">
      <c r="A16" s="25" t="s">
        <v>376</v>
      </c>
      <c r="B16" s="25" t="s">
        <v>378</v>
      </c>
    </row>
    <row r="17" spans="1:5" x14ac:dyDescent="0.25">
      <c r="A17" s="25" t="s">
        <v>376</v>
      </c>
      <c r="B17" s="25" t="s">
        <v>379</v>
      </c>
    </row>
    <row r="19" spans="1:5" ht="15.6" x14ac:dyDescent="0.3">
      <c r="A19" s="24" t="s">
        <v>380</v>
      </c>
    </row>
    <row r="20" spans="1:5" ht="15.6" x14ac:dyDescent="0.3">
      <c r="A20" s="24"/>
    </row>
    <row r="21" spans="1:5" ht="15.6" x14ac:dyDescent="0.3">
      <c r="A21" s="24" t="str">
        <f>A3</f>
        <v>Klikk på cellene for å se utregningen.</v>
      </c>
    </row>
    <row r="23" spans="1:5" x14ac:dyDescent="0.25">
      <c r="A23" s="25" t="s">
        <v>12</v>
      </c>
      <c r="C23" s="230" t="s">
        <v>381</v>
      </c>
      <c r="D23" s="230" t="s">
        <v>382</v>
      </c>
      <c r="E23" s="230" t="s">
        <v>383</v>
      </c>
    </row>
    <row r="24" spans="1:5" x14ac:dyDescent="0.25">
      <c r="B24" s="25" t="str">
        <f>B6</f>
        <v>Varesalg</v>
      </c>
      <c r="C24" s="37">
        <v>600000</v>
      </c>
      <c r="D24" s="37">
        <v>560000</v>
      </c>
      <c r="E24" s="37">
        <f>D24-C24</f>
        <v>-40000</v>
      </c>
    </row>
    <row r="25" spans="1:5" x14ac:dyDescent="0.25">
      <c r="A25" s="25" t="str">
        <f>A7</f>
        <v>-</v>
      </c>
      <c r="B25" s="25" t="str">
        <f>B7</f>
        <v>Varekostnad</v>
      </c>
      <c r="C25" s="37">
        <v>360000</v>
      </c>
      <c r="D25" s="37">
        <v>355000</v>
      </c>
      <c r="E25" s="37">
        <f>C25-D25</f>
        <v>5000</v>
      </c>
    </row>
    <row r="26" spans="1:5" x14ac:dyDescent="0.25">
      <c r="A26" s="25" t="str">
        <f>A8</f>
        <v>=</v>
      </c>
      <c r="B26" s="47" t="str">
        <f>B8</f>
        <v>Bruttofortjeneste</v>
      </c>
      <c r="C26" s="41">
        <f>C24-C25</f>
        <v>240000</v>
      </c>
      <c r="D26" s="41">
        <f>D24-D25</f>
        <v>205000</v>
      </c>
      <c r="E26" s="41">
        <f>D26-C26</f>
        <v>-35000</v>
      </c>
    </row>
    <row r="28" spans="1:5" x14ac:dyDescent="0.25">
      <c r="B28" s="25" t="str">
        <f>B10</f>
        <v>Br.fortjeneste i %</v>
      </c>
      <c r="C28" s="337">
        <f>C26/C24</f>
        <v>0.4</v>
      </c>
      <c r="D28" s="338">
        <f>D26/D24</f>
        <v>0.36607142857142855</v>
      </c>
    </row>
    <row r="30" spans="1:5" x14ac:dyDescent="0.25">
      <c r="A30" s="25" t="s">
        <v>13</v>
      </c>
      <c r="B30" s="25" t="s">
        <v>384</v>
      </c>
      <c r="C30" s="339">
        <f>E24</f>
        <v>-40000</v>
      </c>
    </row>
    <row r="31" spans="1:5" x14ac:dyDescent="0.25">
      <c r="B31" s="25" t="s">
        <v>385</v>
      </c>
    </row>
    <row r="33" spans="2:3" x14ac:dyDescent="0.25">
      <c r="B33" s="25" t="s">
        <v>307</v>
      </c>
      <c r="C33" s="339">
        <f>E25</f>
        <v>5000</v>
      </c>
    </row>
    <row r="34" spans="2:3" x14ac:dyDescent="0.25">
      <c r="B34" s="25" t="s">
        <v>386</v>
      </c>
    </row>
    <row r="36" spans="2:3" x14ac:dyDescent="0.25">
      <c r="B36" s="25" t="s">
        <v>387</v>
      </c>
    </row>
    <row r="37" spans="2:3" x14ac:dyDescent="0.25">
      <c r="B37" s="25" t="s">
        <v>388</v>
      </c>
    </row>
    <row r="38" spans="2:3" x14ac:dyDescent="0.25">
      <c r="B38" s="25" t="s">
        <v>389</v>
      </c>
    </row>
    <row r="39" spans="2:3" x14ac:dyDescent="0.25">
      <c r="B39" s="25" t="s">
        <v>390</v>
      </c>
    </row>
    <row r="40" spans="2:3" x14ac:dyDescent="0.25">
      <c r="B40" s="25" t="s">
        <v>391</v>
      </c>
    </row>
  </sheetData>
  <pageMargins left="0.75" right="0.75" top="1" bottom="1" header="0.5" footer="0.5"/>
  <pageSetup paperSize="9" orientation="portrait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6"/>
  <sheetViews>
    <sheetView topLeftCell="A7" workbookViewId="0"/>
  </sheetViews>
  <sheetFormatPr baseColWidth="10" defaultColWidth="11.44140625" defaultRowHeight="15" x14ac:dyDescent="0.25"/>
  <cols>
    <col min="1" max="1" width="2.77734375" style="25" customWidth="1"/>
    <col min="2" max="2" width="21.77734375" style="25" customWidth="1"/>
    <col min="3" max="5" width="13.33203125" style="25" customWidth="1"/>
    <col min="6" max="16384" width="11.44140625" style="25"/>
  </cols>
  <sheetData>
    <row r="1" spans="1:5" ht="15.6" x14ac:dyDescent="0.3">
      <c r="A1" s="24" t="s">
        <v>392</v>
      </c>
    </row>
    <row r="2" spans="1:5" ht="15.6" x14ac:dyDescent="0.3">
      <c r="A2" s="24"/>
    </row>
    <row r="3" spans="1:5" ht="15.6" x14ac:dyDescent="0.3">
      <c r="A3" s="24" t="str">
        <f>'7,5-6'!A3</f>
        <v>Klikk på cellene for å se utregningen.</v>
      </c>
    </row>
    <row r="5" spans="1:5" x14ac:dyDescent="0.25">
      <c r="A5" s="25" t="s">
        <v>12</v>
      </c>
      <c r="C5" s="230" t="s">
        <v>381</v>
      </c>
      <c r="D5" s="230" t="s">
        <v>382</v>
      </c>
      <c r="E5" s="230" t="s">
        <v>383</v>
      </c>
    </row>
    <row r="6" spans="1:5" x14ac:dyDescent="0.25">
      <c r="B6" s="25" t="s">
        <v>19</v>
      </c>
      <c r="C6" s="31">
        <v>160000</v>
      </c>
      <c r="D6" s="31">
        <v>183000</v>
      </c>
      <c r="E6" s="31">
        <f>D6-C6</f>
        <v>23000</v>
      </c>
    </row>
    <row r="7" spans="1:5" x14ac:dyDescent="0.25">
      <c r="A7" s="25" t="s">
        <v>306</v>
      </c>
      <c r="B7" s="25" t="s">
        <v>307</v>
      </c>
      <c r="C7" s="35">
        <f>C6-C8</f>
        <v>88000</v>
      </c>
      <c r="D7" s="35">
        <v>108000</v>
      </c>
      <c r="E7" s="35">
        <f>C7-D7</f>
        <v>-20000</v>
      </c>
    </row>
    <row r="8" spans="1:5" x14ac:dyDescent="0.25">
      <c r="A8" s="25" t="s">
        <v>308</v>
      </c>
      <c r="B8" s="25" t="s">
        <v>309</v>
      </c>
      <c r="C8" s="37">
        <f>C6*0.45</f>
        <v>72000</v>
      </c>
      <c r="D8" s="37">
        <f>D6-D7</f>
        <v>75000</v>
      </c>
      <c r="E8" s="37">
        <f>D8-C8</f>
        <v>3000</v>
      </c>
    </row>
    <row r="9" spans="1:5" x14ac:dyDescent="0.25">
      <c r="A9" s="25" t="s">
        <v>306</v>
      </c>
      <c r="B9" s="25" t="s">
        <v>81</v>
      </c>
      <c r="C9" s="37">
        <v>60000</v>
      </c>
      <c r="D9" s="37">
        <v>56000</v>
      </c>
      <c r="E9" s="37">
        <f>C9-D9</f>
        <v>4000</v>
      </c>
    </row>
    <row r="10" spans="1:5" x14ac:dyDescent="0.25">
      <c r="A10" s="25" t="s">
        <v>308</v>
      </c>
      <c r="B10" s="25" t="s">
        <v>310</v>
      </c>
      <c r="C10" s="41">
        <f>C8-C9</f>
        <v>12000</v>
      </c>
      <c r="D10" s="41">
        <f>D8-D9</f>
        <v>19000</v>
      </c>
      <c r="E10" s="41">
        <f>D10-C10</f>
        <v>7000</v>
      </c>
    </row>
    <row r="12" spans="1:5" x14ac:dyDescent="0.25">
      <c r="A12" s="25" t="s">
        <v>13</v>
      </c>
      <c r="B12" s="25" t="s">
        <v>393</v>
      </c>
      <c r="C12" s="339"/>
    </row>
    <row r="13" spans="1:5" x14ac:dyDescent="0.25">
      <c r="B13" s="25" t="s">
        <v>394</v>
      </c>
    </row>
    <row r="14" spans="1:5" x14ac:dyDescent="0.25">
      <c r="B14" s="25" t="s">
        <v>395</v>
      </c>
    </row>
    <row r="15" spans="1:5" x14ac:dyDescent="0.25">
      <c r="C15" s="339"/>
    </row>
    <row r="16" spans="1:5" x14ac:dyDescent="0.25">
      <c r="A16" s="25" t="s">
        <v>193</v>
      </c>
      <c r="B16" s="25" t="s">
        <v>396</v>
      </c>
    </row>
    <row r="17" spans="2:3" ht="15.6" x14ac:dyDescent="0.3">
      <c r="B17" s="12" t="s">
        <v>397</v>
      </c>
      <c r="C17" s="340"/>
    </row>
    <row r="18" spans="2:3" x14ac:dyDescent="0.25">
      <c r="B18" s="25" t="s">
        <v>398</v>
      </c>
    </row>
    <row r="20" spans="2:3" ht="15.6" x14ac:dyDescent="0.3">
      <c r="B20" s="12" t="s">
        <v>399</v>
      </c>
    </row>
    <row r="21" spans="2:3" x14ac:dyDescent="0.25">
      <c r="B21" s="25" t="s">
        <v>400</v>
      </c>
    </row>
    <row r="22" spans="2:3" x14ac:dyDescent="0.25">
      <c r="B22" s="25" t="s">
        <v>401</v>
      </c>
    </row>
    <row r="24" spans="2:3" ht="15.6" x14ac:dyDescent="0.3">
      <c r="B24" s="12" t="s">
        <v>402</v>
      </c>
    </row>
    <row r="25" spans="2:3" x14ac:dyDescent="0.25">
      <c r="B25" s="25" t="s">
        <v>403</v>
      </c>
    </row>
    <row r="26" spans="2:3" x14ac:dyDescent="0.25">
      <c r="B26" s="25" t="s">
        <v>404</v>
      </c>
    </row>
  </sheetData>
  <pageMargins left="0.75" right="0.75" top="1" bottom="1" header="0.5" footer="0.5"/>
  <pageSetup paperSize="9" scale="97" orientation="portrait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0"/>
  <sheetViews>
    <sheetView topLeftCell="A2" workbookViewId="0"/>
  </sheetViews>
  <sheetFormatPr baseColWidth="10" defaultColWidth="11.44140625" defaultRowHeight="15" x14ac:dyDescent="0.25"/>
  <cols>
    <col min="1" max="1" width="2.77734375" style="25" customWidth="1"/>
    <col min="2" max="2" width="21.77734375" style="25" customWidth="1"/>
    <col min="3" max="5" width="13.33203125" style="25" customWidth="1"/>
    <col min="6" max="16384" width="11.44140625" style="25"/>
  </cols>
  <sheetData>
    <row r="1" spans="1:6" ht="15.6" x14ac:dyDescent="0.3">
      <c r="A1" s="8" t="s">
        <v>405</v>
      </c>
    </row>
    <row r="2" spans="1:6" ht="15.6" x14ac:dyDescent="0.3">
      <c r="A2" s="24"/>
    </row>
    <row r="3" spans="1:6" ht="15.6" x14ac:dyDescent="0.3">
      <c r="A3" s="24" t="str">
        <f>'7,5-6'!A3</f>
        <v>Klikk på cellene for å se utregningen.</v>
      </c>
    </row>
    <row r="4" spans="1:6" ht="15.6" x14ac:dyDescent="0.3">
      <c r="A4" s="24"/>
    </row>
    <row r="5" spans="1:6" x14ac:dyDescent="0.25">
      <c r="A5" s="144" t="s">
        <v>406</v>
      </c>
    </row>
    <row r="6" spans="1:6" x14ac:dyDescent="0.25">
      <c r="C6" s="230" t="s">
        <v>381</v>
      </c>
      <c r="D6" s="230" t="s">
        <v>382</v>
      </c>
      <c r="E6" s="341" t="s">
        <v>407</v>
      </c>
      <c r="F6" s="230" t="s">
        <v>408</v>
      </c>
    </row>
    <row r="7" spans="1:6" x14ac:dyDescent="0.25">
      <c r="B7" s="25" t="s">
        <v>19</v>
      </c>
      <c r="C7" s="31">
        <f>D7-E7</f>
        <v>1950000</v>
      </c>
      <c r="D7" s="31">
        <v>1840000</v>
      </c>
      <c r="E7" s="342">
        <v>-110000</v>
      </c>
      <c r="F7" s="343">
        <f>E7/C7</f>
        <v>-5.6410256410256411E-2</v>
      </c>
    </row>
    <row r="8" spans="1:6" x14ac:dyDescent="0.25">
      <c r="A8" s="25" t="s">
        <v>306</v>
      </c>
      <c r="B8" s="25" t="s">
        <v>307</v>
      </c>
      <c r="C8" s="37">
        <f>C7-C9</f>
        <v>1560000</v>
      </c>
      <c r="D8" s="37">
        <v>1510000</v>
      </c>
      <c r="E8" s="194">
        <f>C8-D8</f>
        <v>50000</v>
      </c>
      <c r="F8" s="335">
        <f>E8/C8</f>
        <v>3.2051282051282048E-2</v>
      </c>
    </row>
    <row r="9" spans="1:6" x14ac:dyDescent="0.25">
      <c r="A9" s="25" t="s">
        <v>308</v>
      </c>
      <c r="B9" s="25" t="s">
        <v>309</v>
      </c>
      <c r="C9" s="41">
        <f>C7*25%/125%</f>
        <v>390000</v>
      </c>
      <c r="D9" s="41">
        <f>D7-D8</f>
        <v>330000</v>
      </c>
      <c r="E9" s="41">
        <f>D9-C9</f>
        <v>-60000</v>
      </c>
      <c r="F9" s="344">
        <f>E9/C9</f>
        <v>-0.15384615384615385</v>
      </c>
    </row>
    <row r="10" spans="1:6" x14ac:dyDescent="0.25">
      <c r="C10" s="27"/>
      <c r="D10" s="27"/>
      <c r="E10" s="27"/>
    </row>
    <row r="11" spans="1:6" x14ac:dyDescent="0.25">
      <c r="B11" s="25" t="s">
        <v>409</v>
      </c>
      <c r="C11" s="345">
        <f>C9/C7</f>
        <v>0.2</v>
      </c>
      <c r="D11" s="345">
        <f>D9/D7</f>
        <v>0.17934782608695651</v>
      </c>
      <c r="E11" s="27"/>
    </row>
    <row r="14" spans="1:6" x14ac:dyDescent="0.25">
      <c r="A14" s="144" t="s">
        <v>193</v>
      </c>
    </row>
    <row r="15" spans="1:6" x14ac:dyDescent="0.25">
      <c r="B15" s="144" t="s">
        <v>410</v>
      </c>
      <c r="D15" s="27">
        <f>D7</f>
        <v>1840000</v>
      </c>
    </row>
    <row r="16" spans="1:6" x14ac:dyDescent="0.25">
      <c r="A16" s="25" t="s">
        <v>316</v>
      </c>
      <c r="B16" s="25" t="s">
        <v>411</v>
      </c>
      <c r="D16" s="27">
        <v>10000</v>
      </c>
    </row>
    <row r="17" spans="1:4" x14ac:dyDescent="0.25">
      <c r="A17" s="25" t="s">
        <v>308</v>
      </c>
      <c r="B17" s="346" t="s">
        <v>412</v>
      </c>
      <c r="C17" s="47"/>
      <c r="D17" s="48">
        <f>SUM(D15:D16)</f>
        <v>1850000</v>
      </c>
    </row>
    <row r="19" spans="1:4" x14ac:dyDescent="0.25">
      <c r="B19" s="144" t="s">
        <v>413</v>
      </c>
    </row>
    <row r="20" spans="1:4" x14ac:dyDescent="0.25">
      <c r="B20" s="144" t="s">
        <v>414</v>
      </c>
    </row>
  </sheetData>
  <pageMargins left="0.75" right="0.75" top="1" bottom="1" header="0.5" footer="0.5"/>
  <pageSetup paperSize="9" orientation="portrait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2"/>
  <sheetViews>
    <sheetView workbookViewId="0"/>
  </sheetViews>
  <sheetFormatPr baseColWidth="10" defaultColWidth="11.44140625" defaultRowHeight="15" x14ac:dyDescent="0.25"/>
  <cols>
    <col min="1" max="1" width="3.33203125" style="27" customWidth="1"/>
    <col min="2" max="2" width="25.6640625" style="27" bestFit="1" customWidth="1"/>
    <col min="3" max="16384" width="11.44140625" style="27"/>
  </cols>
  <sheetData>
    <row r="1" spans="1:8" ht="15.6" x14ac:dyDescent="0.3">
      <c r="A1" s="8" t="s">
        <v>415</v>
      </c>
    </row>
    <row r="3" spans="1:8" ht="15.6" x14ac:dyDescent="0.3">
      <c r="A3" s="347" t="str">
        <f>'7,8'!A3</f>
        <v>Klikk på cellene for å se utregningen.</v>
      </c>
    </row>
    <row r="5" spans="1:8" x14ac:dyDescent="0.25">
      <c r="A5" s="27" t="s">
        <v>12</v>
      </c>
      <c r="C5" s="357" t="s">
        <v>381</v>
      </c>
      <c r="D5" s="357"/>
      <c r="E5" s="358" t="s">
        <v>382</v>
      </c>
      <c r="F5" s="358"/>
      <c r="G5" s="358" t="s">
        <v>383</v>
      </c>
      <c r="H5" s="358"/>
    </row>
    <row r="6" spans="1:8" x14ac:dyDescent="0.25">
      <c r="B6" s="348" t="s">
        <v>416</v>
      </c>
      <c r="C6" s="189" t="s">
        <v>417</v>
      </c>
      <c r="D6" s="189" t="s">
        <v>418</v>
      </c>
      <c r="E6" s="189" t="s">
        <v>417</v>
      </c>
      <c r="F6" s="189" t="s">
        <v>418</v>
      </c>
      <c r="G6" s="189" t="s">
        <v>417</v>
      </c>
      <c r="H6" s="189" t="s">
        <v>418</v>
      </c>
    </row>
    <row r="7" spans="1:8" x14ac:dyDescent="0.25">
      <c r="B7" s="27" t="s">
        <v>19</v>
      </c>
      <c r="C7" s="37">
        <v>2400000</v>
      </c>
      <c r="D7" s="333">
        <f>C7/$C$7</f>
        <v>1</v>
      </c>
      <c r="E7" s="37">
        <v>2640000</v>
      </c>
      <c r="F7" s="333">
        <f>E7/$E$7</f>
        <v>1</v>
      </c>
      <c r="G7" s="37">
        <f>E7-C7</f>
        <v>240000</v>
      </c>
      <c r="H7" s="333">
        <f>G7/C7</f>
        <v>0.1</v>
      </c>
    </row>
    <row r="8" spans="1:8" x14ac:dyDescent="0.25">
      <c r="B8" s="349" t="s">
        <v>307</v>
      </c>
      <c r="C8" s="35">
        <v>1680000</v>
      </c>
      <c r="D8" s="335">
        <f>C8/$C$7</f>
        <v>0.7</v>
      </c>
      <c r="E8" s="35">
        <v>1750000</v>
      </c>
      <c r="F8" s="335">
        <f t="shared" ref="F8:F19" si="0">E8/$E$7</f>
        <v>0.66287878787878785</v>
      </c>
      <c r="G8" s="35">
        <f>C8-E8</f>
        <v>-70000</v>
      </c>
      <c r="H8" s="335">
        <f t="shared" ref="H8:H19" si="1">G8/C8</f>
        <v>-4.1666666666666664E-2</v>
      </c>
    </row>
    <row r="9" spans="1:8" x14ac:dyDescent="0.25">
      <c r="B9" s="27" t="s">
        <v>309</v>
      </c>
      <c r="C9" s="37">
        <f>C7-C8</f>
        <v>720000</v>
      </c>
      <c r="D9" s="333">
        <f t="shared" ref="D9:D19" si="2">C9/$C$7</f>
        <v>0.3</v>
      </c>
      <c r="E9" s="37">
        <f>E7-E8</f>
        <v>890000</v>
      </c>
      <c r="F9" s="333">
        <f t="shared" si="0"/>
        <v>0.3371212121212121</v>
      </c>
      <c r="G9" s="37">
        <f>E9-C9</f>
        <v>170000</v>
      </c>
      <c r="H9" s="333">
        <f t="shared" si="1"/>
        <v>0.2361111111111111</v>
      </c>
    </row>
    <row r="10" spans="1:8" x14ac:dyDescent="0.25">
      <c r="C10" s="37"/>
      <c r="D10" s="333"/>
      <c r="E10" s="37"/>
      <c r="F10" s="333"/>
      <c r="G10" s="37"/>
      <c r="H10" s="333"/>
    </row>
    <row r="11" spans="1:8" ht="15.6" x14ac:dyDescent="0.3">
      <c r="B11" s="350" t="s">
        <v>81</v>
      </c>
      <c r="C11" s="37"/>
      <c r="D11" s="333"/>
      <c r="E11" s="37"/>
      <c r="F11" s="333"/>
      <c r="G11" s="37"/>
      <c r="H11" s="333"/>
    </row>
    <row r="12" spans="1:8" x14ac:dyDescent="0.25">
      <c r="B12" s="27" t="s">
        <v>354</v>
      </c>
      <c r="C12" s="37">
        <v>250000</v>
      </c>
      <c r="D12" s="333">
        <f t="shared" si="2"/>
        <v>0.10416666666666667</v>
      </c>
      <c r="E12" s="37">
        <v>310000</v>
      </c>
      <c r="F12" s="333">
        <f t="shared" si="0"/>
        <v>0.11742424242424243</v>
      </c>
      <c r="G12" s="37">
        <f>C12-E12</f>
        <v>-60000</v>
      </c>
      <c r="H12" s="333">
        <f t="shared" si="1"/>
        <v>-0.24</v>
      </c>
    </row>
    <row r="13" spans="1:8" x14ac:dyDescent="0.25">
      <c r="B13" s="27" t="s">
        <v>355</v>
      </c>
      <c r="C13" s="37">
        <v>36000</v>
      </c>
      <c r="D13" s="333">
        <f t="shared" si="2"/>
        <v>1.4999999999999999E-2</v>
      </c>
      <c r="E13" s="37">
        <v>39000</v>
      </c>
      <c r="F13" s="333">
        <f t="shared" si="0"/>
        <v>1.4772727272727272E-2</v>
      </c>
      <c r="G13" s="37">
        <f t="shared" ref="G13:G18" si="3">C13-E13</f>
        <v>-3000</v>
      </c>
      <c r="H13" s="333">
        <f t="shared" si="1"/>
        <v>-8.3333333333333329E-2</v>
      </c>
    </row>
    <row r="14" spans="1:8" x14ac:dyDescent="0.25">
      <c r="B14" s="27" t="s">
        <v>419</v>
      </c>
      <c r="C14" s="37">
        <v>190000</v>
      </c>
      <c r="D14" s="333">
        <f t="shared" si="2"/>
        <v>7.9166666666666663E-2</v>
      </c>
      <c r="E14" s="37">
        <v>174000</v>
      </c>
      <c r="F14" s="333">
        <f t="shared" si="0"/>
        <v>6.5909090909090903E-2</v>
      </c>
      <c r="G14" s="37">
        <f t="shared" si="3"/>
        <v>16000</v>
      </c>
      <c r="H14" s="333">
        <f t="shared" si="1"/>
        <v>8.4210526315789472E-2</v>
      </c>
    </row>
    <row r="15" spans="1:8" x14ac:dyDescent="0.25">
      <c r="B15" s="27" t="s">
        <v>420</v>
      </c>
      <c r="C15" s="37">
        <v>48000</v>
      </c>
      <c r="D15" s="333">
        <f t="shared" si="2"/>
        <v>0.02</v>
      </c>
      <c r="E15" s="37">
        <v>60000</v>
      </c>
      <c r="F15" s="333">
        <f t="shared" si="0"/>
        <v>2.2727272727272728E-2</v>
      </c>
      <c r="G15" s="37">
        <f t="shared" si="3"/>
        <v>-12000</v>
      </c>
      <c r="H15" s="333">
        <f t="shared" si="1"/>
        <v>-0.25</v>
      </c>
    </row>
    <row r="16" spans="1:8" x14ac:dyDescent="0.25">
      <c r="B16" s="27" t="s">
        <v>421</v>
      </c>
      <c r="C16" s="35">
        <v>36000</v>
      </c>
      <c r="D16" s="335">
        <f t="shared" si="2"/>
        <v>1.4999999999999999E-2</v>
      </c>
      <c r="E16" s="35">
        <v>32000</v>
      </c>
      <c r="F16" s="335">
        <f t="shared" si="0"/>
        <v>1.2121212121212121E-2</v>
      </c>
      <c r="G16" s="35">
        <f t="shared" si="3"/>
        <v>4000</v>
      </c>
      <c r="H16" s="335">
        <f t="shared" si="1"/>
        <v>0.1111111111111111</v>
      </c>
    </row>
    <row r="17" spans="1:8" x14ac:dyDescent="0.25">
      <c r="B17" s="27" t="s">
        <v>364</v>
      </c>
      <c r="C17" s="37">
        <f>SUM(C12:C16)</f>
        <v>560000</v>
      </c>
      <c r="D17" s="333">
        <f t="shared" si="2"/>
        <v>0.23333333333333334</v>
      </c>
      <c r="E17" s="37">
        <f>SUM(E12:E16)</f>
        <v>615000</v>
      </c>
      <c r="F17" s="333">
        <f t="shared" si="0"/>
        <v>0.23295454545454544</v>
      </c>
      <c r="G17" s="37">
        <f t="shared" si="3"/>
        <v>-55000</v>
      </c>
      <c r="H17" s="333">
        <f t="shared" si="1"/>
        <v>-9.8214285714285712E-2</v>
      </c>
    </row>
    <row r="18" spans="1:8" x14ac:dyDescent="0.25">
      <c r="B18" s="27" t="s">
        <v>48</v>
      </c>
      <c r="C18" s="37">
        <f>C8+C17</f>
        <v>2240000</v>
      </c>
      <c r="D18" s="333">
        <f t="shared" si="2"/>
        <v>0.93333333333333335</v>
      </c>
      <c r="E18" s="37">
        <f>E8+E17</f>
        <v>2365000</v>
      </c>
      <c r="F18" s="333">
        <f t="shared" si="0"/>
        <v>0.89583333333333337</v>
      </c>
      <c r="G18" s="37">
        <f t="shared" si="3"/>
        <v>-125000</v>
      </c>
      <c r="H18" s="333">
        <f t="shared" si="1"/>
        <v>-5.5803571428571432E-2</v>
      </c>
    </row>
    <row r="19" spans="1:8" x14ac:dyDescent="0.25">
      <c r="B19" s="27" t="s">
        <v>310</v>
      </c>
      <c r="C19" s="41">
        <f>C9-C17</f>
        <v>160000</v>
      </c>
      <c r="D19" s="344">
        <f t="shared" si="2"/>
        <v>6.6666666666666666E-2</v>
      </c>
      <c r="E19" s="41">
        <f>E9-E17</f>
        <v>275000</v>
      </c>
      <c r="F19" s="344">
        <f t="shared" si="0"/>
        <v>0.10416666666666667</v>
      </c>
      <c r="G19" s="41">
        <f>E19-C19</f>
        <v>115000</v>
      </c>
      <c r="H19" s="344">
        <f t="shared" si="1"/>
        <v>0.71875</v>
      </c>
    </row>
    <row r="21" spans="1:8" x14ac:dyDescent="0.25">
      <c r="A21" s="27" t="s">
        <v>13</v>
      </c>
    </row>
    <row r="22" spans="1:8" x14ac:dyDescent="0.25">
      <c r="B22" s="349" t="s">
        <v>422</v>
      </c>
    </row>
    <row r="24" spans="1:8" x14ac:dyDescent="0.25">
      <c r="A24" s="27" t="s">
        <v>193</v>
      </c>
    </row>
    <row r="25" spans="1:8" x14ac:dyDescent="0.25">
      <c r="A25" s="25"/>
      <c r="B25" s="144" t="s">
        <v>410</v>
      </c>
      <c r="D25" s="27">
        <f>E7</f>
        <v>2640000</v>
      </c>
    </row>
    <row r="26" spans="1:8" x14ac:dyDescent="0.25">
      <c r="A26" s="25" t="s">
        <v>316</v>
      </c>
      <c r="B26" s="25" t="s">
        <v>411</v>
      </c>
      <c r="D26" s="27">
        <v>60000</v>
      </c>
    </row>
    <row r="27" spans="1:8" x14ac:dyDescent="0.25">
      <c r="A27" s="25" t="s">
        <v>308</v>
      </c>
      <c r="B27" s="346" t="s">
        <v>412</v>
      </c>
      <c r="C27" s="48"/>
      <c r="D27" s="48">
        <f>SUM(D25:D26)</f>
        <v>2700000</v>
      </c>
    </row>
    <row r="29" spans="1:8" x14ac:dyDescent="0.25">
      <c r="B29" s="349" t="s">
        <v>423</v>
      </c>
      <c r="D29" s="27">
        <f>D27*0.7</f>
        <v>1889999.9999999998</v>
      </c>
    </row>
    <row r="30" spans="1:8" x14ac:dyDescent="0.25">
      <c r="A30" s="27" t="s">
        <v>306</v>
      </c>
      <c r="B30" s="349" t="s">
        <v>424</v>
      </c>
      <c r="D30" s="27">
        <f>E8</f>
        <v>1750000</v>
      </c>
    </row>
    <row r="31" spans="1:8" x14ac:dyDescent="0.25">
      <c r="A31" s="27" t="s">
        <v>308</v>
      </c>
      <c r="B31" s="48" t="s">
        <v>196</v>
      </c>
      <c r="C31" s="48"/>
      <c r="D31" s="48">
        <f>D29-D30</f>
        <v>139999.99999999977</v>
      </c>
    </row>
    <row r="33" spans="1:2" x14ac:dyDescent="0.25">
      <c r="B33" s="351" t="s">
        <v>425</v>
      </c>
    </row>
    <row r="34" spans="1:2" x14ac:dyDescent="0.25">
      <c r="B34" s="349" t="s">
        <v>426</v>
      </c>
    </row>
    <row r="35" spans="1:2" x14ac:dyDescent="0.25">
      <c r="B35" s="349" t="s">
        <v>427</v>
      </c>
    </row>
    <row r="37" spans="1:2" x14ac:dyDescent="0.25">
      <c r="A37" s="27" t="s">
        <v>293</v>
      </c>
      <c r="B37" s="351" t="s">
        <v>428</v>
      </c>
    </row>
    <row r="38" spans="1:2" ht="15.6" x14ac:dyDescent="0.3">
      <c r="B38" s="350" t="s">
        <v>354</v>
      </c>
    </row>
    <row r="39" spans="1:2" x14ac:dyDescent="0.25">
      <c r="B39" s="351" t="s">
        <v>429</v>
      </c>
    </row>
    <row r="41" spans="1:2" ht="15.6" x14ac:dyDescent="0.3">
      <c r="B41" s="350" t="s">
        <v>430</v>
      </c>
    </row>
    <row r="42" spans="1:2" x14ac:dyDescent="0.25">
      <c r="B42" s="27" t="s">
        <v>431</v>
      </c>
    </row>
    <row r="43" spans="1:2" x14ac:dyDescent="0.25">
      <c r="B43" s="351" t="s">
        <v>432</v>
      </c>
    </row>
    <row r="45" spans="1:2" ht="15.6" x14ac:dyDescent="0.3">
      <c r="B45" s="350" t="s">
        <v>433</v>
      </c>
    </row>
    <row r="46" spans="1:2" x14ac:dyDescent="0.25">
      <c r="B46" s="27" t="s">
        <v>434</v>
      </c>
    </row>
    <row r="48" spans="1:2" ht="15.6" x14ac:dyDescent="0.3">
      <c r="B48" s="350" t="s">
        <v>435</v>
      </c>
    </row>
    <row r="49" spans="2:2" x14ac:dyDescent="0.25">
      <c r="B49" s="27" t="s">
        <v>436</v>
      </c>
    </row>
    <row r="51" spans="2:2" ht="15.6" x14ac:dyDescent="0.3">
      <c r="B51" s="350" t="s">
        <v>437</v>
      </c>
    </row>
    <row r="52" spans="2:2" x14ac:dyDescent="0.25">
      <c r="B52" s="27" t="s">
        <v>438</v>
      </c>
    </row>
  </sheetData>
  <mergeCells count="3">
    <mergeCell ref="C5:D5"/>
    <mergeCell ref="E5:F5"/>
    <mergeCell ref="G5:H5"/>
  </mergeCells>
  <pageMargins left="0.75" right="0.75" top="1" bottom="1" header="0.5" footer="0.5"/>
  <pageSetup paperSize="9" scale="89" orientation="portrait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26"/>
  <sheetViews>
    <sheetView workbookViewId="0"/>
  </sheetViews>
  <sheetFormatPr baseColWidth="10" defaultColWidth="11.44140625" defaultRowHeight="15" x14ac:dyDescent="0.25"/>
  <cols>
    <col min="1" max="1" width="2.44140625" style="27" customWidth="1"/>
    <col min="2" max="2" width="26.44140625" style="27" customWidth="1"/>
    <col min="3" max="16384" width="11.44140625" style="27"/>
  </cols>
  <sheetData>
    <row r="1" spans="1:5" ht="15.6" x14ac:dyDescent="0.3">
      <c r="A1" s="8" t="s">
        <v>439</v>
      </c>
    </row>
    <row r="3" spans="1:5" ht="15.6" x14ac:dyDescent="0.3">
      <c r="A3" s="347" t="str">
        <f>'7,8'!A3</f>
        <v>Klikk på cellene for å se utregningen.</v>
      </c>
    </row>
    <row r="5" spans="1:5" x14ac:dyDescent="0.25">
      <c r="A5" s="27" t="s">
        <v>12</v>
      </c>
      <c r="B5" s="27" t="s">
        <v>416</v>
      </c>
      <c r="C5" s="135" t="s">
        <v>134</v>
      </c>
      <c r="D5" s="135" t="s">
        <v>440</v>
      </c>
      <c r="E5" s="135" t="s">
        <v>441</v>
      </c>
    </row>
    <row r="6" spans="1:5" x14ac:dyDescent="0.25">
      <c r="B6" s="27" t="s">
        <v>19</v>
      </c>
      <c r="C6" s="27">
        <f>SUM(D6:E6)</f>
        <v>228400</v>
      </c>
      <c r="D6" s="27">
        <v>65800</v>
      </c>
      <c r="E6" s="27">
        <v>162600</v>
      </c>
    </row>
    <row r="7" spans="1:5" x14ac:dyDescent="0.25">
      <c r="A7" s="27" t="s">
        <v>306</v>
      </c>
      <c r="B7" s="352" t="s">
        <v>307</v>
      </c>
      <c r="C7" s="46">
        <f>SUM(D7:E7)</f>
        <v>150800</v>
      </c>
      <c r="D7" s="46">
        <v>46100</v>
      </c>
      <c r="E7" s="46">
        <v>104700</v>
      </c>
    </row>
    <row r="8" spans="1:5" x14ac:dyDescent="0.25">
      <c r="A8" s="27" t="s">
        <v>308</v>
      </c>
      <c r="B8" s="27" t="s">
        <v>309</v>
      </c>
      <c r="C8" s="27">
        <f>SUM(D8:E8)</f>
        <v>77600</v>
      </c>
      <c r="D8" s="27">
        <f>D6-D7</f>
        <v>19700</v>
      </c>
      <c r="E8" s="27">
        <f>E6-E7</f>
        <v>57900</v>
      </c>
    </row>
    <row r="9" spans="1:5" x14ac:dyDescent="0.25">
      <c r="A9" s="27" t="s">
        <v>306</v>
      </c>
      <c r="B9" s="352" t="s">
        <v>442</v>
      </c>
      <c r="C9" s="46">
        <f>SUM(D9:E9)</f>
        <v>9400</v>
      </c>
      <c r="D9" s="46">
        <v>3100</v>
      </c>
      <c r="E9" s="46">
        <v>6300</v>
      </c>
    </row>
    <row r="10" spans="1:5" x14ac:dyDescent="0.25">
      <c r="A10" s="27" t="s">
        <v>308</v>
      </c>
      <c r="B10" s="27" t="s">
        <v>443</v>
      </c>
      <c r="C10" s="27">
        <f>C8-C9</f>
        <v>68200</v>
      </c>
      <c r="D10" s="48">
        <f>D8-D9</f>
        <v>16600</v>
      </c>
      <c r="E10" s="48">
        <f>E8-E9</f>
        <v>51600</v>
      </c>
    </row>
    <row r="11" spans="1:5" x14ac:dyDescent="0.25">
      <c r="A11" s="27" t="s">
        <v>306</v>
      </c>
      <c r="B11" s="27" t="s">
        <v>282</v>
      </c>
      <c r="C11" s="27">
        <v>53500</v>
      </c>
    </row>
    <row r="12" spans="1:5" x14ac:dyDescent="0.25">
      <c r="A12" s="27" t="s">
        <v>308</v>
      </c>
      <c r="B12" s="48" t="s">
        <v>310</v>
      </c>
      <c r="C12" s="48">
        <f>C10-C11</f>
        <v>14700</v>
      </c>
    </row>
    <row r="14" spans="1:5" x14ac:dyDescent="0.25">
      <c r="A14" s="27" t="s">
        <v>13</v>
      </c>
      <c r="B14" s="27" t="s">
        <v>444</v>
      </c>
      <c r="C14" s="353">
        <f>C10/C6</f>
        <v>0.29859894921190894</v>
      </c>
      <c r="D14" s="353">
        <f>D10/D6</f>
        <v>0.25227963525835867</v>
      </c>
      <c r="E14" s="353">
        <f>E10/E6</f>
        <v>0.31734317343173429</v>
      </c>
    </row>
    <row r="16" spans="1:5" x14ac:dyDescent="0.25">
      <c r="B16" s="27" t="s">
        <v>445</v>
      </c>
      <c r="C16" s="27">
        <f>C11/C14</f>
        <v>179170.08797653959</v>
      </c>
      <c r="D16" s="27" t="s">
        <v>446</v>
      </c>
    </row>
    <row r="17" spans="1:5" x14ac:dyDescent="0.25">
      <c r="B17" s="27" t="s">
        <v>447</v>
      </c>
      <c r="C17" s="27">
        <f>C6-C16</f>
        <v>49229.912023460405</v>
      </c>
      <c r="D17" s="27" t="s">
        <v>448</v>
      </c>
    </row>
    <row r="18" spans="1:5" x14ac:dyDescent="0.25">
      <c r="B18" s="27" t="s">
        <v>449</v>
      </c>
      <c r="C18" s="353">
        <f>C17/C6</f>
        <v>0.21554252199413487</v>
      </c>
      <c r="D18" s="27" t="s">
        <v>450</v>
      </c>
    </row>
    <row r="20" spans="1:5" x14ac:dyDescent="0.25">
      <c r="A20" s="27" t="s">
        <v>193</v>
      </c>
      <c r="B20" s="349" t="s">
        <v>451</v>
      </c>
    </row>
    <row r="21" spans="1:5" x14ac:dyDescent="0.25">
      <c r="B21" s="27" t="s">
        <v>452</v>
      </c>
    </row>
    <row r="23" spans="1:5" x14ac:dyDescent="0.25">
      <c r="B23" s="354" t="s">
        <v>453</v>
      </c>
      <c r="C23" s="27" t="s">
        <v>454</v>
      </c>
      <c r="D23" s="27" t="s">
        <v>455</v>
      </c>
      <c r="E23" s="27" t="s">
        <v>456</v>
      </c>
    </row>
    <row r="24" spans="1:5" x14ac:dyDescent="0.25">
      <c r="B24" s="27">
        <f>C24</f>
        <v>0</v>
      </c>
      <c r="C24" s="27">
        <v>0</v>
      </c>
      <c r="D24" s="27">
        <v>0</v>
      </c>
      <c r="E24" s="27">
        <f>C11</f>
        <v>53500</v>
      </c>
    </row>
    <row r="25" spans="1:5" x14ac:dyDescent="0.25">
      <c r="B25" s="27">
        <f>C25</f>
        <v>179170.08797653959</v>
      </c>
      <c r="C25" s="27">
        <f>C16</f>
        <v>179170.08797653959</v>
      </c>
      <c r="D25" s="27">
        <f>E25-E24</f>
        <v>125670.08797653959</v>
      </c>
      <c r="E25" s="27">
        <f>C25</f>
        <v>179170.08797653959</v>
      </c>
    </row>
    <row r="26" spans="1:5" x14ac:dyDescent="0.25">
      <c r="B26" s="27">
        <f>C26</f>
        <v>228400</v>
      </c>
      <c r="C26" s="27">
        <f>C6</f>
        <v>228400</v>
      </c>
      <c r="D26" s="27">
        <f>C7+C9</f>
        <v>160200</v>
      </c>
      <c r="E26" s="27">
        <f>D26+C11</f>
        <v>213700</v>
      </c>
    </row>
  </sheetData>
  <pageMargins left="0.75" right="0.75" top="1" bottom="1" header="0.5" footer="0.5"/>
  <pageSetup paperSize="9" orientation="portrait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1"/>
  <sheetViews>
    <sheetView workbookViewId="0"/>
  </sheetViews>
  <sheetFormatPr baseColWidth="10" defaultColWidth="11.44140625" defaultRowHeight="15" x14ac:dyDescent="0.25"/>
  <cols>
    <col min="1" max="1" width="2.44140625" style="27" customWidth="1"/>
    <col min="2" max="2" width="32.77734375" style="27" customWidth="1"/>
    <col min="3" max="16384" width="11.44140625" style="27"/>
  </cols>
  <sheetData>
    <row r="1" spans="1:5" ht="15.6" x14ac:dyDescent="0.3">
      <c r="A1" s="8" t="s">
        <v>457</v>
      </c>
    </row>
    <row r="3" spans="1:5" ht="15.6" x14ac:dyDescent="0.3">
      <c r="A3" s="347" t="str">
        <f>'7,8'!A3</f>
        <v>Klikk på cellene for å se utregningen.</v>
      </c>
    </row>
    <row r="5" spans="1:5" x14ac:dyDescent="0.25">
      <c r="A5" s="27" t="s">
        <v>12</v>
      </c>
      <c r="B5" s="355" t="s">
        <v>458</v>
      </c>
      <c r="C5" s="189" t="s">
        <v>134</v>
      </c>
      <c r="D5" s="189" t="s">
        <v>459</v>
      </c>
      <c r="E5" s="189" t="s">
        <v>460</v>
      </c>
    </row>
    <row r="6" spans="1:5" x14ac:dyDescent="0.25">
      <c r="B6" s="27" t="s">
        <v>19</v>
      </c>
      <c r="C6" s="37">
        <f>SUM(D6:E6)</f>
        <v>700000</v>
      </c>
      <c r="D6" s="37">
        <v>480000</v>
      </c>
      <c r="E6" s="37">
        <v>220000</v>
      </c>
    </row>
    <row r="7" spans="1:5" x14ac:dyDescent="0.25">
      <c r="A7" s="27" t="s">
        <v>306</v>
      </c>
      <c r="B7" s="352" t="s">
        <v>307</v>
      </c>
      <c r="C7" s="35">
        <f>SUM(D7:E7)</f>
        <v>353000</v>
      </c>
      <c r="D7" s="35">
        <v>235000</v>
      </c>
      <c r="E7" s="35">
        <v>118000</v>
      </c>
    </row>
    <row r="8" spans="1:5" x14ac:dyDescent="0.25">
      <c r="A8" s="27" t="s">
        <v>308</v>
      </c>
      <c r="B8" s="27" t="s">
        <v>309</v>
      </c>
      <c r="C8" s="37">
        <f>SUM(D8:E8)</f>
        <v>347000</v>
      </c>
      <c r="D8" s="37">
        <f>D6-D7</f>
        <v>245000</v>
      </c>
      <c r="E8" s="37">
        <f>E6-E7</f>
        <v>102000</v>
      </c>
    </row>
    <row r="9" spans="1:5" ht="15.6" x14ac:dyDescent="0.3">
      <c r="A9" s="27" t="s">
        <v>306</v>
      </c>
      <c r="B9" s="356" t="s">
        <v>461</v>
      </c>
      <c r="C9" s="37"/>
      <c r="D9" s="37"/>
      <c r="E9" s="37"/>
    </row>
    <row r="10" spans="1:5" x14ac:dyDescent="0.25">
      <c r="B10" s="27" t="s">
        <v>462</v>
      </c>
      <c r="C10" s="37">
        <f>SUM(D10:E10)</f>
        <v>21000</v>
      </c>
      <c r="D10" s="37">
        <v>18000</v>
      </c>
      <c r="E10" s="37">
        <v>3000</v>
      </c>
    </row>
    <row r="11" spans="1:5" x14ac:dyDescent="0.25">
      <c r="B11" s="27" t="s">
        <v>463</v>
      </c>
      <c r="C11" s="37">
        <f>SUM(D11:E11)</f>
        <v>6800</v>
      </c>
      <c r="D11" s="37">
        <v>4100</v>
      </c>
      <c r="E11" s="37">
        <v>2700</v>
      </c>
    </row>
    <row r="12" spans="1:5" x14ac:dyDescent="0.25">
      <c r="B12" s="27" t="s">
        <v>464</v>
      </c>
      <c r="C12" s="37">
        <f>SUM(D12:E12)</f>
        <v>9500</v>
      </c>
      <c r="D12" s="37">
        <v>9500</v>
      </c>
      <c r="E12" s="37"/>
    </row>
    <row r="13" spans="1:5" x14ac:dyDescent="0.25">
      <c r="B13" s="349" t="s">
        <v>465</v>
      </c>
      <c r="C13" s="37">
        <f>SUM(D13:E13)</f>
        <v>4600</v>
      </c>
      <c r="D13" s="37"/>
      <c r="E13" s="37">
        <v>4600</v>
      </c>
    </row>
    <row r="14" spans="1:5" x14ac:dyDescent="0.25">
      <c r="B14" s="46" t="s">
        <v>466</v>
      </c>
      <c r="C14" s="35">
        <f>SUM(C10:C13)</f>
        <v>41900</v>
      </c>
      <c r="D14" s="35">
        <f>SUM(D10:D13)</f>
        <v>31600</v>
      </c>
      <c r="E14" s="35">
        <f>SUM(E10:E13)</f>
        <v>10300</v>
      </c>
    </row>
    <row r="15" spans="1:5" x14ac:dyDescent="0.25">
      <c r="A15" s="27" t="s">
        <v>308</v>
      </c>
      <c r="B15" s="349" t="s">
        <v>443</v>
      </c>
      <c r="C15" s="37">
        <f>C8-C14</f>
        <v>305100</v>
      </c>
      <c r="D15" s="35">
        <f>D8-D14</f>
        <v>213400</v>
      </c>
      <c r="E15" s="35">
        <f>E8-E14</f>
        <v>91700</v>
      </c>
    </row>
    <row r="16" spans="1:5" ht="15.6" x14ac:dyDescent="0.3">
      <c r="A16" s="27" t="s">
        <v>306</v>
      </c>
      <c r="B16" s="356" t="s">
        <v>467</v>
      </c>
      <c r="C16" s="37"/>
    </row>
    <row r="17" spans="1:5" x14ac:dyDescent="0.25">
      <c r="B17" s="27" t="str">
        <f>B10</f>
        <v>Lønn og sosiale kostnader</v>
      </c>
      <c r="C17" s="37">
        <v>95000</v>
      </c>
    </row>
    <row r="18" spans="1:5" x14ac:dyDescent="0.25">
      <c r="B18" s="27" t="s">
        <v>355</v>
      </c>
      <c r="C18" s="37">
        <v>14000</v>
      </c>
    </row>
    <row r="19" spans="1:5" x14ac:dyDescent="0.25">
      <c r="B19" s="27" t="s">
        <v>468</v>
      </c>
      <c r="C19" s="37">
        <v>41300</v>
      </c>
    </row>
    <row r="20" spans="1:5" x14ac:dyDescent="0.25">
      <c r="B20" s="27" t="str">
        <f>B12</f>
        <v>Div. kostnader klær</v>
      </c>
      <c r="C20" s="37">
        <v>52800</v>
      </c>
    </row>
    <row r="21" spans="1:5" x14ac:dyDescent="0.25">
      <c r="B21" s="27" t="str">
        <f>B13</f>
        <v>Div. kostnader skotøy</v>
      </c>
      <c r="C21" s="37">
        <v>27900</v>
      </c>
    </row>
    <row r="22" spans="1:5" x14ac:dyDescent="0.25">
      <c r="B22" s="349" t="s">
        <v>469</v>
      </c>
      <c r="C22" s="37">
        <v>7500</v>
      </c>
    </row>
    <row r="23" spans="1:5" x14ac:dyDescent="0.25">
      <c r="B23" s="46" t="s">
        <v>341</v>
      </c>
      <c r="C23" s="35">
        <v>5000</v>
      </c>
    </row>
    <row r="24" spans="1:5" x14ac:dyDescent="0.25">
      <c r="B24" s="27" t="s">
        <v>470</v>
      </c>
      <c r="C24" s="37">
        <f>SUM(C17:C23)</f>
        <v>243500</v>
      </c>
    </row>
    <row r="25" spans="1:5" x14ac:dyDescent="0.25">
      <c r="A25" s="27" t="s">
        <v>308</v>
      </c>
      <c r="B25" s="48" t="s">
        <v>310</v>
      </c>
      <c r="C25" s="41">
        <f>C15-C24</f>
        <v>61600</v>
      </c>
    </row>
    <row r="27" spans="1:5" x14ac:dyDescent="0.25">
      <c r="A27" s="27" t="s">
        <v>13</v>
      </c>
      <c r="B27" s="27" t="s">
        <v>471</v>
      </c>
      <c r="C27" s="353">
        <f>C8/C6</f>
        <v>0.49571428571428572</v>
      </c>
      <c r="D27" s="353">
        <f>D8/D6</f>
        <v>0.51041666666666663</v>
      </c>
      <c r="E27" s="353">
        <f>E8/E6</f>
        <v>0.46363636363636362</v>
      </c>
    </row>
    <row r="28" spans="1:5" x14ac:dyDescent="0.25">
      <c r="B28" s="27" t="s">
        <v>444</v>
      </c>
      <c r="C28" s="353">
        <f>C15/C6</f>
        <v>0.43585714285714283</v>
      </c>
      <c r="D28" s="353">
        <f>D15/D6</f>
        <v>0.44458333333333333</v>
      </c>
      <c r="E28" s="353">
        <f>E15/E6</f>
        <v>0.41681818181818181</v>
      </c>
    </row>
    <row r="29" spans="1:5" x14ac:dyDescent="0.25">
      <c r="B29" s="27" t="s">
        <v>472</v>
      </c>
      <c r="C29" s="353">
        <f>C14/C7</f>
        <v>0.11869688385269121</v>
      </c>
      <c r="D29" s="353">
        <f>D14/D7</f>
        <v>0.13446808510638297</v>
      </c>
      <c r="E29" s="353">
        <f>E14/E7</f>
        <v>8.7288135593220337E-2</v>
      </c>
    </row>
    <row r="31" spans="1:5" x14ac:dyDescent="0.25">
      <c r="B31" s="27" t="s">
        <v>445</v>
      </c>
      <c r="C31" s="27">
        <f>C24/C28</f>
        <v>558669.28875778441</v>
      </c>
      <c r="D31" s="349" t="s">
        <v>473</v>
      </c>
    </row>
    <row r="32" spans="1:5" x14ac:dyDescent="0.25">
      <c r="B32" s="27" t="s">
        <v>447</v>
      </c>
      <c r="C32" s="27">
        <f>C6-C31</f>
        <v>141330.71124221559</v>
      </c>
      <c r="D32" s="349" t="s">
        <v>474</v>
      </c>
    </row>
    <row r="33" spans="1:5" x14ac:dyDescent="0.25">
      <c r="B33" s="27" t="s">
        <v>449</v>
      </c>
      <c r="C33" s="353">
        <f>C32/C6</f>
        <v>0.201901016060308</v>
      </c>
      <c r="D33" s="349" t="s">
        <v>475</v>
      </c>
    </row>
    <row r="35" spans="1:5" x14ac:dyDescent="0.25">
      <c r="A35" s="27" t="s">
        <v>193</v>
      </c>
      <c r="B35" s="349" t="s">
        <v>451</v>
      </c>
    </row>
    <row r="36" spans="1:5" x14ac:dyDescent="0.25">
      <c r="B36" s="27" t="s">
        <v>452</v>
      </c>
    </row>
    <row r="38" spans="1:5" x14ac:dyDescent="0.25">
      <c r="B38" s="354" t="s">
        <v>453</v>
      </c>
      <c r="C38" s="27" t="s">
        <v>454</v>
      </c>
      <c r="D38" s="27" t="s">
        <v>455</v>
      </c>
      <c r="E38" s="27" t="s">
        <v>456</v>
      </c>
    </row>
    <row r="39" spans="1:5" x14ac:dyDescent="0.25">
      <c r="B39" s="27">
        <f>C39</f>
        <v>0</v>
      </c>
      <c r="C39" s="27">
        <v>0</v>
      </c>
      <c r="D39" s="27">
        <v>0</v>
      </c>
      <c r="E39" s="27">
        <f>C24</f>
        <v>243500</v>
      </c>
    </row>
    <row r="40" spans="1:5" x14ac:dyDescent="0.25">
      <c r="B40" s="27">
        <f>C40</f>
        <v>558669.28875778441</v>
      </c>
      <c r="C40" s="27">
        <f>C31</f>
        <v>558669.28875778441</v>
      </c>
      <c r="D40" s="27">
        <f>E40-E39</f>
        <v>315169.28875778441</v>
      </c>
      <c r="E40" s="27">
        <f>C40</f>
        <v>558669.28875778441</v>
      </c>
    </row>
    <row r="41" spans="1:5" x14ac:dyDescent="0.25">
      <c r="B41" s="27">
        <f>C41</f>
        <v>700000</v>
      </c>
      <c r="C41" s="27">
        <f>C6</f>
        <v>700000</v>
      </c>
      <c r="D41" s="27">
        <f>C7+C14</f>
        <v>394900</v>
      </c>
      <c r="E41" s="27">
        <f>D41+E39</f>
        <v>638400</v>
      </c>
    </row>
  </sheetData>
  <pageMargins left="0.75" right="0.75" top="1" bottom="1" header="0.5" footer="0.5"/>
  <pageSetup paperSize="9" orientation="portrait"/>
  <headerFooter alignWithMargins="0">
    <oddHeader>&amp;A</oddHeader>
    <oddFooter>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23</vt:i4>
      </vt:variant>
      <vt:variant>
        <vt:lpstr>Diagrammer</vt:lpstr>
      </vt:variant>
      <vt:variant>
        <vt:i4>2</vt:i4>
      </vt:variant>
    </vt:vector>
  </HeadingPairs>
  <TitlesOfParts>
    <vt:vector size="25" baseType="lpstr">
      <vt:lpstr>7,1-2</vt:lpstr>
      <vt:lpstr>7,3</vt:lpstr>
      <vt:lpstr>7,4</vt:lpstr>
      <vt:lpstr>7,5-6</vt:lpstr>
      <vt:lpstr>7,7</vt:lpstr>
      <vt:lpstr>7,8</vt:lpstr>
      <vt:lpstr>7,9</vt:lpstr>
      <vt:lpstr>7,10</vt:lpstr>
      <vt:lpstr>7,11</vt:lpstr>
      <vt:lpstr>7,12</vt:lpstr>
      <vt:lpstr>7,13-14</vt:lpstr>
      <vt:lpstr>7,15</vt:lpstr>
      <vt:lpstr>7,16</vt:lpstr>
      <vt:lpstr>7,17</vt:lpstr>
      <vt:lpstr>7,18</vt:lpstr>
      <vt:lpstr>7,19</vt:lpstr>
      <vt:lpstr>7,20</vt:lpstr>
      <vt:lpstr>7,21</vt:lpstr>
      <vt:lpstr>7,22</vt:lpstr>
      <vt:lpstr>7,23</vt:lpstr>
      <vt:lpstr>7,23 avviksanalyse</vt:lpstr>
      <vt:lpstr>7,24</vt:lpstr>
      <vt:lpstr>7,25</vt:lpstr>
      <vt:lpstr>Diagram 7,10</vt:lpstr>
      <vt:lpstr>Diagram 7,11</vt:lpstr>
    </vt:vector>
  </TitlesOfParts>
  <Company>HVE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It-fellestjenester</dc:creator>
  <cp:lastModifiedBy>Trond Winther</cp:lastModifiedBy>
  <cp:lastPrinted>2006-08-15T15:59:40Z</cp:lastPrinted>
  <dcterms:created xsi:type="dcterms:W3CDTF">2006-01-13T13:38:20Z</dcterms:created>
  <dcterms:modified xsi:type="dcterms:W3CDTF">2019-10-28T13:03:48Z</dcterms:modified>
</cp:coreProperties>
</file>