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Mine dokumenter\Lærebok finans\7. utgave\Excel løsninger\"/>
    </mc:Choice>
  </mc:AlternateContent>
  <xr:revisionPtr revIDLastSave="0" documentId="13_ncr:1_{C5944A8B-7A16-4EAD-9A1C-6B7ED294F6DB}" xr6:coauthVersionLast="47" xr6:coauthVersionMax="47" xr10:uidLastSave="{00000000-0000-0000-0000-000000000000}"/>
  <bookViews>
    <workbookView xWindow="-120" yWindow="-120" windowWidth="38640" windowHeight="21120" activeTab="8" xr2:uid="{00000000-000D-0000-FFFF-FFFF00000000}"/>
  </bookViews>
  <sheets>
    <sheet name="Opp 1" sheetId="1" r:id="rId1"/>
    <sheet name="Opp 2" sheetId="2" r:id="rId2"/>
    <sheet name="Opp 3" sheetId="3" r:id="rId3"/>
    <sheet name="Opp 4" sheetId="5" r:id="rId4"/>
    <sheet name="Opp 5" sheetId="6" r:id="rId5"/>
    <sheet name="Opp 6" sheetId="7" r:id="rId6"/>
    <sheet name="Opp 7" sheetId="8" r:id="rId7"/>
    <sheet name="Opp 8" sheetId="9" r:id="rId8"/>
    <sheet name="Opp 9" sheetId="10" r:id="rId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10" l="1"/>
  <c r="D35" i="10"/>
  <c r="C35" i="10"/>
  <c r="B37" i="10"/>
  <c r="D37" i="10"/>
  <c r="C37" i="10"/>
  <c r="B32" i="10"/>
  <c r="D28" i="10"/>
  <c r="E28" i="10"/>
  <c r="C28" i="10"/>
  <c r="E29" i="10"/>
  <c r="B29" i="10"/>
  <c r="B30" i="10" s="1"/>
  <c r="E27" i="10"/>
  <c r="E30" i="10" s="1"/>
  <c r="D27" i="10"/>
  <c r="D30" i="10" s="1"/>
  <c r="C27" i="10"/>
  <c r="C30" i="10" s="1"/>
  <c r="B24" i="10"/>
  <c r="E8" i="10"/>
  <c r="B8" i="10"/>
  <c r="C9" i="10"/>
  <c r="E9" i="10"/>
  <c r="B9" i="10"/>
  <c r="D7" i="10"/>
  <c r="D9" i="10" s="1"/>
  <c r="E7" i="10"/>
  <c r="C7" i="10"/>
  <c r="B12" i="5"/>
  <c r="B6" i="9"/>
  <c r="B28" i="9"/>
  <c r="B16" i="9"/>
  <c r="F14" i="9"/>
  <c r="E14" i="9"/>
  <c r="D14" i="9"/>
  <c r="C14" i="9"/>
  <c r="F12" i="9"/>
  <c r="E12" i="9"/>
  <c r="D12" i="9"/>
  <c r="C12" i="9"/>
  <c r="C11" i="9"/>
  <c r="C13" i="9" s="1"/>
  <c r="C16" i="9" s="1"/>
  <c r="E4" i="9"/>
  <c r="D4" i="9"/>
  <c r="C4" i="9"/>
  <c r="E3" i="9"/>
  <c r="F11" i="9" s="1"/>
  <c r="F13" i="9" s="1"/>
  <c r="F16" i="9" s="1"/>
  <c r="D3" i="9"/>
  <c r="E11" i="9" s="1"/>
  <c r="E13" i="9" s="1"/>
  <c r="E16" i="9" s="1"/>
  <c r="C3" i="9"/>
  <c r="D11" i="9" s="1"/>
  <c r="D13" i="9" s="1"/>
  <c r="D16" i="9" s="1"/>
  <c r="B12" i="10" l="1"/>
  <c r="B11" i="10"/>
  <c r="B14" i="10" s="1"/>
  <c r="B15" i="10" s="1"/>
  <c r="B19" i="9"/>
  <c r="B18" i="9"/>
  <c r="B17" i="10" l="1"/>
  <c r="B18" i="10" s="1"/>
  <c r="B21" i="9"/>
  <c r="B23" i="9" s="1"/>
  <c r="B29" i="9"/>
  <c r="B30" i="9" s="1"/>
  <c r="B25" i="9"/>
  <c r="B32" i="9" l="1"/>
  <c r="B33" i="9" s="1"/>
  <c r="B26" i="9"/>
  <c r="B20" i="8"/>
  <c r="L13" i="8"/>
  <c r="K13" i="8"/>
  <c r="J13" i="8"/>
  <c r="I13" i="8"/>
  <c r="H13" i="8"/>
  <c r="G13" i="8"/>
  <c r="F13" i="8"/>
  <c r="E13" i="8"/>
  <c r="D13" i="8"/>
  <c r="C13" i="8"/>
  <c r="L12" i="8"/>
  <c r="K12" i="8"/>
  <c r="J12" i="8"/>
  <c r="I12" i="8"/>
  <c r="H12" i="8"/>
  <c r="G12" i="8"/>
  <c r="F12" i="8"/>
  <c r="E12" i="8"/>
  <c r="D12" i="8"/>
  <c r="C12" i="8"/>
  <c r="L11" i="8"/>
  <c r="L14" i="8" s="1"/>
  <c r="K11" i="8"/>
  <c r="K14" i="8" s="1"/>
  <c r="J11" i="8"/>
  <c r="I11" i="8"/>
  <c r="I14" i="8" s="1"/>
  <c r="H11" i="8"/>
  <c r="G11" i="8"/>
  <c r="G14" i="8" s="1"/>
  <c r="F11" i="8"/>
  <c r="E11" i="8"/>
  <c r="D11" i="8"/>
  <c r="D14" i="8" s="1"/>
  <c r="C11" i="8"/>
  <c r="C14" i="8" s="1"/>
  <c r="B10" i="8"/>
  <c r="B14" i="8"/>
  <c r="B26" i="7"/>
  <c r="I17" i="7"/>
  <c r="B29" i="7" s="1"/>
  <c r="B17" i="7"/>
  <c r="B18" i="7"/>
  <c r="I16" i="7"/>
  <c r="H16" i="7"/>
  <c r="G16" i="7"/>
  <c r="F16" i="7"/>
  <c r="E16" i="7"/>
  <c r="D16" i="7"/>
  <c r="C16" i="7"/>
  <c r="I15" i="7"/>
  <c r="H15" i="7"/>
  <c r="G15" i="7"/>
  <c r="F15" i="7"/>
  <c r="E15" i="7"/>
  <c r="D15" i="7"/>
  <c r="C15" i="7"/>
  <c r="I14" i="7"/>
  <c r="H14" i="7"/>
  <c r="G14" i="7"/>
  <c r="F14" i="7"/>
  <c r="E14" i="7"/>
  <c r="D14" i="7"/>
  <c r="C14" i="7"/>
  <c r="C3" i="1"/>
  <c r="D3" i="1"/>
  <c r="E3" i="1"/>
  <c r="F3" i="1"/>
  <c r="G3" i="1"/>
  <c r="H3" i="1"/>
  <c r="I3" i="1"/>
  <c r="J3" i="1"/>
  <c r="K3" i="1"/>
  <c r="L3" i="1"/>
  <c r="C4" i="1"/>
  <c r="D4" i="1"/>
  <c r="E4" i="1"/>
  <c r="F4" i="1"/>
  <c r="F6" i="1" s="1"/>
  <c r="G4" i="1"/>
  <c r="H4" i="1"/>
  <c r="I4" i="1"/>
  <c r="J4" i="1"/>
  <c r="K4" i="1"/>
  <c r="L4" i="1"/>
  <c r="C5" i="1"/>
  <c r="B6" i="1"/>
  <c r="C6" i="1"/>
  <c r="G6" i="1"/>
  <c r="J6" i="1"/>
  <c r="K6" i="1"/>
  <c r="B16" i="1"/>
  <c r="C16" i="1" s="1"/>
  <c r="D16" i="1" s="1"/>
  <c r="B17" i="1"/>
  <c r="C17" i="1" s="1"/>
  <c r="D17" i="1" s="1"/>
  <c r="B18" i="1"/>
  <c r="C18" i="1" s="1"/>
  <c r="D18" i="1" s="1"/>
  <c r="E18" i="1" s="1"/>
  <c r="D19" i="1"/>
  <c r="D20" i="1" s="1"/>
  <c r="B21" i="1"/>
  <c r="C21" i="1" s="1"/>
  <c r="D21" i="1" s="1"/>
  <c r="E21" i="1" s="1"/>
  <c r="B10" i="2"/>
  <c r="B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B11" i="3"/>
  <c r="G11" i="3"/>
  <c r="B12" i="3"/>
  <c r="G12" i="3"/>
  <c r="C13" i="3"/>
  <c r="D13" i="3"/>
  <c r="E13" i="3"/>
  <c r="F13" i="3"/>
  <c r="G13" i="3"/>
  <c r="C14" i="3"/>
  <c r="D14" i="3"/>
  <c r="E14" i="3"/>
  <c r="F14" i="3"/>
  <c r="G14" i="3"/>
  <c r="C15" i="3"/>
  <c r="D15" i="3"/>
  <c r="E15" i="3"/>
  <c r="F15" i="3"/>
  <c r="G15" i="3"/>
  <c r="B8" i="5"/>
  <c r="B9" i="5"/>
  <c r="B11" i="5" s="1"/>
  <c r="B6" i="6"/>
  <c r="B8" i="6" s="1"/>
  <c r="D6" i="6"/>
  <c r="A7" i="6"/>
  <c r="C7" i="6"/>
  <c r="A8" i="6"/>
  <c r="C8" i="6"/>
  <c r="D8" i="6"/>
  <c r="B9" i="6"/>
  <c r="B13" i="6" s="1"/>
  <c r="B15" i="6" s="1"/>
  <c r="B18" i="6" s="1"/>
  <c r="B20" i="6" s="1"/>
  <c r="D9" i="6"/>
  <c r="A19" i="6"/>
  <c r="A20" i="6"/>
  <c r="B21" i="6"/>
  <c r="D18" i="7" l="1"/>
  <c r="F18" i="7"/>
  <c r="G18" i="7"/>
  <c r="C18" i="7"/>
  <c r="B20" i="7" s="1"/>
  <c r="I18" i="7"/>
  <c r="H18" i="7"/>
  <c r="D10" i="6"/>
  <c r="B10" i="6"/>
  <c r="D16" i="3"/>
  <c r="F16" i="3"/>
  <c r="C16" i="3"/>
  <c r="B16" i="3"/>
  <c r="L6" i="1"/>
  <c r="H6" i="1"/>
  <c r="D6" i="1"/>
  <c r="E18" i="7"/>
  <c r="J14" i="8"/>
  <c r="E16" i="3"/>
  <c r="B15" i="2"/>
  <c r="E20" i="1"/>
  <c r="E17" i="1"/>
  <c r="E14" i="8"/>
  <c r="G16" i="3"/>
  <c r="E16" i="1"/>
  <c r="F14" i="8"/>
  <c r="H14" i="8"/>
  <c r="B22" i="6"/>
  <c r="F15" i="2"/>
  <c r="B16" i="2" s="1"/>
  <c r="B18" i="2" s="1"/>
  <c r="B19" i="1"/>
  <c r="C19" i="1" s="1"/>
  <c r="E19" i="1" s="1"/>
  <c r="I6" i="1"/>
  <c r="E6" i="1"/>
  <c r="B7" i="1" s="1"/>
  <c r="B25" i="8"/>
  <c r="B18" i="3"/>
  <c r="B17" i="3"/>
  <c r="B21" i="7"/>
  <c r="B17" i="8" l="1"/>
  <c r="B16" i="8"/>
  <c r="B19" i="8" s="1"/>
  <c r="B17" i="2"/>
  <c r="B21" i="8"/>
  <c r="B23" i="8"/>
  <c r="B23" i="7"/>
  <c r="B24" i="7" s="1"/>
  <c r="B25" i="7" s="1"/>
  <c r="B27" i="7" s="1"/>
  <c r="B30" i="7"/>
  <c r="B31" i="7" s="1"/>
  <c r="B33" i="7" s="1"/>
  <c r="B21" i="2"/>
  <c r="B24" i="2"/>
  <c r="B22" i="2"/>
  <c r="B23" i="2"/>
  <c r="B19" i="3"/>
  <c r="B23" i="3"/>
  <c r="C23" i="2" l="1"/>
  <c r="D23" i="2"/>
  <c r="C23" i="3"/>
  <c r="D23" i="3"/>
  <c r="C24" i="2"/>
  <c r="D24" i="2"/>
  <c r="C22" i="2"/>
  <c r="D22" i="2"/>
  <c r="B25" i="3"/>
  <c r="B22" i="3"/>
  <c r="B24" i="3"/>
  <c r="C21" i="2"/>
  <c r="D21" i="2"/>
  <c r="C24" i="3" l="1"/>
  <c r="D24" i="3"/>
  <c r="C22" i="3"/>
  <c r="D22" i="3"/>
  <c r="C25" i="3"/>
  <c r="D25" i="3"/>
</calcChain>
</file>

<file path=xl/sharedStrings.xml><?xml version="1.0" encoding="utf-8"?>
<sst xmlns="http://schemas.openxmlformats.org/spreadsheetml/2006/main" count="224" uniqueCount="107">
  <si>
    <t>År</t>
  </si>
  <si>
    <t>Investering</t>
  </si>
  <si>
    <t>Omsetning</t>
  </si>
  <si>
    <t>Variable kostnader</t>
  </si>
  <si>
    <t>Faste kostnader</t>
  </si>
  <si>
    <t>Kontantstrøm</t>
  </si>
  <si>
    <t>Internrente</t>
  </si>
  <si>
    <t>Salgspris</t>
  </si>
  <si>
    <t>Variabel kostnader</t>
  </si>
  <si>
    <t>Mengde</t>
  </si>
  <si>
    <t>Variabel</t>
  </si>
  <si>
    <t>Utgangsverdi</t>
  </si>
  <si>
    <t>10 % endring</t>
  </si>
  <si>
    <t>Salgsvolum</t>
  </si>
  <si>
    <t>Investeringsutgift</t>
  </si>
  <si>
    <t>Levetid (år)</t>
  </si>
  <si>
    <t>Basiskalkyle</t>
  </si>
  <si>
    <t>Vek</t>
  </si>
  <si>
    <t>Kvantum</t>
  </si>
  <si>
    <t>Anleggsmidler</t>
  </si>
  <si>
    <t>Arbeidskapital</t>
  </si>
  <si>
    <t>Avkastningskrav</t>
  </si>
  <si>
    <t>Nåverdi</t>
  </si>
  <si>
    <t>Endring</t>
  </si>
  <si>
    <t>Kritisk verdi</t>
  </si>
  <si>
    <t>%-endring</t>
  </si>
  <si>
    <t>Endring i salgspris</t>
  </si>
  <si>
    <t>Endring i vek</t>
  </si>
  <si>
    <t>Endring i kvantum</t>
  </si>
  <si>
    <t>Endring i fast kostnad</t>
  </si>
  <si>
    <t>Restverdi</t>
  </si>
  <si>
    <t>Endring arbeidskap</t>
  </si>
  <si>
    <t>Gammelt utstyr</t>
  </si>
  <si>
    <t>Lønnskostnad</t>
  </si>
  <si>
    <t>Automatleie</t>
  </si>
  <si>
    <t>Netto investert</t>
  </si>
  <si>
    <t>Besparelse</t>
  </si>
  <si>
    <t>Nåverdiannuitet</t>
  </si>
  <si>
    <t>Lønnsomhet lite anlegg</t>
  </si>
  <si>
    <t>Lønnsomhet stort anlegg</t>
  </si>
  <si>
    <t>Maks kapasitet</t>
  </si>
  <si>
    <t>Levetid</t>
  </si>
  <si>
    <t>Lritisk netto innbet. pr. år</t>
  </si>
  <si>
    <t>Kritisk netto innbet. pr år</t>
  </si>
  <si>
    <t>Dekningsbidrag pr. enhet</t>
  </si>
  <si>
    <t>Kritisk volum</t>
  </si>
  <si>
    <t>Valg mellom et stort eller et lite anlegg</t>
  </si>
  <si>
    <t>Maks nåverdi lite anlegg</t>
  </si>
  <si>
    <t>Investering stort anlegg</t>
  </si>
  <si>
    <t>Driften bør gi en nåverdi</t>
  </si>
  <si>
    <t xml:space="preserve">For at et stort anlegg er mer lønnsomt enn </t>
  </si>
  <si>
    <t>et lite anlegg</t>
  </si>
  <si>
    <t>Pris</t>
  </si>
  <si>
    <t>Dager</t>
  </si>
  <si>
    <t>Belegg</t>
  </si>
  <si>
    <t>Markedsføring</t>
  </si>
  <si>
    <t>Dekningsbidrag</t>
  </si>
  <si>
    <t>Kritisk red cashflow</t>
  </si>
  <si>
    <t>Laveste cashflow</t>
  </si>
  <si>
    <t>Tilsvarer døgn:</t>
  </si>
  <si>
    <t>Døgn full kapasitet</t>
  </si>
  <si>
    <t>Kritisk belegg</t>
  </si>
  <si>
    <t>Budsjettert verdi</t>
  </si>
  <si>
    <t>Kan falle med</t>
  </si>
  <si>
    <t>Laveste salgspris</t>
  </si>
  <si>
    <t>Årlig verdistigning</t>
  </si>
  <si>
    <t>Antall hybler</t>
  </si>
  <si>
    <t>Leie pr mnd</t>
  </si>
  <si>
    <t xml:space="preserve">Mnd </t>
  </si>
  <si>
    <t>Vedlikehold</t>
  </si>
  <si>
    <t>Vaktmester</t>
  </si>
  <si>
    <t>Avkastningsk</t>
  </si>
  <si>
    <t>Leieinntekt</t>
  </si>
  <si>
    <t>Årlig leie</t>
  </si>
  <si>
    <t>Kritisk fall</t>
  </si>
  <si>
    <t>Kostnader kan øke med</t>
  </si>
  <si>
    <t>Verdi 2 år til med utleie</t>
  </si>
  <si>
    <t>Dekningsgrad</t>
  </si>
  <si>
    <t>Variabel enhetskostnad</t>
  </si>
  <si>
    <t>Dekningsbisrag pr. enhet</t>
  </si>
  <si>
    <t>Faste kostnader kan øke til</t>
  </si>
  <si>
    <t>Pris anleggsmiddel kan falle med</t>
  </si>
  <si>
    <t>Laveste salgspris anleggsmiddel</t>
  </si>
  <si>
    <t>Nåverdi volum</t>
  </si>
  <si>
    <t>Pris kan falle med</t>
  </si>
  <si>
    <t>Laveste pris</t>
  </si>
  <si>
    <t>Årlig nåverdiannuitet</t>
  </si>
  <si>
    <t>Volum år 4 kan falle med</t>
  </si>
  <si>
    <t>Laveste volum år 4</t>
  </si>
  <si>
    <t>NNV</t>
  </si>
  <si>
    <t>Årlig innbetalingsoverskudd</t>
  </si>
  <si>
    <t>Innbetalingsoverskudd</t>
  </si>
  <si>
    <t>lønnsomt</t>
  </si>
  <si>
    <t>a)</t>
  </si>
  <si>
    <t>Salgsverdi kan falle med</t>
  </si>
  <si>
    <t>Laveste salgsverdi</t>
  </si>
  <si>
    <t>b)</t>
  </si>
  <si>
    <t>evt. målsøke</t>
  </si>
  <si>
    <t>Laveste årlig innebtaling</t>
  </si>
  <si>
    <t>c)</t>
  </si>
  <si>
    <t>Redusert salg</t>
  </si>
  <si>
    <t>Variable enhetskostnader</t>
  </si>
  <si>
    <t>Tapt dekningsbidrag</t>
  </si>
  <si>
    <t>d)</t>
  </si>
  <si>
    <t>ikke lønnsomt</t>
  </si>
  <si>
    <t>e)</t>
  </si>
  <si>
    <t>lønnsomt å fortsette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</si>
</sst>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.00_ ;_ * \-#,##0.00_ ;_ * &quot;-&quot;??_ ;_ @_ "/>
    <numFmt numFmtId="165" formatCode="_ * #,##0.0_ ;_ * \-#,##0.0_ ;_ * &quot;-&quot;??_ ;_ @_ "/>
    <numFmt numFmtId="166" formatCode="_ * #,##0_ ;_ * \-#,##0_ ;_ * &quot;-&quot;??_ ;_ @_ "/>
    <numFmt numFmtId="167" formatCode="0.0\ %"/>
    <numFmt numFmtId="168" formatCode="0.0"/>
    <numFmt numFmtId="169" formatCode="0&quot; år&quot;"/>
    <numFmt numFmtId="170" formatCode="#,##0.0"/>
    <numFmt numFmtId="171" formatCode="_-* #,##0_-;\-* #,##0_-;_-* &quot;-&quot;??_-;_-@_-"/>
  </numFmts>
  <fonts count="8" x14ac:knownFonts="1">
    <font>
      <sz val="10"/>
      <name val="Arial"/>
    </font>
    <font>
      <sz val="10"/>
      <name val="Arial"/>
      <family val="2"/>
    </font>
    <font>
      <i/>
      <sz val="10"/>
      <name val="MS Sans Serif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4">
    <xf numFmtId="0" fontId="0" fillId="0" borderId="0" xfId="0"/>
    <xf numFmtId="164" fontId="0" fillId="0" borderId="0" xfId="1" applyFont="1"/>
    <xf numFmtId="0" fontId="0" fillId="2" borderId="1" xfId="0" applyFill="1" applyBorder="1" applyAlignment="1">
      <alignment horizontal="center"/>
    </xf>
    <xf numFmtId="166" fontId="0" fillId="3" borderId="1" xfId="1" applyNumberFormat="1" applyFont="1" applyFill="1" applyBorder="1"/>
    <xf numFmtId="0" fontId="0" fillId="2" borderId="2" xfId="0" applyFill="1" applyBorder="1" applyAlignment="1">
      <alignment horizontal="left"/>
    </xf>
    <xf numFmtId="0" fontId="0" fillId="3" borderId="2" xfId="0" applyFill="1" applyBorder="1"/>
    <xf numFmtId="3" fontId="0" fillId="0" borderId="3" xfId="0" applyNumberFormat="1" applyBorder="1"/>
    <xf numFmtId="0" fontId="0" fillId="0" borderId="3" xfId="0" applyBorder="1"/>
    <xf numFmtId="166" fontId="0" fillId="0" borderId="3" xfId="1" applyNumberFormat="1" applyFont="1" applyBorder="1"/>
    <xf numFmtId="10" fontId="0" fillId="4" borderId="4" xfId="0" applyNumberFormat="1" applyFill="1" applyBorder="1"/>
    <xf numFmtId="10" fontId="0" fillId="4" borderId="5" xfId="0" applyNumberFormat="1" applyFill="1" applyBorder="1"/>
    <xf numFmtId="0" fontId="0" fillId="5" borderId="4" xfId="0" applyFill="1" applyBorder="1"/>
    <xf numFmtId="0" fontId="0" fillId="5" borderId="5" xfId="0" applyFill="1" applyBorder="1"/>
    <xf numFmtId="0" fontId="0" fillId="4" borderId="4" xfId="0" applyFill="1" applyBorder="1"/>
    <xf numFmtId="0" fontId="0" fillId="4" borderId="3" xfId="0" applyFill="1" applyBorder="1"/>
    <xf numFmtId="3" fontId="0" fillId="4" borderId="3" xfId="0" applyNumberFormat="1" applyFill="1" applyBorder="1"/>
    <xf numFmtId="3" fontId="0" fillId="4" borderId="5" xfId="0" applyNumberFormat="1" applyFill="1" applyBorder="1"/>
    <xf numFmtId="0" fontId="0" fillId="5" borderId="3" xfId="0" applyFill="1" applyBorder="1"/>
    <xf numFmtId="0" fontId="0" fillId="2" borderId="1" xfId="0" applyFill="1" applyBorder="1"/>
    <xf numFmtId="168" fontId="0" fillId="4" borderId="4" xfId="0" applyNumberFormat="1" applyFill="1" applyBorder="1"/>
    <xf numFmtId="10" fontId="0" fillId="4" borderId="3" xfId="0" applyNumberFormat="1" applyFill="1" applyBorder="1"/>
    <xf numFmtId="0" fontId="0" fillId="4" borderId="3" xfId="0" applyFill="1" applyBorder="1" applyAlignment="1">
      <alignment horizontal="right"/>
    </xf>
    <xf numFmtId="168" fontId="0" fillId="4" borderId="3" xfId="0" applyNumberFormat="1" applyFill="1" applyBorder="1"/>
    <xf numFmtId="168" fontId="0" fillId="4" borderId="6" xfId="0" applyNumberFormat="1" applyFill="1" applyBorder="1"/>
    <xf numFmtId="168" fontId="0" fillId="4" borderId="7" xfId="0" applyNumberFormat="1" applyFill="1" applyBorder="1"/>
    <xf numFmtId="3" fontId="0" fillId="4" borderId="7" xfId="0" applyNumberFormat="1" applyFill="1" applyBorder="1"/>
    <xf numFmtId="0" fontId="0" fillId="2" borderId="4" xfId="0" applyFill="1" applyBorder="1"/>
    <xf numFmtId="0" fontId="0" fillId="4" borderId="7" xfId="0" applyFill="1" applyBorder="1" applyAlignment="1">
      <alignment horizontal="right"/>
    </xf>
    <xf numFmtId="3" fontId="0" fillId="4" borderId="8" xfId="0" applyNumberFormat="1" applyFill="1" applyBorder="1"/>
    <xf numFmtId="166" fontId="0" fillId="4" borderId="3" xfId="1" applyNumberFormat="1" applyFont="1" applyFill="1" applyBorder="1"/>
    <xf numFmtId="166" fontId="0" fillId="4" borderId="9" xfId="0" applyNumberFormat="1" applyFill="1" applyBorder="1"/>
    <xf numFmtId="3" fontId="0" fillId="4" borderId="0" xfId="0" applyNumberFormat="1" applyFill="1"/>
    <xf numFmtId="3" fontId="0" fillId="4" borderId="10" xfId="0" applyNumberFormat="1" applyFill="1" applyBorder="1"/>
    <xf numFmtId="9" fontId="0" fillId="0" borderId="0" xfId="0" applyNumberFormat="1"/>
    <xf numFmtId="3" fontId="0" fillId="2" borderId="1" xfId="0" applyNumberFormat="1" applyFill="1" applyBorder="1" applyAlignment="1">
      <alignment horizontal="center"/>
    </xf>
    <xf numFmtId="3" fontId="0" fillId="4" borderId="4" xfId="0" applyNumberFormat="1" applyFill="1" applyBorder="1"/>
    <xf numFmtId="9" fontId="0" fillId="4" borderId="5" xfId="0" applyNumberFormat="1" applyFill="1" applyBorder="1"/>
    <xf numFmtId="0" fontId="0" fillId="6" borderId="1" xfId="0" applyFill="1" applyBorder="1"/>
    <xf numFmtId="3" fontId="0" fillId="3" borderId="1" xfId="0" applyNumberFormat="1" applyFill="1" applyBorder="1"/>
    <xf numFmtId="166" fontId="0" fillId="4" borderId="4" xfId="1" applyNumberFormat="1" applyFont="1" applyFill="1" applyBorder="1"/>
    <xf numFmtId="164" fontId="0" fillId="4" borderId="3" xfId="0" applyNumberFormat="1" applyFill="1" applyBorder="1"/>
    <xf numFmtId="1" fontId="0" fillId="4" borderId="3" xfId="0" applyNumberFormat="1" applyFill="1" applyBorder="1"/>
    <xf numFmtId="166" fontId="0" fillId="4" borderId="5" xfId="0" applyNumberFormat="1" applyFill="1" applyBorder="1"/>
    <xf numFmtId="0" fontId="0" fillId="3" borderId="6" xfId="0" applyFill="1" applyBorder="1"/>
    <xf numFmtId="0" fontId="0" fillId="5" borderId="6" xfId="0" applyFill="1" applyBorder="1"/>
    <xf numFmtId="0" fontId="0" fillId="5" borderId="7" xfId="0" applyFill="1" applyBorder="1"/>
    <xf numFmtId="3" fontId="0" fillId="3" borderId="4" xfId="0" applyNumberFormat="1" applyFill="1" applyBorder="1"/>
    <xf numFmtId="167" fontId="0" fillId="4" borderId="3" xfId="0" applyNumberFormat="1" applyFill="1" applyBorder="1"/>
    <xf numFmtId="166" fontId="0" fillId="4" borderId="5" xfId="1" applyNumberFormat="1" applyFont="1" applyFill="1" applyBorder="1"/>
    <xf numFmtId="166" fontId="0" fillId="4" borderId="3" xfId="0" applyNumberFormat="1" applyFill="1" applyBorder="1"/>
    <xf numFmtId="166" fontId="0" fillId="4" borderId="5" xfId="0" applyNumberFormat="1" applyFill="1" applyBorder="1" applyAlignment="1">
      <alignment horizontal="right"/>
    </xf>
    <xf numFmtId="1" fontId="0" fillId="4" borderId="3" xfId="0" applyNumberFormat="1" applyFill="1" applyBorder="1" applyAlignment="1">
      <alignment horizontal="right"/>
    </xf>
    <xf numFmtId="166" fontId="0" fillId="4" borderId="3" xfId="0" applyNumberFormat="1" applyFill="1" applyBorder="1" applyAlignment="1">
      <alignment horizontal="right"/>
    </xf>
    <xf numFmtId="167" fontId="0" fillId="4" borderId="3" xfId="2" applyNumberFormat="1" applyFont="1" applyFill="1" applyBorder="1"/>
    <xf numFmtId="10" fontId="0" fillId="4" borderId="3" xfId="2" applyNumberFormat="1" applyFont="1" applyFill="1" applyBorder="1"/>
    <xf numFmtId="10" fontId="0" fillId="4" borderId="5" xfId="2" applyNumberFormat="1" applyFont="1" applyFill="1" applyBorder="1"/>
    <xf numFmtId="165" fontId="0" fillId="4" borderId="3" xfId="0" applyNumberFormat="1" applyFill="1" applyBorder="1" applyAlignment="1">
      <alignment horizontal="right"/>
    </xf>
    <xf numFmtId="164" fontId="0" fillId="4" borderId="3" xfId="1" applyFont="1" applyFill="1" applyBorder="1" applyAlignment="1">
      <alignment horizontal="right"/>
    </xf>
    <xf numFmtId="166" fontId="0" fillId="4" borderId="3" xfId="1" applyNumberFormat="1" applyFont="1" applyFill="1" applyBorder="1" applyAlignment="1">
      <alignment horizontal="right"/>
    </xf>
    <xf numFmtId="166" fontId="0" fillId="3" borderId="4" xfId="1" applyNumberFormat="1" applyFont="1" applyFill="1" applyBorder="1"/>
    <xf numFmtId="166" fontId="0" fillId="3" borderId="5" xfId="1" applyNumberFormat="1" applyFont="1" applyFill="1" applyBorder="1"/>
    <xf numFmtId="1" fontId="2" fillId="0" borderId="0" xfId="0" applyNumberFormat="1" applyFont="1"/>
    <xf numFmtId="0" fontId="0" fillId="3" borderId="1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169" fontId="0" fillId="4" borderId="3" xfId="0" applyNumberFormat="1" applyFill="1" applyBorder="1"/>
    <xf numFmtId="9" fontId="0" fillId="4" borderId="3" xfId="0" applyNumberFormat="1" applyFill="1" applyBorder="1"/>
    <xf numFmtId="0" fontId="3" fillId="2" borderId="2" xfId="0" applyFont="1" applyFill="1" applyBorder="1"/>
    <xf numFmtId="0" fontId="4" fillId="2" borderId="11" xfId="0" applyFont="1" applyFill="1" applyBorder="1"/>
    <xf numFmtId="0" fontId="0" fillId="2" borderId="12" xfId="0" applyFill="1" applyBorder="1"/>
    <xf numFmtId="1" fontId="0" fillId="4" borderId="5" xfId="0" applyNumberFormat="1" applyFill="1" applyBorder="1"/>
    <xf numFmtId="0" fontId="0" fillId="2" borderId="11" xfId="0" applyFill="1" applyBorder="1"/>
    <xf numFmtId="0" fontId="5" fillId="5" borderId="3" xfId="0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3" fontId="0" fillId="0" borderId="0" xfId="0" applyNumberFormat="1"/>
    <xf numFmtId="167" fontId="0" fillId="0" borderId="0" xfId="0" applyNumberFormat="1"/>
    <xf numFmtId="9" fontId="0" fillId="0" borderId="0" xfId="2" applyFont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0" borderId="5" xfId="0" applyBorder="1"/>
    <xf numFmtId="3" fontId="0" fillId="0" borderId="5" xfId="0" applyNumberFormat="1" applyBorder="1"/>
    <xf numFmtId="0" fontId="0" fillId="7" borderId="1" xfId="0" applyFill="1" applyBorder="1"/>
    <xf numFmtId="3" fontId="0" fillId="7" borderId="1" xfId="0" applyNumberFormat="1" applyFill="1" applyBorder="1"/>
    <xf numFmtId="167" fontId="0" fillId="4" borderId="5" xfId="2" applyNumberFormat="1" applyFont="1" applyFill="1" applyBorder="1"/>
    <xf numFmtId="0" fontId="0" fillId="5" borderId="10" xfId="0" applyFill="1" applyBorder="1"/>
    <xf numFmtId="0" fontId="0" fillId="0" borderId="10" xfId="0" applyBorder="1"/>
    <xf numFmtId="3" fontId="0" fillId="0" borderId="10" xfId="0" applyNumberFormat="1" applyBorder="1"/>
    <xf numFmtId="0" fontId="1" fillId="2" borderId="5" xfId="0" applyFont="1" applyFill="1" applyBorder="1"/>
    <xf numFmtId="0" fontId="0" fillId="8" borderId="4" xfId="0" applyFill="1" applyBorder="1"/>
    <xf numFmtId="0" fontId="0" fillId="8" borderId="3" xfId="0" applyFill="1" applyBorder="1"/>
    <xf numFmtId="3" fontId="0" fillId="8" borderId="3" xfId="0" applyNumberFormat="1" applyFill="1" applyBorder="1"/>
    <xf numFmtId="9" fontId="0" fillId="8" borderId="5" xfId="2" applyFont="1" applyFill="1" applyBorder="1"/>
    <xf numFmtId="0" fontId="0" fillId="9" borderId="4" xfId="0" applyFill="1" applyBorder="1"/>
    <xf numFmtId="0" fontId="0" fillId="9" borderId="3" xfId="0" applyFill="1" applyBorder="1"/>
    <xf numFmtId="3" fontId="0" fillId="9" borderId="3" xfId="0" applyNumberFormat="1" applyFill="1" applyBorder="1"/>
    <xf numFmtId="9" fontId="0" fillId="9" borderId="5" xfId="2" applyFont="1" applyFill="1" applyBorder="1"/>
    <xf numFmtId="0" fontId="0" fillId="10" borderId="4" xfId="0" applyFill="1" applyBorder="1"/>
    <xf numFmtId="0" fontId="0" fillId="10" borderId="3" xfId="0" applyFill="1" applyBorder="1"/>
    <xf numFmtId="0" fontId="0" fillId="10" borderId="5" xfId="0" applyFill="1" applyBorder="1"/>
    <xf numFmtId="0" fontId="0" fillId="5" borderId="10" xfId="0" applyFill="1" applyBorder="1" applyAlignment="1">
      <alignment horizontal="center"/>
    </xf>
    <xf numFmtId="0" fontId="0" fillId="7" borderId="11" xfId="0" applyFill="1" applyBorder="1"/>
    <xf numFmtId="3" fontId="0" fillId="7" borderId="11" xfId="0" applyNumberFormat="1" applyFill="1" applyBorder="1"/>
    <xf numFmtId="166" fontId="1" fillId="3" borderId="1" xfId="1" applyNumberFormat="1" applyFont="1" applyFill="1" applyBorder="1"/>
    <xf numFmtId="0" fontId="1" fillId="0" borderId="0" xfId="0" applyFont="1"/>
    <xf numFmtId="3" fontId="4" fillId="4" borderId="3" xfId="0" applyNumberFormat="1" applyFont="1" applyFill="1" applyBorder="1"/>
    <xf numFmtId="3" fontId="4" fillId="4" borderId="3" xfId="2" applyNumberFormat="1" applyFont="1" applyFill="1" applyBorder="1"/>
    <xf numFmtId="167" fontId="4" fillId="4" borderId="5" xfId="2" applyNumberFormat="1" applyFont="1" applyFill="1" applyBorder="1"/>
    <xf numFmtId="0" fontId="4" fillId="5" borderId="5" xfId="0" applyFont="1" applyFill="1" applyBorder="1"/>
    <xf numFmtId="3" fontId="4" fillId="4" borderId="5" xfId="0" applyNumberFormat="1" applyFont="1" applyFill="1" applyBorder="1"/>
    <xf numFmtId="0" fontId="4" fillId="5" borderId="1" xfId="0" applyFont="1" applyFill="1" applyBorder="1"/>
    <xf numFmtId="167" fontId="4" fillId="4" borderId="1" xfId="2" applyNumberFormat="1" applyFont="1" applyFill="1" applyBorder="1"/>
    <xf numFmtId="0" fontId="6" fillId="11" borderId="2" xfId="0" applyFont="1" applyFill="1" applyBorder="1"/>
    <xf numFmtId="0" fontId="6" fillId="11" borderId="1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171" fontId="0" fillId="0" borderId="0" xfId="1" applyNumberFormat="1" applyFont="1"/>
    <xf numFmtId="0" fontId="6" fillId="12" borderId="10" xfId="0" applyFont="1" applyFill="1" applyBorder="1"/>
    <xf numFmtId="0" fontId="6" fillId="12" borderId="10" xfId="0" applyFont="1" applyFill="1" applyBorder="1" applyAlignment="1">
      <alignment horizontal="center"/>
    </xf>
    <xf numFmtId="171" fontId="0" fillId="0" borderId="10" xfId="1" applyNumberFormat="1" applyFont="1" applyBorder="1"/>
    <xf numFmtId="0" fontId="0" fillId="13" borderId="11" xfId="0" applyFill="1" applyBorder="1"/>
    <xf numFmtId="171" fontId="0" fillId="13" borderId="11" xfId="1" applyNumberFormat="1" applyFont="1" applyFill="1" applyBorder="1"/>
    <xf numFmtId="0" fontId="3" fillId="2" borderId="11" xfId="0" applyFont="1" applyFill="1" applyBorder="1"/>
    <xf numFmtId="166" fontId="1" fillId="4" borderId="3" xfId="1" applyNumberFormat="1" applyFont="1" applyFill="1" applyBorder="1"/>
    <xf numFmtId="10" fontId="0" fillId="4" borderId="1" xfId="0" applyNumberFormat="1" applyFill="1" applyBorder="1"/>
    <xf numFmtId="0" fontId="1" fillId="5" borderId="8" xfId="0" applyFont="1" applyFill="1" applyBorder="1"/>
    <xf numFmtId="9" fontId="0" fillId="10" borderId="1" xfId="0" applyNumberFormat="1" applyFill="1" applyBorder="1"/>
    <xf numFmtId="0" fontId="0" fillId="10" borderId="1" xfId="0" applyFill="1" applyBorder="1"/>
    <xf numFmtId="0" fontId="0" fillId="0" borderId="4" xfId="0" applyBorder="1"/>
    <xf numFmtId="0" fontId="1" fillId="0" borderId="3" xfId="0" applyFont="1" applyBorder="1"/>
    <xf numFmtId="171" fontId="0" fillId="0" borderId="4" xfId="1" applyNumberFormat="1" applyFont="1" applyBorder="1"/>
    <xf numFmtId="171" fontId="0" fillId="0" borderId="3" xfId="1" applyNumberFormat="1" applyFont="1" applyBorder="1"/>
    <xf numFmtId="9" fontId="0" fillId="0" borderId="5" xfId="0" applyNumberFormat="1" applyBorder="1"/>
    <xf numFmtId="0" fontId="1" fillId="5" borderId="3" xfId="0" applyFont="1" applyFill="1" applyBorder="1"/>
    <xf numFmtId="0" fontId="1" fillId="9" borderId="5" xfId="0" applyFont="1" applyFill="1" applyBorder="1"/>
    <xf numFmtId="0" fontId="1" fillId="0" borderId="5" xfId="0" applyFont="1" applyBorder="1"/>
    <xf numFmtId="0" fontId="0" fillId="8" borderId="5" xfId="0" applyFill="1" applyBorder="1"/>
    <xf numFmtId="0" fontId="1" fillId="8" borderId="4" xfId="0" applyFont="1" applyFill="1" applyBorder="1"/>
    <xf numFmtId="0" fontId="0" fillId="8" borderId="1" xfId="0" applyFill="1" applyBorder="1"/>
    <xf numFmtId="3" fontId="0" fillId="14" borderId="4" xfId="0" applyNumberFormat="1" applyFill="1" applyBorder="1"/>
    <xf numFmtId="167" fontId="1" fillId="14" borderId="5" xfId="2" applyNumberFormat="1" applyFont="1" applyFill="1" applyBorder="1"/>
    <xf numFmtId="3" fontId="0" fillId="14" borderId="3" xfId="0" applyNumberFormat="1" applyFill="1" applyBorder="1"/>
    <xf numFmtId="170" fontId="0" fillId="14" borderId="5" xfId="0" applyNumberFormat="1" applyFill="1" applyBorder="1"/>
    <xf numFmtId="3" fontId="0" fillId="14" borderId="1" xfId="0" applyNumberFormat="1" applyFill="1" applyBorder="1"/>
    <xf numFmtId="0" fontId="6" fillId="14" borderId="4" xfId="0" applyFont="1" applyFill="1" applyBorder="1"/>
    <xf numFmtId="0" fontId="6" fillId="14" borderId="5" xfId="0" applyFont="1" applyFill="1" applyBorder="1"/>
    <xf numFmtId="171" fontId="6" fillId="15" borderId="4" xfId="0" applyNumberFormat="1" applyFont="1" applyFill="1" applyBorder="1"/>
    <xf numFmtId="10" fontId="6" fillId="15" borderId="5" xfId="0" applyNumberFormat="1" applyFont="1" applyFill="1" applyBorder="1"/>
    <xf numFmtId="0" fontId="1" fillId="10" borderId="1" xfId="0" applyFont="1" applyFill="1" applyBorder="1"/>
    <xf numFmtId="0" fontId="1" fillId="9" borderId="4" xfId="0" applyFont="1" applyFill="1" applyBorder="1"/>
    <xf numFmtId="0" fontId="1" fillId="9" borderId="3" xfId="0" applyFont="1" applyFill="1" applyBorder="1"/>
    <xf numFmtId="171" fontId="0" fillId="10" borderId="1" xfId="1" applyNumberFormat="1" applyFont="1" applyFill="1" applyBorder="1"/>
    <xf numFmtId="171" fontId="0" fillId="10" borderId="1" xfId="0" applyNumberFormat="1" applyFill="1" applyBorder="1"/>
    <xf numFmtId="166" fontId="0" fillId="9" borderId="4" xfId="1" applyNumberFormat="1" applyFont="1" applyFill="1" applyBorder="1"/>
    <xf numFmtId="166" fontId="0" fillId="9" borderId="5" xfId="0" applyNumberFormat="1" applyFill="1" applyBorder="1"/>
    <xf numFmtId="164" fontId="0" fillId="9" borderId="4" xfId="1" applyFont="1" applyFill="1" applyBorder="1"/>
    <xf numFmtId="2" fontId="0" fillId="9" borderId="3" xfId="0" applyNumberFormat="1" applyFill="1" applyBorder="1"/>
    <xf numFmtId="4" fontId="0" fillId="9" borderId="5" xfId="0" applyNumberFormat="1" applyFill="1" applyBorder="1"/>
    <xf numFmtId="3" fontId="0" fillId="9" borderId="5" xfId="0" applyNumberFormat="1" applyFill="1" applyBorder="1"/>
    <xf numFmtId="2" fontId="0" fillId="9" borderId="4" xfId="0" applyNumberFormat="1" applyFill="1" applyBorder="1"/>
    <xf numFmtId="0" fontId="7" fillId="0" borderId="0" xfId="0" applyFont="1"/>
    <xf numFmtId="3" fontId="7" fillId="9" borderId="4" xfId="0" applyNumberFormat="1" applyFont="1" applyFill="1" applyBorder="1"/>
    <xf numFmtId="3" fontId="7" fillId="9" borderId="3" xfId="0" applyNumberFormat="1" applyFont="1" applyFill="1" applyBorder="1"/>
    <xf numFmtId="9" fontId="7" fillId="9" borderId="5" xfId="0" applyNumberFormat="1" applyFont="1" applyFill="1" applyBorder="1"/>
    <xf numFmtId="0" fontId="7" fillId="10" borderId="4" xfId="0" applyFont="1" applyFill="1" applyBorder="1"/>
    <xf numFmtId="0" fontId="7" fillId="10" borderId="3" xfId="0" applyFont="1" applyFill="1" applyBorder="1"/>
    <xf numFmtId="0" fontId="7" fillId="10" borderId="5" xfId="0" applyFont="1" applyFill="1" applyBorder="1"/>
    <xf numFmtId="0" fontId="7" fillId="0" borderId="0" xfId="0" applyFont="1" applyAlignment="1">
      <alignment horizontal="center"/>
    </xf>
    <xf numFmtId="0" fontId="7" fillId="12" borderId="10" xfId="0" applyFont="1" applyFill="1" applyBorder="1"/>
    <xf numFmtId="0" fontId="7" fillId="12" borderId="10" xfId="0" applyFont="1" applyFill="1" applyBorder="1" applyAlignment="1">
      <alignment horizontal="center"/>
    </xf>
    <xf numFmtId="0" fontId="7" fillId="0" borderId="10" xfId="0" applyFont="1" applyBorder="1"/>
    <xf numFmtId="0" fontId="7" fillId="10" borderId="11" xfId="0" applyFont="1" applyFill="1" applyBorder="1"/>
    <xf numFmtId="166" fontId="7" fillId="0" borderId="0" xfId="1" applyNumberFormat="1" applyFont="1"/>
    <xf numFmtId="166" fontId="7" fillId="0" borderId="10" xfId="1" applyNumberFormat="1" applyFont="1" applyBorder="1"/>
    <xf numFmtId="166" fontId="7" fillId="10" borderId="11" xfId="1" applyNumberFormat="1" applyFont="1" applyFill="1" applyBorder="1"/>
    <xf numFmtId="0" fontId="7" fillId="9" borderId="5" xfId="0" applyFont="1" applyFill="1" applyBorder="1"/>
    <xf numFmtId="166" fontId="7" fillId="9" borderId="4" xfId="0" applyNumberFormat="1" applyFont="1" applyFill="1" applyBorder="1"/>
    <xf numFmtId="10" fontId="7" fillId="9" borderId="5" xfId="0" applyNumberFormat="1" applyFont="1" applyFill="1" applyBorder="1"/>
    <xf numFmtId="166" fontId="7" fillId="9" borderId="5" xfId="0" applyNumberFormat="1" applyFont="1" applyFill="1" applyBorder="1"/>
    <xf numFmtId="166" fontId="7" fillId="9" borderId="4" xfId="1" applyNumberFormat="1" applyFont="1" applyFill="1" applyBorder="1"/>
    <xf numFmtId="0" fontId="7" fillId="10" borderId="1" xfId="0" applyFont="1" applyFill="1" applyBorder="1"/>
    <xf numFmtId="0" fontId="7" fillId="9" borderId="3" xfId="0" applyFont="1" applyFill="1" applyBorder="1"/>
    <xf numFmtId="0" fontId="7" fillId="9" borderId="1" xfId="0" applyFont="1" applyFill="1" applyBorder="1"/>
    <xf numFmtId="166" fontId="7" fillId="14" borderId="1" xfId="0" applyNumberFormat="1" applyFont="1" applyFill="1" applyBorder="1"/>
    <xf numFmtId="166" fontId="7" fillId="9" borderId="1" xfId="0" applyNumberFormat="1" applyFont="1" applyFill="1" applyBorder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zoomScale="150" zoomScaleNormal="150" workbookViewId="0">
      <selection activeCell="M43" sqref="M43"/>
    </sheetView>
  </sheetViews>
  <sheetFormatPr baseColWidth="10" defaultColWidth="11.42578125" defaultRowHeight="12.75" x14ac:dyDescent="0.2"/>
  <cols>
    <col min="1" max="1" width="16.42578125" bestFit="1" customWidth="1"/>
    <col min="2" max="3" width="11.85546875" bestFit="1" customWidth="1"/>
    <col min="4" max="4" width="12.140625" bestFit="1" customWidth="1"/>
    <col min="5" max="12" width="9.28515625" customWidth="1"/>
  </cols>
  <sheetData>
    <row r="1" spans="1:12" x14ac:dyDescent="0.2">
      <c r="A1" s="4" t="s">
        <v>0</v>
      </c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</row>
    <row r="2" spans="1:12" x14ac:dyDescent="0.2">
      <c r="A2" t="s">
        <v>1</v>
      </c>
      <c r="B2" s="6">
        <v>-350000</v>
      </c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x14ac:dyDescent="0.2">
      <c r="A3" t="s">
        <v>2</v>
      </c>
      <c r="B3" s="7"/>
      <c r="C3" s="8">
        <f t="shared" ref="C3:L3" si="0">$B$9*$B$12</f>
        <v>400000</v>
      </c>
      <c r="D3" s="8">
        <f t="shared" si="0"/>
        <v>400000</v>
      </c>
      <c r="E3" s="8">
        <f t="shared" si="0"/>
        <v>400000</v>
      </c>
      <c r="F3" s="8">
        <f t="shared" si="0"/>
        <v>400000</v>
      </c>
      <c r="G3" s="8">
        <f t="shared" si="0"/>
        <v>400000</v>
      </c>
      <c r="H3" s="8">
        <f t="shared" si="0"/>
        <v>400000</v>
      </c>
      <c r="I3" s="8">
        <f t="shared" si="0"/>
        <v>400000</v>
      </c>
      <c r="J3" s="8">
        <f t="shared" si="0"/>
        <v>400000</v>
      </c>
      <c r="K3" s="8">
        <f t="shared" si="0"/>
        <v>400000</v>
      </c>
      <c r="L3" s="8">
        <f t="shared" si="0"/>
        <v>400000</v>
      </c>
    </row>
    <row r="4" spans="1:12" x14ac:dyDescent="0.2">
      <c r="A4" t="s">
        <v>3</v>
      </c>
      <c r="B4" s="7"/>
      <c r="C4" s="8">
        <f t="shared" ref="C4:L4" si="1">-$B$10*$B$12</f>
        <v>-300000</v>
      </c>
      <c r="D4" s="8">
        <f t="shared" si="1"/>
        <v>-300000</v>
      </c>
      <c r="E4" s="8">
        <f t="shared" si="1"/>
        <v>-300000</v>
      </c>
      <c r="F4" s="8">
        <f t="shared" si="1"/>
        <v>-300000</v>
      </c>
      <c r="G4" s="8">
        <f t="shared" si="1"/>
        <v>-300000</v>
      </c>
      <c r="H4" s="8">
        <f t="shared" si="1"/>
        <v>-300000</v>
      </c>
      <c r="I4" s="8">
        <f t="shared" si="1"/>
        <v>-300000</v>
      </c>
      <c r="J4" s="8">
        <f t="shared" si="1"/>
        <v>-300000</v>
      </c>
      <c r="K4" s="8">
        <f t="shared" si="1"/>
        <v>-300000</v>
      </c>
      <c r="L4" s="8">
        <f t="shared" si="1"/>
        <v>-300000</v>
      </c>
    </row>
    <row r="5" spans="1:12" x14ac:dyDescent="0.2">
      <c r="A5" t="s">
        <v>4</v>
      </c>
      <c r="B5" s="7"/>
      <c r="C5" s="6">
        <f>-B11</f>
        <v>-25000</v>
      </c>
      <c r="D5" s="6">
        <v>-25000</v>
      </c>
      <c r="E5" s="6">
        <v>-25000</v>
      </c>
      <c r="F5" s="6">
        <v>-25000</v>
      </c>
      <c r="G5" s="6">
        <v>-25000</v>
      </c>
      <c r="H5" s="6">
        <v>-25000</v>
      </c>
      <c r="I5" s="6">
        <v>-25000</v>
      </c>
      <c r="J5" s="6">
        <v>-25000</v>
      </c>
      <c r="K5" s="6">
        <v>-25000</v>
      </c>
      <c r="L5" s="6">
        <v>-25000</v>
      </c>
    </row>
    <row r="6" spans="1:12" x14ac:dyDescent="0.2">
      <c r="A6" s="5" t="s">
        <v>5</v>
      </c>
      <c r="B6" s="3">
        <f>SUM(B2:B5)</f>
        <v>-350000</v>
      </c>
      <c r="C6" s="3">
        <f t="shared" ref="C6:L6" si="2">SUM(C2:C5)</f>
        <v>75000</v>
      </c>
      <c r="D6" s="3">
        <f t="shared" si="2"/>
        <v>75000</v>
      </c>
      <c r="E6" s="3">
        <f t="shared" si="2"/>
        <v>75000</v>
      </c>
      <c r="F6" s="3">
        <f t="shared" si="2"/>
        <v>75000</v>
      </c>
      <c r="G6" s="3">
        <f t="shared" si="2"/>
        <v>75000</v>
      </c>
      <c r="H6" s="3">
        <f t="shared" si="2"/>
        <v>75000</v>
      </c>
      <c r="I6" s="3">
        <f t="shared" si="2"/>
        <v>75000</v>
      </c>
      <c r="J6" s="3">
        <f t="shared" si="2"/>
        <v>75000</v>
      </c>
      <c r="K6" s="3">
        <f t="shared" si="2"/>
        <v>75000</v>
      </c>
      <c r="L6" s="3">
        <f t="shared" si="2"/>
        <v>75000</v>
      </c>
    </row>
    <row r="7" spans="1:12" x14ac:dyDescent="0.2">
      <c r="A7" s="77" t="s">
        <v>6</v>
      </c>
      <c r="B7" s="123">
        <f>IRR(B6:L6)</f>
        <v>0.16952481422784094</v>
      </c>
    </row>
    <row r="9" spans="1:12" x14ac:dyDescent="0.2">
      <c r="A9" s="11" t="s">
        <v>7</v>
      </c>
      <c r="B9" s="13">
        <v>20</v>
      </c>
    </row>
    <row r="10" spans="1:12" x14ac:dyDescent="0.2">
      <c r="A10" s="17" t="s">
        <v>8</v>
      </c>
      <c r="B10" s="14">
        <v>15</v>
      </c>
    </row>
    <row r="11" spans="1:12" x14ac:dyDescent="0.2">
      <c r="A11" s="17" t="s">
        <v>4</v>
      </c>
      <c r="B11" s="15">
        <v>25000</v>
      </c>
    </row>
    <row r="12" spans="1:12" x14ac:dyDescent="0.2">
      <c r="A12" s="12" t="s">
        <v>9</v>
      </c>
      <c r="B12" s="16">
        <v>20000</v>
      </c>
    </row>
    <row r="15" spans="1:12" x14ac:dyDescent="0.2">
      <c r="A15" s="18" t="s">
        <v>10</v>
      </c>
      <c r="B15" s="18" t="s">
        <v>11</v>
      </c>
      <c r="C15" s="18" t="s">
        <v>12</v>
      </c>
      <c r="D15" s="18" t="s">
        <v>5</v>
      </c>
      <c r="E15" s="18" t="s">
        <v>6</v>
      </c>
    </row>
    <row r="16" spans="1:12" x14ac:dyDescent="0.2">
      <c r="A16" s="11" t="s">
        <v>7</v>
      </c>
      <c r="B16" s="23">
        <f>B9</f>
        <v>20</v>
      </c>
      <c r="C16" s="19">
        <f>B16*0.9</f>
        <v>18</v>
      </c>
      <c r="D16" s="30">
        <f>($C$16-$B$10)*$B$12-$B$11</f>
        <v>35000</v>
      </c>
      <c r="E16" s="9">
        <f>RATE($B$20,D16,$B$6)</f>
        <v>-7.3569439970623593E-10</v>
      </c>
    </row>
    <row r="17" spans="1:5" x14ac:dyDescent="0.2">
      <c r="A17" s="17" t="s">
        <v>3</v>
      </c>
      <c r="B17" s="24">
        <f>B10</f>
        <v>15</v>
      </c>
      <c r="C17" s="22">
        <f>B17*1.1</f>
        <v>16.5</v>
      </c>
      <c r="D17" s="31">
        <f>(B9-C17)*B12-B11</f>
        <v>45000</v>
      </c>
      <c r="E17" s="20">
        <f>RATE($B$20,D17,$B$6)</f>
        <v>4.8513612959429166E-2</v>
      </c>
    </row>
    <row r="18" spans="1:5" x14ac:dyDescent="0.2">
      <c r="A18" s="17" t="s">
        <v>13</v>
      </c>
      <c r="B18" s="25">
        <f>B12</f>
        <v>20000</v>
      </c>
      <c r="C18" s="29">
        <f>B18*0.9</f>
        <v>18000</v>
      </c>
      <c r="D18" s="31">
        <f>(B9-B10)*C18-B11</f>
        <v>65000</v>
      </c>
      <c r="E18" s="20">
        <f>RATE($B$20,D18,$B$6)</f>
        <v>0.13193136773642117</v>
      </c>
    </row>
    <row r="19" spans="1:5" x14ac:dyDescent="0.2">
      <c r="A19" s="17" t="s">
        <v>14</v>
      </c>
      <c r="B19" s="25">
        <f>-B6</f>
        <v>350000</v>
      </c>
      <c r="C19" s="15">
        <f>B19*1.1</f>
        <v>385000.00000000006</v>
      </c>
      <c r="D19" s="31">
        <f>(B9-B10)*B12-B11</f>
        <v>75000</v>
      </c>
      <c r="E19" s="20">
        <f>RATE($B$20,D19,-C19)</f>
        <v>0.14411923739749571</v>
      </c>
    </row>
    <row r="20" spans="1:5" x14ac:dyDescent="0.2">
      <c r="A20" s="17" t="s">
        <v>15</v>
      </c>
      <c r="B20" s="27">
        <v>10</v>
      </c>
      <c r="C20" s="21">
        <v>9</v>
      </c>
      <c r="D20" s="31">
        <f>D19</f>
        <v>75000</v>
      </c>
      <c r="E20" s="20">
        <f>RATE($C$20,D20,$B$6)</f>
        <v>0.15629087879085155</v>
      </c>
    </row>
    <row r="21" spans="1:5" x14ac:dyDescent="0.2">
      <c r="A21" s="12" t="s">
        <v>4</v>
      </c>
      <c r="B21" s="28">
        <f>B11</f>
        <v>25000</v>
      </c>
      <c r="C21" s="16">
        <f>B21*1.1</f>
        <v>27500.000000000004</v>
      </c>
      <c r="D21" s="32">
        <f>(B9-B10)*B12-C21</f>
        <v>72500</v>
      </c>
      <c r="E21" s="10">
        <f>RATE($B$20,D21,$B$6)</f>
        <v>0.1603138047726631</v>
      </c>
    </row>
  </sheetData>
  <pageMargins left="0.75" right="0.75" top="1" bottom="1" header="0.5" footer="0.5"/>
  <pageSetup paperSize="9" orientation="portrait" horizontalDpi="300" verticalDpi="300" r:id="rId1"/>
  <headerFooter alignWithMargins="0"/>
  <ignoredErrors>
    <ignoredError sqref="C17:C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zoomScale="150" zoomScaleNormal="150" workbookViewId="0">
      <selection activeCell="I18" sqref="I18"/>
    </sheetView>
  </sheetViews>
  <sheetFormatPr baseColWidth="10" defaultColWidth="11.42578125" defaultRowHeight="12.75" x14ac:dyDescent="0.2"/>
  <cols>
    <col min="1" max="1" width="19.140625" bestFit="1" customWidth="1"/>
    <col min="2" max="2" width="11.42578125" customWidth="1"/>
    <col min="3" max="6" width="11.140625" bestFit="1" customWidth="1"/>
  </cols>
  <sheetData>
    <row r="1" spans="1:6" x14ac:dyDescent="0.2">
      <c r="B1" s="37" t="s">
        <v>16</v>
      </c>
    </row>
    <row r="2" spans="1:6" x14ac:dyDescent="0.2">
      <c r="A2" s="11" t="s">
        <v>7</v>
      </c>
      <c r="B2" s="35">
        <v>3050</v>
      </c>
    </row>
    <row r="3" spans="1:6" x14ac:dyDescent="0.2">
      <c r="A3" s="17" t="s">
        <v>17</v>
      </c>
      <c r="B3" s="15">
        <v>1600</v>
      </c>
    </row>
    <row r="4" spans="1:6" x14ac:dyDescent="0.2">
      <c r="A4" s="17" t="s">
        <v>18</v>
      </c>
      <c r="B4" s="14">
        <v>700</v>
      </c>
    </row>
    <row r="5" spans="1:6" x14ac:dyDescent="0.2">
      <c r="A5" s="17" t="s">
        <v>4</v>
      </c>
      <c r="B5" s="15">
        <v>600000</v>
      </c>
    </row>
    <row r="6" spans="1:6" x14ac:dyDescent="0.2">
      <c r="A6" s="17" t="s">
        <v>19</v>
      </c>
      <c r="B6" s="15">
        <v>950000</v>
      </c>
    </row>
    <row r="7" spans="1:6" x14ac:dyDescent="0.2">
      <c r="A7" s="17" t="s">
        <v>20</v>
      </c>
      <c r="B7" s="15">
        <v>150000</v>
      </c>
    </row>
    <row r="8" spans="1:6" x14ac:dyDescent="0.2">
      <c r="A8" s="12" t="s">
        <v>21</v>
      </c>
      <c r="B8" s="36">
        <v>0.12</v>
      </c>
    </row>
    <row r="9" spans="1:6" x14ac:dyDescent="0.2">
      <c r="A9" s="18" t="s">
        <v>0</v>
      </c>
      <c r="B9" s="34">
        <v>0</v>
      </c>
      <c r="C9" s="2">
        <v>1</v>
      </c>
      <c r="D9" s="2">
        <v>2</v>
      </c>
      <c r="E9" s="2">
        <v>3</v>
      </c>
      <c r="F9" s="2">
        <v>4</v>
      </c>
    </row>
    <row r="10" spans="1:6" x14ac:dyDescent="0.2">
      <c r="A10" t="s">
        <v>19</v>
      </c>
      <c r="B10" s="6">
        <f>-B6</f>
        <v>-950000</v>
      </c>
      <c r="C10" s="7"/>
      <c r="D10" s="7"/>
      <c r="E10" s="7"/>
      <c r="F10" s="7"/>
    </row>
    <row r="11" spans="1:6" x14ac:dyDescent="0.2">
      <c r="A11" t="s">
        <v>20</v>
      </c>
      <c r="B11" s="6">
        <f>-B7</f>
        <v>-150000</v>
      </c>
      <c r="C11" s="7"/>
      <c r="D11" s="7"/>
      <c r="E11" s="7"/>
      <c r="F11" s="6">
        <f>B7</f>
        <v>150000</v>
      </c>
    </row>
    <row r="12" spans="1:6" x14ac:dyDescent="0.2">
      <c r="A12" t="s">
        <v>2</v>
      </c>
      <c r="B12" s="7"/>
      <c r="C12" s="8">
        <f>$B$2*$B$4</f>
        <v>2135000</v>
      </c>
      <c r="D12" s="8">
        <f>$B$2*$B$4</f>
        <v>2135000</v>
      </c>
      <c r="E12" s="8">
        <f>$B$2*$B$4</f>
        <v>2135000</v>
      </c>
      <c r="F12" s="8">
        <f>$B$2*$B$4</f>
        <v>2135000</v>
      </c>
    </row>
    <row r="13" spans="1:6" x14ac:dyDescent="0.2">
      <c r="A13" t="s">
        <v>3</v>
      </c>
      <c r="B13" s="7"/>
      <c r="C13" s="8">
        <f>-$B$3*$B$4</f>
        <v>-1120000</v>
      </c>
      <c r="D13" s="8">
        <f>-$B$3*$B$4</f>
        <v>-1120000</v>
      </c>
      <c r="E13" s="8">
        <f>-$B$3*$B$4</f>
        <v>-1120000</v>
      </c>
      <c r="F13" s="8">
        <f>-$B$3*$B$4</f>
        <v>-1120000</v>
      </c>
    </row>
    <row r="14" spans="1:6" x14ac:dyDescent="0.2">
      <c r="A14" t="s">
        <v>4</v>
      </c>
      <c r="B14" s="7"/>
      <c r="C14" s="8">
        <f>-$B$5</f>
        <v>-600000</v>
      </c>
      <c r="D14" s="8">
        <f>-$B$5</f>
        <v>-600000</v>
      </c>
      <c r="E14" s="8">
        <f>-$B$5</f>
        <v>-600000</v>
      </c>
      <c r="F14" s="8">
        <f>-$B$5</f>
        <v>-600000</v>
      </c>
    </row>
    <row r="15" spans="1:6" x14ac:dyDescent="0.2">
      <c r="A15" s="43" t="s">
        <v>5</v>
      </c>
      <c r="B15" s="46">
        <f>SUM(B10:B13)</f>
        <v>-1100000</v>
      </c>
      <c r="C15" s="38">
        <f>SUM(C10:C14)</f>
        <v>415000</v>
      </c>
      <c r="D15" s="38">
        <f>SUM(D10:D14)</f>
        <v>415000</v>
      </c>
      <c r="E15" s="38">
        <f>SUM(E10:E14)</f>
        <v>415000</v>
      </c>
      <c r="F15" s="38">
        <f>SUM(F10:F14)</f>
        <v>565000</v>
      </c>
    </row>
    <row r="16" spans="1:6" x14ac:dyDescent="0.2">
      <c r="A16" s="44" t="s">
        <v>22</v>
      </c>
      <c r="B16" s="35">
        <f>NPV(B8,C15:F15)+B15</f>
        <v>255827.69061068282</v>
      </c>
    </row>
    <row r="17" spans="1:4" x14ac:dyDescent="0.2">
      <c r="A17" s="45" t="s">
        <v>6</v>
      </c>
      <c r="B17" s="47">
        <f>IRR(B15:F15)</f>
        <v>0.22120690483939076</v>
      </c>
    </row>
    <row r="18" spans="1:4" x14ac:dyDescent="0.2">
      <c r="A18" s="124" t="s">
        <v>37</v>
      </c>
      <c r="B18" s="48">
        <f>-PMT(B8,4,B16)</f>
        <v>84227.285509594585</v>
      </c>
    </row>
    <row r="19" spans="1:4" x14ac:dyDescent="0.2">
      <c r="C19" s="1"/>
      <c r="D19" s="1"/>
    </row>
    <row r="20" spans="1:4" x14ac:dyDescent="0.2">
      <c r="A20" s="18" t="s">
        <v>10</v>
      </c>
      <c r="B20" s="2" t="s">
        <v>23</v>
      </c>
      <c r="C20" s="2" t="s">
        <v>24</v>
      </c>
      <c r="D20" s="2" t="s">
        <v>25</v>
      </c>
    </row>
    <row r="21" spans="1:4" x14ac:dyDescent="0.2">
      <c r="A21" s="17" t="s">
        <v>26</v>
      </c>
      <c r="B21" s="40">
        <f>B18/B4</f>
        <v>120.32469358513512</v>
      </c>
      <c r="C21" s="52">
        <f>B2-B21</f>
        <v>2929.6753064148647</v>
      </c>
      <c r="D21" s="54">
        <f>-B21/B2</f>
        <v>-3.9450719208241024E-2</v>
      </c>
    </row>
    <row r="22" spans="1:4" x14ac:dyDescent="0.2">
      <c r="A22" s="17" t="s">
        <v>27</v>
      </c>
      <c r="B22" s="40">
        <f>B18/B4</f>
        <v>120.32469358513512</v>
      </c>
      <c r="C22" s="52">
        <f>B3+B22</f>
        <v>1720.324693585135</v>
      </c>
      <c r="D22" s="54">
        <f>B22/B3</f>
        <v>7.5202933490709445E-2</v>
      </c>
    </row>
    <row r="23" spans="1:4" x14ac:dyDescent="0.2">
      <c r="A23" s="17" t="s">
        <v>28</v>
      </c>
      <c r="B23" s="41">
        <f>B18/(B2-B3)</f>
        <v>58.087783110065232</v>
      </c>
      <c r="C23" s="51">
        <f>B4-B23</f>
        <v>641.91221688993483</v>
      </c>
      <c r="D23" s="54">
        <f>B23/-B4</f>
        <v>-8.298254730009319E-2</v>
      </c>
    </row>
    <row r="24" spans="1:4" x14ac:dyDescent="0.2">
      <c r="A24" s="12" t="s">
        <v>29</v>
      </c>
      <c r="B24" s="42">
        <f>B18</f>
        <v>84227.285509594585</v>
      </c>
      <c r="C24" s="50">
        <f>B5+B24</f>
        <v>684227.2855095946</v>
      </c>
      <c r="D24" s="55">
        <f>B24/B5</f>
        <v>0.14037880918265763</v>
      </c>
    </row>
  </sheetData>
  <pageMargins left="0.75" right="0.75" top="1" bottom="1" header="0.5" footer="0.5"/>
  <pageSetup paperSize="9" orientation="portrait" r:id="rId1"/>
  <headerFooter alignWithMargins="0"/>
  <ignoredErrors>
    <ignoredError sqref="C22:C23 D2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"/>
  <sheetViews>
    <sheetView zoomScale="160" zoomScaleNormal="160" workbookViewId="0">
      <selection activeCell="A35" sqref="A35"/>
    </sheetView>
  </sheetViews>
  <sheetFormatPr baseColWidth="10" defaultColWidth="11.42578125" defaultRowHeight="12.75" x14ac:dyDescent="0.2"/>
  <cols>
    <col min="1" max="1" width="19.140625" bestFit="1" customWidth="1"/>
    <col min="2" max="2" width="11.42578125" customWidth="1"/>
    <col min="3" max="3" width="10.28515625" customWidth="1"/>
    <col min="4" max="7" width="9.28515625" customWidth="1"/>
  </cols>
  <sheetData>
    <row r="1" spans="1:7" x14ac:dyDescent="0.2">
      <c r="B1" s="37" t="s">
        <v>16</v>
      </c>
    </row>
    <row r="2" spans="1:7" x14ac:dyDescent="0.2">
      <c r="A2" s="11" t="s">
        <v>7</v>
      </c>
      <c r="B2" s="35">
        <v>550</v>
      </c>
    </row>
    <row r="3" spans="1:7" x14ac:dyDescent="0.2">
      <c r="A3" s="17" t="s">
        <v>17</v>
      </c>
      <c r="B3" s="15">
        <v>350</v>
      </c>
    </row>
    <row r="4" spans="1:7" x14ac:dyDescent="0.2">
      <c r="A4" s="17" t="s">
        <v>18</v>
      </c>
      <c r="B4" s="15">
        <v>1800</v>
      </c>
    </row>
    <row r="5" spans="1:7" x14ac:dyDescent="0.2">
      <c r="A5" s="17" t="s">
        <v>4</v>
      </c>
      <c r="B5" s="15">
        <v>100000</v>
      </c>
    </row>
    <row r="6" spans="1:7" x14ac:dyDescent="0.2">
      <c r="A6" s="17" t="s">
        <v>19</v>
      </c>
      <c r="B6" s="15">
        <v>780000</v>
      </c>
    </row>
    <row r="7" spans="1:7" x14ac:dyDescent="0.2">
      <c r="A7" s="17" t="s">
        <v>30</v>
      </c>
      <c r="B7" s="15">
        <v>150000</v>
      </c>
    </row>
    <row r="8" spans="1:7" x14ac:dyDescent="0.2">
      <c r="A8" s="17" t="s">
        <v>20</v>
      </c>
      <c r="B8" s="15">
        <v>100000</v>
      </c>
    </row>
    <row r="9" spans="1:7" x14ac:dyDescent="0.2">
      <c r="A9" s="12" t="s">
        <v>21</v>
      </c>
      <c r="B9" s="36">
        <v>0.18</v>
      </c>
    </row>
    <row r="10" spans="1:7" x14ac:dyDescent="0.2">
      <c r="A10" s="18" t="s">
        <v>0</v>
      </c>
      <c r="B10" s="34">
        <v>0</v>
      </c>
      <c r="C10" s="2">
        <v>1</v>
      </c>
      <c r="D10" s="2">
        <v>2</v>
      </c>
      <c r="E10" s="2">
        <v>3</v>
      </c>
      <c r="F10" s="2">
        <v>4</v>
      </c>
      <c r="G10" s="2">
        <v>5</v>
      </c>
    </row>
    <row r="11" spans="1:7" x14ac:dyDescent="0.2">
      <c r="A11" t="s">
        <v>19</v>
      </c>
      <c r="B11" s="8">
        <f>-B6</f>
        <v>-780000</v>
      </c>
      <c r="C11" s="8"/>
      <c r="D11" s="8"/>
      <c r="E11" s="8"/>
      <c r="F11" s="8"/>
      <c r="G11" s="8">
        <f>B7</f>
        <v>150000</v>
      </c>
    </row>
    <row r="12" spans="1:7" x14ac:dyDescent="0.2">
      <c r="A12" t="s">
        <v>20</v>
      </c>
      <c r="B12" s="8">
        <f>-B8</f>
        <v>-100000</v>
      </c>
      <c r="C12" s="8"/>
      <c r="D12" s="8"/>
      <c r="E12" s="8"/>
      <c r="F12" s="8"/>
      <c r="G12" s="8">
        <f>B8</f>
        <v>100000</v>
      </c>
    </row>
    <row r="13" spans="1:7" x14ac:dyDescent="0.2">
      <c r="A13" t="s">
        <v>2</v>
      </c>
      <c r="B13" s="8"/>
      <c r="C13" s="8">
        <f>$B$2*$B$4</f>
        <v>990000</v>
      </c>
      <c r="D13" s="8">
        <f>$B$2*$B$4</f>
        <v>990000</v>
      </c>
      <c r="E13" s="8">
        <f>$B$2*$B$4</f>
        <v>990000</v>
      </c>
      <c r="F13" s="8">
        <f>$B$2*$B$4</f>
        <v>990000</v>
      </c>
      <c r="G13" s="8">
        <f>$B$2*$B$4</f>
        <v>990000</v>
      </c>
    </row>
    <row r="14" spans="1:7" x14ac:dyDescent="0.2">
      <c r="A14" t="s">
        <v>3</v>
      </c>
      <c r="B14" s="8"/>
      <c r="C14" s="8">
        <f>-$B$3*$B$4</f>
        <v>-630000</v>
      </c>
      <c r="D14" s="8">
        <f>-$B$3*$B$4</f>
        <v>-630000</v>
      </c>
      <c r="E14" s="8">
        <f>-$B$3*$B$4</f>
        <v>-630000</v>
      </c>
      <c r="F14" s="8">
        <f>-$B$3*$B$4</f>
        <v>-630000</v>
      </c>
      <c r="G14" s="8">
        <f>-$B$3*$B$4</f>
        <v>-630000</v>
      </c>
    </row>
    <row r="15" spans="1:7" x14ac:dyDescent="0.2">
      <c r="A15" t="s">
        <v>4</v>
      </c>
      <c r="B15" s="8"/>
      <c r="C15" s="8">
        <f>-$B$5</f>
        <v>-100000</v>
      </c>
      <c r="D15" s="8">
        <f>-$B$5</f>
        <v>-100000</v>
      </c>
      <c r="E15" s="8">
        <f>-$B$5</f>
        <v>-100000</v>
      </c>
      <c r="F15" s="8">
        <f>-$B$5</f>
        <v>-100000</v>
      </c>
      <c r="G15" s="8">
        <f>-$B$5</f>
        <v>-100000</v>
      </c>
    </row>
    <row r="16" spans="1:7" x14ac:dyDescent="0.2">
      <c r="A16" s="43" t="s">
        <v>5</v>
      </c>
      <c r="B16" s="59">
        <f>SUM(B11:B14)</f>
        <v>-880000</v>
      </c>
      <c r="C16" s="3">
        <f>SUM(C11:C15)</f>
        <v>260000</v>
      </c>
      <c r="D16" s="3">
        <f>SUM(D11:D15)</f>
        <v>260000</v>
      </c>
      <c r="E16" s="3">
        <f>SUM(E11:E15)</f>
        <v>260000</v>
      </c>
      <c r="F16" s="3">
        <f>SUM(F11:F15)</f>
        <v>260000</v>
      </c>
      <c r="G16" s="3">
        <f>SUM(G11:G15)</f>
        <v>510000</v>
      </c>
    </row>
    <row r="17" spans="1:4" x14ac:dyDescent="0.2">
      <c r="A17" s="44" t="s">
        <v>22</v>
      </c>
      <c r="B17" s="35">
        <f>NPV(B9,C16:G16)+B16</f>
        <v>42341.769502507872</v>
      </c>
    </row>
    <row r="18" spans="1:4" x14ac:dyDescent="0.2">
      <c r="A18" s="45" t="s">
        <v>6</v>
      </c>
      <c r="B18" s="47">
        <f>IRR(B16:G16)</f>
        <v>0.1990759247731555</v>
      </c>
    </row>
    <row r="19" spans="1:4" x14ac:dyDescent="0.2">
      <c r="A19" s="124" t="s">
        <v>37</v>
      </c>
      <c r="B19" s="48">
        <f>-PMT(B9,5,B17)</f>
        <v>13539.959669284293</v>
      </c>
    </row>
    <row r="20" spans="1:4" x14ac:dyDescent="0.2">
      <c r="C20" s="1"/>
      <c r="D20" s="1"/>
    </row>
    <row r="21" spans="1:4" x14ac:dyDescent="0.2">
      <c r="A21" s="18" t="s">
        <v>10</v>
      </c>
      <c r="B21" s="2" t="s">
        <v>23</v>
      </c>
      <c r="C21" s="2" t="s">
        <v>24</v>
      </c>
      <c r="D21" s="2" t="s">
        <v>25</v>
      </c>
    </row>
    <row r="22" spans="1:4" x14ac:dyDescent="0.2">
      <c r="A22" s="17" t="s">
        <v>26</v>
      </c>
      <c r="B22" s="40">
        <f>B19/B4</f>
        <v>7.522199816269052</v>
      </c>
      <c r="C22" s="56">
        <f>B2-B22</f>
        <v>542.47780018373089</v>
      </c>
      <c r="D22" s="53">
        <f>-B22/B2</f>
        <v>-1.3676726938671004E-2</v>
      </c>
    </row>
    <row r="23" spans="1:4" x14ac:dyDescent="0.2">
      <c r="A23" s="17" t="s">
        <v>30</v>
      </c>
      <c r="B23" s="49">
        <f>B17*(1+B9)^G10</f>
        <v>96867.71161600003</v>
      </c>
      <c r="C23" s="58">
        <f>B7-B23</f>
        <v>53132.28838399997</v>
      </c>
      <c r="D23" s="53">
        <f>B23/B7</f>
        <v>0.64578474410666686</v>
      </c>
    </row>
    <row r="24" spans="1:4" x14ac:dyDescent="0.2">
      <c r="A24" s="17" t="s">
        <v>28</v>
      </c>
      <c r="B24" s="41">
        <f>B19/(B2-B3)</f>
        <v>67.69979834642146</v>
      </c>
      <c r="C24" s="57">
        <f>B4-B24</f>
        <v>1732.3002016535786</v>
      </c>
      <c r="D24" s="53">
        <f>B24/-B4</f>
        <v>-3.7610999081345256E-2</v>
      </c>
    </row>
    <row r="25" spans="1:4" x14ac:dyDescent="0.2">
      <c r="A25" s="12" t="s">
        <v>31</v>
      </c>
      <c r="B25" s="42">
        <f>B19/B9</f>
        <v>75221.998162690521</v>
      </c>
      <c r="C25" s="50">
        <f>B5+B25</f>
        <v>175221.99816269052</v>
      </c>
      <c r="D25" s="55">
        <f>B25/B5</f>
        <v>0.75221998162690518</v>
      </c>
    </row>
  </sheetData>
  <pageMargins left="0.75" right="0.75" top="1" bottom="1" header="0.5" footer="0.5"/>
  <pageSetup paperSize="9" orientation="portrait" r:id="rId1"/>
  <headerFooter alignWithMargins="0"/>
  <ignoredErrors>
    <ignoredError sqref="C2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2"/>
  <sheetViews>
    <sheetView zoomScale="150" zoomScaleNormal="150" workbookViewId="0">
      <selection activeCell="F19" sqref="F19"/>
    </sheetView>
  </sheetViews>
  <sheetFormatPr baseColWidth="10" defaultColWidth="11.42578125" defaultRowHeight="12.75" x14ac:dyDescent="0.2"/>
  <cols>
    <col min="1" max="1" width="17.42578125" bestFit="1" customWidth="1"/>
    <col min="2" max="2" width="11.85546875" bestFit="1" customWidth="1"/>
  </cols>
  <sheetData>
    <row r="1" spans="1:2" x14ac:dyDescent="0.2">
      <c r="A1" s="11" t="s">
        <v>1</v>
      </c>
      <c r="B1" s="35">
        <v>350000</v>
      </c>
    </row>
    <row r="2" spans="1:2" x14ac:dyDescent="0.2">
      <c r="A2" s="17" t="s">
        <v>32</v>
      </c>
      <c r="B2" s="15">
        <v>30000</v>
      </c>
    </row>
    <row r="3" spans="1:2" x14ac:dyDescent="0.2">
      <c r="A3" s="17" t="s">
        <v>33</v>
      </c>
      <c r="B3" s="15">
        <v>215000</v>
      </c>
    </row>
    <row r="4" spans="1:2" x14ac:dyDescent="0.2">
      <c r="A4" s="17" t="s">
        <v>34</v>
      </c>
      <c r="B4" s="15">
        <v>125000</v>
      </c>
    </row>
    <row r="5" spans="1:2" x14ac:dyDescent="0.2">
      <c r="A5" s="132" t="s">
        <v>41</v>
      </c>
      <c r="B5" s="15">
        <v>7</v>
      </c>
    </row>
    <row r="6" spans="1:2" x14ac:dyDescent="0.2">
      <c r="A6" s="12" t="s">
        <v>21</v>
      </c>
      <c r="B6" s="36">
        <v>0.1</v>
      </c>
    </row>
    <row r="8" spans="1:2" x14ac:dyDescent="0.2">
      <c r="A8" s="11" t="s">
        <v>35</v>
      </c>
      <c r="B8" s="35">
        <f>B1-B2</f>
        <v>320000</v>
      </c>
    </row>
    <row r="9" spans="1:2" x14ac:dyDescent="0.2">
      <c r="A9" s="12" t="s">
        <v>36</v>
      </c>
      <c r="B9" s="16">
        <f>B3-B4</f>
        <v>90000</v>
      </c>
    </row>
    <row r="11" spans="1:2" x14ac:dyDescent="0.2">
      <c r="A11" s="26" t="s">
        <v>22</v>
      </c>
      <c r="B11" s="59">
        <f>PV(B6,B5,-B9)-B8</f>
        <v>118157.69359236414</v>
      </c>
    </row>
    <row r="12" spans="1:2" x14ac:dyDescent="0.2">
      <c r="A12" s="87" t="s">
        <v>37</v>
      </c>
      <c r="B12" s="60">
        <f>PMT(B6,B5,-B11)</f>
        <v>24270.240095809433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2"/>
  <sheetViews>
    <sheetView zoomScale="130" zoomScaleNormal="130" workbookViewId="0">
      <selection activeCell="C21" sqref="C21"/>
    </sheetView>
  </sheetViews>
  <sheetFormatPr baseColWidth="10" defaultColWidth="11.42578125" defaultRowHeight="12.75" x14ac:dyDescent="0.2"/>
  <cols>
    <col min="1" max="1" width="24.42578125" bestFit="1" customWidth="1"/>
    <col min="2" max="2" width="12.85546875" bestFit="1" customWidth="1"/>
    <col min="3" max="3" width="21.7109375" bestFit="1" customWidth="1"/>
    <col min="4" max="4" width="12.85546875" bestFit="1" customWidth="1"/>
  </cols>
  <sheetData>
    <row r="1" spans="1:5" x14ac:dyDescent="0.2">
      <c r="A1" s="67" t="s">
        <v>38</v>
      </c>
      <c r="B1" s="68"/>
      <c r="C1" s="121" t="s">
        <v>39</v>
      </c>
      <c r="D1" s="69"/>
    </row>
    <row r="2" spans="1:5" x14ac:dyDescent="0.2">
      <c r="A2" s="64" t="s">
        <v>1</v>
      </c>
      <c r="B2" s="29">
        <v>800000</v>
      </c>
      <c r="C2" s="64" t="s">
        <v>1</v>
      </c>
      <c r="D2" s="39">
        <v>1150000</v>
      </c>
    </row>
    <row r="3" spans="1:5" x14ac:dyDescent="0.2">
      <c r="A3" s="64" t="s">
        <v>40</v>
      </c>
      <c r="B3" s="29">
        <v>6000</v>
      </c>
      <c r="C3" s="64" t="s">
        <v>40</v>
      </c>
      <c r="D3" s="29">
        <v>12000</v>
      </c>
    </row>
    <row r="4" spans="1:5" x14ac:dyDescent="0.2">
      <c r="A4" s="64" t="s">
        <v>41</v>
      </c>
      <c r="B4" s="65">
        <v>20</v>
      </c>
      <c r="C4" s="64" t="s">
        <v>41</v>
      </c>
      <c r="D4" s="65">
        <v>20</v>
      </c>
    </row>
    <row r="5" spans="1:5" x14ac:dyDescent="0.2">
      <c r="A5" s="64" t="s">
        <v>21</v>
      </c>
      <c r="B5" s="66">
        <v>0.15</v>
      </c>
      <c r="C5" s="64" t="s">
        <v>21</v>
      </c>
      <c r="D5" s="66">
        <v>0.15</v>
      </c>
    </row>
    <row r="6" spans="1:5" x14ac:dyDescent="0.2">
      <c r="A6" s="64" t="s">
        <v>42</v>
      </c>
      <c r="B6" s="29">
        <f>PMT(B5,B4,-B2)</f>
        <v>127809.1763245951</v>
      </c>
      <c r="C6" s="64" t="s">
        <v>43</v>
      </c>
      <c r="D6" s="29">
        <f>PMT(D5,D4,-D2)</f>
        <v>183725.69096660544</v>
      </c>
    </row>
    <row r="7" spans="1:5" x14ac:dyDescent="0.2">
      <c r="A7" s="64" t="str">
        <f>"+ Faste kostnader"</f>
        <v>+ Faste kostnader</v>
      </c>
      <c r="B7" s="48">
        <v>100000</v>
      </c>
      <c r="C7" s="73" t="str">
        <f>"+ Faste kostnader"</f>
        <v>+ Faste kostnader</v>
      </c>
      <c r="D7" s="48">
        <v>150000</v>
      </c>
    </row>
    <row r="8" spans="1:5" x14ac:dyDescent="0.2">
      <c r="A8" s="64" t="str">
        <f>"= Kritisk dekningsbidrag"</f>
        <v>= Kritisk dekningsbidrag</v>
      </c>
      <c r="B8" s="29">
        <f>B6+B7</f>
        <v>227809.17632459512</v>
      </c>
      <c r="C8" s="64" t="str">
        <f>"= Kritisk dekningsbidrag"</f>
        <v>= Kritisk dekningsbidrag</v>
      </c>
      <c r="D8" s="29">
        <f>D6+D7</f>
        <v>333725.69096660544</v>
      </c>
    </row>
    <row r="9" spans="1:5" x14ac:dyDescent="0.2">
      <c r="A9" s="64" t="s">
        <v>44</v>
      </c>
      <c r="B9" s="41">
        <f>120-65</f>
        <v>55</v>
      </c>
      <c r="C9" s="64" t="s">
        <v>44</v>
      </c>
      <c r="D9" s="70">
        <f>120-60</f>
        <v>60</v>
      </c>
    </row>
    <row r="10" spans="1:5" x14ac:dyDescent="0.2">
      <c r="A10" s="62" t="s">
        <v>45</v>
      </c>
      <c r="B10" s="102">
        <f>B8/B9</f>
        <v>4141.9850240835476</v>
      </c>
      <c r="C10" s="62" t="s">
        <v>45</v>
      </c>
      <c r="D10" s="102">
        <f>D8/D9</f>
        <v>5562.0948494434242</v>
      </c>
      <c r="E10" s="61"/>
    </row>
    <row r="12" spans="1:5" x14ac:dyDescent="0.2">
      <c r="A12" s="67" t="s">
        <v>46</v>
      </c>
      <c r="B12" s="71"/>
      <c r="C12" s="71"/>
      <c r="D12" s="69"/>
    </row>
    <row r="13" spans="1:5" x14ac:dyDescent="0.2">
      <c r="A13" s="63" t="s">
        <v>47</v>
      </c>
      <c r="B13" s="29">
        <f>-B2-PV(B5,B4,B3*B9-B7)</f>
        <v>639646.2389578186</v>
      </c>
    </row>
    <row r="14" spans="1:5" x14ac:dyDescent="0.2">
      <c r="A14" s="64" t="s">
        <v>48</v>
      </c>
      <c r="B14" s="29">
        <v>1150000</v>
      </c>
    </row>
    <row r="15" spans="1:5" x14ac:dyDescent="0.2">
      <c r="A15" s="72" t="s">
        <v>49</v>
      </c>
      <c r="B15" s="122">
        <f>SUM(B13:B14)</f>
        <v>1789646.2389578186</v>
      </c>
      <c r="C15" s="103" t="s">
        <v>50</v>
      </c>
      <c r="D15" s="103"/>
      <c r="E15" s="103"/>
    </row>
    <row r="16" spans="1:5" x14ac:dyDescent="0.2">
      <c r="A16" s="64" t="s">
        <v>41</v>
      </c>
      <c r="B16" s="65">
        <v>20</v>
      </c>
      <c r="C16" s="103" t="s">
        <v>51</v>
      </c>
    </row>
    <row r="17" spans="1:2" x14ac:dyDescent="0.2">
      <c r="A17" s="64" t="s">
        <v>21</v>
      </c>
      <c r="B17" s="66">
        <v>0.15</v>
      </c>
    </row>
    <row r="18" spans="1:2" x14ac:dyDescent="0.2">
      <c r="A18" s="64" t="s">
        <v>43</v>
      </c>
      <c r="B18" s="29">
        <f>PMT(B17,B16,-B15)</f>
        <v>285916.51464201033</v>
      </c>
    </row>
    <row r="19" spans="1:2" x14ac:dyDescent="0.2">
      <c r="A19" s="64" t="str">
        <f>"+ Faste kostnader"</f>
        <v>+ Faste kostnader</v>
      </c>
      <c r="B19" s="29">
        <v>150000</v>
      </c>
    </row>
    <row r="20" spans="1:2" x14ac:dyDescent="0.2">
      <c r="A20" s="64" t="str">
        <f>"= Kritisk dekningsbidrag"</f>
        <v>= Kritisk dekningsbidrag</v>
      </c>
      <c r="B20" s="29">
        <f>B18+B19</f>
        <v>435916.51464201033</v>
      </c>
    </row>
    <row r="21" spans="1:2" x14ac:dyDescent="0.2">
      <c r="A21" s="73" t="s">
        <v>44</v>
      </c>
      <c r="B21" s="70">
        <f>120-60</f>
        <v>60</v>
      </c>
    </row>
    <row r="22" spans="1:2" x14ac:dyDescent="0.2">
      <c r="A22" s="62" t="s">
        <v>45</v>
      </c>
      <c r="B22" s="102">
        <f>B20/B21</f>
        <v>7265.2752440335053</v>
      </c>
    </row>
  </sheetData>
  <pageMargins left="0.75" right="0.75" top="1" bottom="1" header="0.5" footer="0.5"/>
  <pageSetup orientation="portrait" r:id="rId1"/>
  <headerFooter alignWithMargins="0"/>
  <ignoredErrors>
    <ignoredError sqref="B8:C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3"/>
  <sheetViews>
    <sheetView zoomScale="120" zoomScaleNormal="120" workbookViewId="0">
      <selection activeCell="J18" sqref="J18"/>
    </sheetView>
  </sheetViews>
  <sheetFormatPr baseColWidth="10" defaultColWidth="9.140625" defaultRowHeight="12.75" x14ac:dyDescent="0.2"/>
  <cols>
    <col min="1" max="1" width="17.85546875" bestFit="1" customWidth="1"/>
    <col min="2" max="2" width="11.28515625" bestFit="1" customWidth="1"/>
    <col min="3" max="4" width="10.5703125" bestFit="1" customWidth="1"/>
    <col min="5" max="5" width="12.42578125" customWidth="1"/>
    <col min="6" max="7" width="12.140625" customWidth="1"/>
    <col min="8" max="8" width="12" customWidth="1"/>
    <col min="9" max="9" width="13.42578125" customWidth="1"/>
  </cols>
  <sheetData>
    <row r="1" spans="1:9" x14ac:dyDescent="0.2">
      <c r="A1" s="92" t="s">
        <v>52</v>
      </c>
      <c r="B1" s="88">
        <v>800</v>
      </c>
    </row>
    <row r="2" spans="1:9" x14ac:dyDescent="0.2">
      <c r="A2" s="93" t="s">
        <v>3</v>
      </c>
      <c r="B2" s="89">
        <v>100</v>
      </c>
    </row>
    <row r="3" spans="1:9" x14ac:dyDescent="0.2">
      <c r="A3" s="93" t="s">
        <v>9</v>
      </c>
      <c r="B3" s="89">
        <v>50</v>
      </c>
    </row>
    <row r="4" spans="1:9" x14ac:dyDescent="0.2">
      <c r="A4" s="93" t="s">
        <v>53</v>
      </c>
      <c r="B4" s="89">
        <v>365</v>
      </c>
    </row>
    <row r="5" spans="1:9" x14ac:dyDescent="0.2">
      <c r="A5" s="93" t="s">
        <v>54</v>
      </c>
      <c r="B5" s="89">
        <v>0.8</v>
      </c>
    </row>
    <row r="6" spans="1:9" x14ac:dyDescent="0.2">
      <c r="A6" s="93" t="s">
        <v>4</v>
      </c>
      <c r="B6" s="90">
        <v>2000000</v>
      </c>
    </row>
    <row r="7" spans="1:9" x14ac:dyDescent="0.2">
      <c r="A7" s="93" t="s">
        <v>55</v>
      </c>
      <c r="B7" s="90">
        <v>450000</v>
      </c>
    </row>
    <row r="8" spans="1:9" x14ac:dyDescent="0.2">
      <c r="A8" s="93" t="s">
        <v>1</v>
      </c>
      <c r="B8" s="90">
        <v>57000000</v>
      </c>
    </row>
    <row r="9" spans="1:9" x14ac:dyDescent="0.2">
      <c r="A9" s="93" t="s">
        <v>30</v>
      </c>
      <c r="B9" s="90">
        <v>85000000</v>
      </c>
      <c r="C9" s="75"/>
    </row>
    <row r="10" spans="1:9" x14ac:dyDescent="0.2">
      <c r="A10" s="133" t="s">
        <v>21</v>
      </c>
      <c r="B10" s="91">
        <v>0.15</v>
      </c>
      <c r="C10" s="33"/>
    </row>
    <row r="13" spans="1:9" x14ac:dyDescent="0.2">
      <c r="A13" s="77" t="s">
        <v>0</v>
      </c>
      <c r="B13" s="78">
        <v>0</v>
      </c>
      <c r="C13" s="78">
        <v>1</v>
      </c>
      <c r="D13" s="78">
        <v>2</v>
      </c>
      <c r="E13" s="78">
        <v>3</v>
      </c>
      <c r="F13" s="78">
        <v>4</v>
      </c>
      <c r="G13" s="78">
        <v>5</v>
      </c>
      <c r="H13" s="78">
        <v>6</v>
      </c>
      <c r="I13" s="78">
        <v>7</v>
      </c>
    </row>
    <row r="14" spans="1:9" x14ac:dyDescent="0.2">
      <c r="A14" s="7" t="s">
        <v>56</v>
      </c>
      <c r="B14" s="6"/>
      <c r="C14" s="6">
        <f t="shared" ref="C14:I14" si="0">($B$1-$B$2)*$B$3*$B$4*$B$5</f>
        <v>10220000</v>
      </c>
      <c r="D14" s="6">
        <f t="shared" si="0"/>
        <v>10220000</v>
      </c>
      <c r="E14" s="6">
        <f t="shared" si="0"/>
        <v>10220000</v>
      </c>
      <c r="F14" s="6">
        <f t="shared" si="0"/>
        <v>10220000</v>
      </c>
      <c r="G14" s="6">
        <f t="shared" si="0"/>
        <v>10220000</v>
      </c>
      <c r="H14" s="6">
        <f t="shared" si="0"/>
        <v>10220000</v>
      </c>
      <c r="I14" s="6">
        <f t="shared" si="0"/>
        <v>10220000</v>
      </c>
    </row>
    <row r="15" spans="1:9" x14ac:dyDescent="0.2">
      <c r="A15" s="7" t="s">
        <v>4</v>
      </c>
      <c r="B15" s="6"/>
      <c r="C15" s="6">
        <f t="shared" ref="C15:I15" si="1">-$B$6</f>
        <v>-2000000</v>
      </c>
      <c r="D15" s="6">
        <f t="shared" si="1"/>
        <v>-2000000</v>
      </c>
      <c r="E15" s="6">
        <f t="shared" si="1"/>
        <v>-2000000</v>
      </c>
      <c r="F15" s="6">
        <f t="shared" si="1"/>
        <v>-2000000</v>
      </c>
      <c r="G15" s="6">
        <f t="shared" si="1"/>
        <v>-2000000</v>
      </c>
      <c r="H15" s="6">
        <f t="shared" si="1"/>
        <v>-2000000</v>
      </c>
      <c r="I15" s="6">
        <f t="shared" si="1"/>
        <v>-2000000</v>
      </c>
    </row>
    <row r="16" spans="1:9" x14ac:dyDescent="0.2">
      <c r="A16" s="7" t="s">
        <v>55</v>
      </c>
      <c r="B16" s="6"/>
      <c r="C16" s="6">
        <f t="shared" ref="C16:I16" si="2">-$B$7</f>
        <v>-450000</v>
      </c>
      <c r="D16" s="6">
        <f t="shared" si="2"/>
        <v>-450000</v>
      </c>
      <c r="E16" s="6">
        <f t="shared" si="2"/>
        <v>-450000</v>
      </c>
      <c r="F16" s="6">
        <f t="shared" si="2"/>
        <v>-450000</v>
      </c>
      <c r="G16" s="6">
        <f t="shared" si="2"/>
        <v>-450000</v>
      </c>
      <c r="H16" s="6">
        <f t="shared" si="2"/>
        <v>-450000</v>
      </c>
      <c r="I16" s="6">
        <f t="shared" si="2"/>
        <v>-450000</v>
      </c>
    </row>
    <row r="17" spans="1:9" x14ac:dyDescent="0.2">
      <c r="A17" s="79" t="s">
        <v>1</v>
      </c>
      <c r="B17" s="80">
        <f>-B8</f>
        <v>-57000000</v>
      </c>
      <c r="C17" s="80"/>
      <c r="D17" s="80"/>
      <c r="E17" s="80"/>
      <c r="F17" s="80"/>
      <c r="G17" s="80"/>
      <c r="H17" s="80"/>
      <c r="I17" s="80">
        <f>B9</f>
        <v>85000000</v>
      </c>
    </row>
    <row r="18" spans="1:9" x14ac:dyDescent="0.2">
      <c r="A18" s="81" t="s">
        <v>5</v>
      </c>
      <c r="B18" s="82">
        <f t="shared" ref="B18:I18" si="3">SUM(B14:B17)</f>
        <v>-57000000</v>
      </c>
      <c r="C18" s="82">
        <f t="shared" si="3"/>
        <v>7770000</v>
      </c>
      <c r="D18" s="82">
        <f t="shared" si="3"/>
        <v>7770000</v>
      </c>
      <c r="E18" s="82">
        <f t="shared" si="3"/>
        <v>7770000</v>
      </c>
      <c r="F18" s="82">
        <f t="shared" si="3"/>
        <v>7770000</v>
      </c>
      <c r="G18" s="82">
        <f t="shared" si="3"/>
        <v>7770000</v>
      </c>
      <c r="H18" s="82">
        <f t="shared" si="3"/>
        <v>7770000</v>
      </c>
      <c r="I18" s="82">
        <f t="shared" si="3"/>
        <v>92770000</v>
      </c>
    </row>
    <row r="19" spans="1:9" x14ac:dyDescent="0.2">
      <c r="B19" s="74"/>
      <c r="C19" s="74"/>
      <c r="D19" s="74"/>
      <c r="E19" s="74"/>
      <c r="F19" s="74"/>
      <c r="G19" s="74"/>
      <c r="H19" s="74"/>
      <c r="I19" s="74"/>
    </row>
    <row r="20" spans="1:9" x14ac:dyDescent="0.2">
      <c r="A20" s="11" t="s">
        <v>22</v>
      </c>
      <c r="B20" s="35">
        <f>NPV(B10,C18:I18)+B18</f>
        <v>7281109.7254466936</v>
      </c>
      <c r="C20" s="74"/>
      <c r="D20" s="74"/>
      <c r="E20" s="74"/>
      <c r="F20" s="74"/>
      <c r="G20" s="74"/>
      <c r="H20" s="74"/>
      <c r="I20" s="74"/>
    </row>
    <row r="21" spans="1:9" x14ac:dyDescent="0.2">
      <c r="A21" s="12" t="s">
        <v>6</v>
      </c>
      <c r="B21" s="83">
        <f>IRR(B18:I18)</f>
        <v>0.17713427813786065</v>
      </c>
      <c r="C21" s="74"/>
      <c r="D21" s="74"/>
      <c r="E21" s="74"/>
      <c r="F21" s="74"/>
      <c r="G21" s="74"/>
      <c r="H21" s="74"/>
      <c r="I21" s="74"/>
    </row>
    <row r="22" spans="1:9" x14ac:dyDescent="0.2">
      <c r="B22" s="74"/>
      <c r="C22" s="74"/>
      <c r="D22" s="74"/>
      <c r="E22" s="74"/>
      <c r="F22" s="74"/>
      <c r="G22" s="74"/>
      <c r="H22" s="74"/>
      <c r="I22" s="74"/>
    </row>
    <row r="23" spans="1:9" x14ac:dyDescent="0.2">
      <c r="A23" s="11" t="s">
        <v>57</v>
      </c>
      <c r="B23" s="35">
        <f>PMT(B10,I13,B20)</f>
        <v>-1750090.1810971268</v>
      </c>
      <c r="C23" s="76"/>
      <c r="D23" s="76"/>
      <c r="E23" s="74"/>
      <c r="F23" s="74"/>
      <c r="G23" s="74"/>
      <c r="H23" s="74"/>
      <c r="I23" s="74"/>
    </row>
    <row r="24" spans="1:9" x14ac:dyDescent="0.2">
      <c r="A24" s="17" t="s">
        <v>58</v>
      </c>
      <c r="B24" s="15">
        <f>C18+B23</f>
        <v>6019909.8189028734</v>
      </c>
      <c r="C24" s="74"/>
      <c r="D24" s="74"/>
      <c r="E24" s="74"/>
      <c r="F24" s="74"/>
      <c r="G24" s="74"/>
      <c r="H24" s="74"/>
      <c r="I24" s="74"/>
    </row>
    <row r="25" spans="1:9" x14ac:dyDescent="0.2">
      <c r="A25" s="17" t="s">
        <v>59</v>
      </c>
      <c r="B25" s="104">
        <f>(B24-C15-C16)/(B1-B2)</f>
        <v>12099.871169861246</v>
      </c>
      <c r="C25" s="74"/>
      <c r="D25" s="74"/>
      <c r="E25" s="74"/>
      <c r="F25" s="74"/>
      <c r="G25" s="74"/>
      <c r="H25" s="74"/>
      <c r="I25" s="74"/>
    </row>
    <row r="26" spans="1:9" x14ac:dyDescent="0.2">
      <c r="A26" s="17" t="s">
        <v>60</v>
      </c>
      <c r="B26" s="105">
        <f>50*365</f>
        <v>18250</v>
      </c>
      <c r="C26" s="74"/>
      <c r="D26" s="74"/>
      <c r="E26" s="74"/>
      <c r="F26" s="74"/>
      <c r="G26" s="74"/>
      <c r="H26" s="74"/>
      <c r="I26" s="74"/>
    </row>
    <row r="27" spans="1:9" x14ac:dyDescent="0.2">
      <c r="A27" s="12" t="s">
        <v>61</v>
      </c>
      <c r="B27" s="106">
        <f>B25/B26</f>
        <v>0.66300663944445182</v>
      </c>
      <c r="C27" s="74"/>
      <c r="D27" s="74"/>
      <c r="E27" s="74"/>
      <c r="F27" s="74"/>
      <c r="G27" s="74"/>
      <c r="H27" s="74"/>
      <c r="I27" s="74"/>
    </row>
    <row r="28" spans="1:9" x14ac:dyDescent="0.2">
      <c r="B28" s="74"/>
      <c r="C28" s="74"/>
      <c r="D28" s="74"/>
      <c r="E28" s="74"/>
      <c r="F28" s="74"/>
      <c r="G28" s="74"/>
      <c r="H28" s="74"/>
      <c r="I28" s="74"/>
    </row>
    <row r="29" spans="1:9" x14ac:dyDescent="0.2">
      <c r="A29" s="11" t="s">
        <v>62</v>
      </c>
      <c r="B29" s="35">
        <f>I17</f>
        <v>85000000</v>
      </c>
      <c r="C29" s="74"/>
      <c r="D29" s="74"/>
      <c r="E29" s="74"/>
      <c r="F29" s="74"/>
      <c r="G29" s="74"/>
      <c r="H29" s="74"/>
      <c r="I29" s="74"/>
    </row>
    <row r="30" spans="1:9" x14ac:dyDescent="0.2">
      <c r="A30" s="12" t="s">
        <v>63</v>
      </c>
      <c r="B30" s="16">
        <f>B20*(1+B10)^7</f>
        <v>19367896.621562555</v>
      </c>
      <c r="C30" s="74"/>
      <c r="D30" s="74"/>
      <c r="E30" s="74"/>
      <c r="F30" s="74"/>
      <c r="G30" s="74"/>
      <c r="H30" s="74"/>
      <c r="I30" s="74"/>
    </row>
    <row r="31" spans="1:9" x14ac:dyDescent="0.2">
      <c r="A31" s="107" t="s">
        <v>64</v>
      </c>
      <c r="B31" s="108">
        <f>B29-B30</f>
        <v>65632103.378437445</v>
      </c>
      <c r="C31" s="74"/>
      <c r="D31" s="74"/>
      <c r="E31" s="74"/>
      <c r="F31" s="74"/>
      <c r="G31" s="74"/>
      <c r="H31" s="74"/>
      <c r="I31" s="74"/>
    </row>
    <row r="32" spans="1:9" x14ac:dyDescent="0.2">
      <c r="B32" s="74"/>
      <c r="C32" s="74"/>
      <c r="D32" s="74"/>
      <c r="E32" s="74"/>
      <c r="F32" s="74"/>
      <c r="G32" s="74"/>
      <c r="H32" s="74"/>
      <c r="I32" s="74"/>
    </row>
    <row r="33" spans="1:9" x14ac:dyDescent="0.2">
      <c r="A33" s="109" t="s">
        <v>65</v>
      </c>
      <c r="B33" s="110">
        <f>(B31/-B17)^(1/7)-1</f>
        <v>2.0349088875366794E-2</v>
      </c>
      <c r="C33" s="74"/>
      <c r="D33" s="74"/>
      <c r="E33" s="74"/>
      <c r="F33" s="74"/>
      <c r="G33" s="74"/>
      <c r="H33" s="74"/>
      <c r="I33" s="7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zoomScale="130" zoomScaleNormal="130" workbookViewId="0">
      <selection activeCell="E28" sqref="E28"/>
    </sheetView>
  </sheetViews>
  <sheetFormatPr baseColWidth="10" defaultColWidth="9.140625" defaultRowHeight="12.75" x14ac:dyDescent="0.2"/>
  <cols>
    <col min="1" max="1" width="21.5703125" bestFit="1" customWidth="1"/>
    <col min="2" max="2" width="10.7109375" bestFit="1" customWidth="1"/>
  </cols>
  <sheetData>
    <row r="1" spans="1:12" x14ac:dyDescent="0.2">
      <c r="A1" s="96" t="s">
        <v>66</v>
      </c>
      <c r="B1" s="92">
        <v>50</v>
      </c>
    </row>
    <row r="2" spans="1:12" x14ac:dyDescent="0.2">
      <c r="A2" s="97" t="s">
        <v>67</v>
      </c>
      <c r="B2" s="93">
        <v>5000</v>
      </c>
    </row>
    <row r="3" spans="1:12" x14ac:dyDescent="0.2">
      <c r="A3" s="97" t="s">
        <v>68</v>
      </c>
      <c r="B3" s="93">
        <v>12</v>
      </c>
    </row>
    <row r="4" spans="1:12" x14ac:dyDescent="0.2">
      <c r="A4" s="97" t="s">
        <v>69</v>
      </c>
      <c r="B4" s="94">
        <v>200000</v>
      </c>
    </row>
    <row r="5" spans="1:12" x14ac:dyDescent="0.2">
      <c r="A5" s="97" t="s">
        <v>70</v>
      </c>
      <c r="B5" s="94">
        <v>200000</v>
      </c>
    </row>
    <row r="6" spans="1:12" x14ac:dyDescent="0.2">
      <c r="A6" s="97" t="s">
        <v>1</v>
      </c>
      <c r="B6" s="94">
        <v>15000000</v>
      </c>
    </row>
    <row r="7" spans="1:12" x14ac:dyDescent="0.2">
      <c r="A7" s="98" t="s">
        <v>71</v>
      </c>
      <c r="B7" s="95">
        <v>0.1</v>
      </c>
    </row>
    <row r="9" spans="1:12" x14ac:dyDescent="0.2">
      <c r="A9" s="84" t="s">
        <v>0</v>
      </c>
      <c r="B9" s="99">
        <v>0</v>
      </c>
      <c r="C9" s="99">
        <v>1</v>
      </c>
      <c r="D9" s="99">
        <v>2</v>
      </c>
      <c r="E9" s="99">
        <v>3</v>
      </c>
      <c r="F9" s="99">
        <v>4</v>
      </c>
      <c r="G9" s="99">
        <v>5</v>
      </c>
      <c r="H9" s="99">
        <v>6</v>
      </c>
      <c r="I9" s="99">
        <v>7</v>
      </c>
      <c r="J9" s="99">
        <v>8</v>
      </c>
      <c r="K9" s="99">
        <v>9</v>
      </c>
      <c r="L9" s="99">
        <v>10</v>
      </c>
    </row>
    <row r="10" spans="1:12" x14ac:dyDescent="0.2">
      <c r="A10" t="s">
        <v>1</v>
      </c>
      <c r="B10" s="74">
        <f>-B6</f>
        <v>-15000000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</row>
    <row r="11" spans="1:12" x14ac:dyDescent="0.2">
      <c r="A11" t="s">
        <v>72</v>
      </c>
      <c r="B11" s="74"/>
      <c r="C11" s="74">
        <f>$B$1*$B$2*$B$3</f>
        <v>3000000</v>
      </c>
      <c r="D11" s="74">
        <f t="shared" ref="D11:L11" si="0">$B$1*$B$2*$B$3</f>
        <v>3000000</v>
      </c>
      <c r="E11" s="74">
        <f t="shared" si="0"/>
        <v>3000000</v>
      </c>
      <c r="F11" s="74">
        <f t="shared" si="0"/>
        <v>3000000</v>
      </c>
      <c r="G11" s="74">
        <f t="shared" si="0"/>
        <v>3000000</v>
      </c>
      <c r="H11" s="74">
        <f t="shared" si="0"/>
        <v>3000000</v>
      </c>
      <c r="I11" s="74">
        <f t="shared" si="0"/>
        <v>3000000</v>
      </c>
      <c r="J11" s="74">
        <f t="shared" si="0"/>
        <v>3000000</v>
      </c>
      <c r="K11" s="74">
        <f t="shared" si="0"/>
        <v>3000000</v>
      </c>
      <c r="L11" s="74">
        <f t="shared" si="0"/>
        <v>3000000</v>
      </c>
    </row>
    <row r="12" spans="1:12" x14ac:dyDescent="0.2">
      <c r="A12" t="s">
        <v>70</v>
      </c>
      <c r="B12" s="74"/>
      <c r="C12" s="74">
        <f>-$B$5</f>
        <v>-200000</v>
      </c>
      <c r="D12" s="74">
        <f t="shared" ref="D12:L12" si="1">-$B$5</f>
        <v>-200000</v>
      </c>
      <c r="E12" s="74">
        <f t="shared" si="1"/>
        <v>-200000</v>
      </c>
      <c r="F12" s="74">
        <f t="shared" si="1"/>
        <v>-200000</v>
      </c>
      <c r="G12" s="74">
        <f t="shared" si="1"/>
        <v>-200000</v>
      </c>
      <c r="H12" s="74">
        <f t="shared" si="1"/>
        <v>-200000</v>
      </c>
      <c r="I12" s="74">
        <f t="shared" si="1"/>
        <v>-200000</v>
      </c>
      <c r="J12" s="74">
        <f t="shared" si="1"/>
        <v>-200000</v>
      </c>
      <c r="K12" s="74">
        <f t="shared" si="1"/>
        <v>-200000</v>
      </c>
      <c r="L12" s="74">
        <f t="shared" si="1"/>
        <v>-200000</v>
      </c>
    </row>
    <row r="13" spans="1:12" x14ac:dyDescent="0.2">
      <c r="A13" s="85" t="s">
        <v>69</v>
      </c>
      <c r="B13" s="86"/>
      <c r="C13" s="86">
        <f>-$B$4</f>
        <v>-200000</v>
      </c>
      <c r="D13" s="86">
        <f t="shared" ref="D13:L13" si="2">-$B$4</f>
        <v>-200000</v>
      </c>
      <c r="E13" s="86">
        <f t="shared" si="2"/>
        <v>-200000</v>
      </c>
      <c r="F13" s="86">
        <f t="shared" si="2"/>
        <v>-200000</v>
      </c>
      <c r="G13" s="86">
        <f t="shared" si="2"/>
        <v>-200000</v>
      </c>
      <c r="H13" s="86">
        <f t="shared" si="2"/>
        <v>-200000</v>
      </c>
      <c r="I13" s="86">
        <f t="shared" si="2"/>
        <v>-200000</v>
      </c>
      <c r="J13" s="86">
        <f t="shared" si="2"/>
        <v>-200000</v>
      </c>
      <c r="K13" s="86">
        <f t="shared" si="2"/>
        <v>-200000</v>
      </c>
      <c r="L13" s="86">
        <f t="shared" si="2"/>
        <v>-200000</v>
      </c>
    </row>
    <row r="14" spans="1:12" x14ac:dyDescent="0.2">
      <c r="A14" s="100" t="s">
        <v>5</v>
      </c>
      <c r="B14" s="101">
        <f>SUM(B10:B13)</f>
        <v>-15000000</v>
      </c>
      <c r="C14" s="101">
        <f>SUM(C10:C13)</f>
        <v>2600000</v>
      </c>
      <c r="D14" s="101">
        <f t="shared" ref="D14:L14" si="3">SUM(D10:D13)</f>
        <v>2600000</v>
      </c>
      <c r="E14" s="101">
        <f t="shared" si="3"/>
        <v>2600000</v>
      </c>
      <c r="F14" s="101">
        <f t="shared" si="3"/>
        <v>2600000</v>
      </c>
      <c r="G14" s="101">
        <f t="shared" si="3"/>
        <v>2600000</v>
      </c>
      <c r="H14" s="101">
        <f t="shared" si="3"/>
        <v>2600000</v>
      </c>
      <c r="I14" s="101">
        <f t="shared" si="3"/>
        <v>2600000</v>
      </c>
      <c r="J14" s="101">
        <f t="shared" si="3"/>
        <v>2600000</v>
      </c>
      <c r="K14" s="101">
        <f t="shared" si="3"/>
        <v>2600000</v>
      </c>
      <c r="L14" s="101">
        <f t="shared" si="3"/>
        <v>2600000</v>
      </c>
    </row>
    <row r="15" spans="1:12" x14ac:dyDescent="0.2"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</row>
    <row r="16" spans="1:12" x14ac:dyDescent="0.2">
      <c r="A16" s="88" t="s">
        <v>22</v>
      </c>
      <c r="B16" s="138">
        <f>NPV(B7,C14:L14)+B14</f>
        <v>975874.47483216412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</row>
    <row r="17" spans="1:12" x14ac:dyDescent="0.2">
      <c r="A17" s="135" t="s">
        <v>6</v>
      </c>
      <c r="B17" s="139">
        <f>IRR(B14:L14)</f>
        <v>0.11493891162264247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</row>
    <row r="18" spans="1:12" x14ac:dyDescent="0.2"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</row>
    <row r="19" spans="1:12" x14ac:dyDescent="0.2">
      <c r="A19" s="136" t="s">
        <v>86</v>
      </c>
      <c r="B19" s="138">
        <f>PMT(B7,10,-B16)</f>
        <v>158819.0767623242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</row>
    <row r="20" spans="1:12" x14ac:dyDescent="0.2">
      <c r="A20" s="89" t="s">
        <v>73</v>
      </c>
      <c r="B20" s="140">
        <f>B2*B3</f>
        <v>60000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</row>
    <row r="21" spans="1:12" x14ac:dyDescent="0.2">
      <c r="A21" s="135" t="s">
        <v>74</v>
      </c>
      <c r="B21" s="141">
        <f>B19/B20</f>
        <v>2.6469846127054035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</row>
    <row r="22" spans="1:12" x14ac:dyDescent="0.2"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</row>
    <row r="23" spans="1:12" x14ac:dyDescent="0.2">
      <c r="A23" s="137" t="s">
        <v>75</v>
      </c>
      <c r="B23" s="142">
        <f>B19</f>
        <v>158819.0767623242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</row>
    <row r="24" spans="1:12" x14ac:dyDescent="0.2"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</row>
    <row r="25" spans="1:12" x14ac:dyDescent="0.2">
      <c r="A25" s="137" t="s">
        <v>76</v>
      </c>
      <c r="B25" s="142">
        <f>C14/(1+B7)^11+C14/(1+B7)^12</f>
        <v>1739724.2646985468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3"/>
  <sheetViews>
    <sheetView topLeftCell="A6" zoomScale="130" zoomScaleNormal="130" workbookViewId="0">
      <selection activeCell="E20" sqref="E20"/>
    </sheetView>
  </sheetViews>
  <sheetFormatPr baseColWidth="10" defaultColWidth="11.42578125" defaultRowHeight="12.75" x14ac:dyDescent="0.2"/>
  <cols>
    <col min="1" max="1" width="28.7109375" bestFit="1" customWidth="1"/>
  </cols>
  <sheetData>
    <row r="1" spans="1:6" ht="15" x14ac:dyDescent="0.25">
      <c r="A1" s="111" t="s">
        <v>0</v>
      </c>
      <c r="B1" s="112">
        <v>1</v>
      </c>
      <c r="C1" s="112">
        <v>2</v>
      </c>
      <c r="D1" s="112">
        <v>3</v>
      </c>
      <c r="E1" s="112">
        <v>4</v>
      </c>
    </row>
    <row r="2" spans="1:6" x14ac:dyDescent="0.2">
      <c r="A2" s="113" t="s">
        <v>13</v>
      </c>
      <c r="B2" s="6">
        <v>1000</v>
      </c>
      <c r="C2" s="6">
        <v>1300</v>
      </c>
      <c r="D2" s="6">
        <v>1300</v>
      </c>
      <c r="E2" s="6">
        <v>1200</v>
      </c>
    </row>
    <row r="3" spans="1:6" x14ac:dyDescent="0.2">
      <c r="A3" s="114" t="s">
        <v>7</v>
      </c>
      <c r="B3" s="80">
        <v>3700</v>
      </c>
      <c r="C3" s="79">
        <f>$B$3</f>
        <v>3700</v>
      </c>
      <c r="D3" s="79">
        <f t="shared" ref="D3:E3" si="0">$B$3</f>
        <v>3700</v>
      </c>
      <c r="E3" s="79">
        <f t="shared" si="0"/>
        <v>3700</v>
      </c>
    </row>
    <row r="4" spans="1:6" x14ac:dyDescent="0.2">
      <c r="A4" s="126" t="s">
        <v>77</v>
      </c>
      <c r="B4" s="125">
        <v>0.6</v>
      </c>
      <c r="C4" s="125">
        <f>$B$4</f>
        <v>0.6</v>
      </c>
      <c r="D4" s="125">
        <f t="shared" ref="D4:E4" si="1">$B$4</f>
        <v>0.6</v>
      </c>
      <c r="E4" s="125">
        <f t="shared" si="1"/>
        <v>0.6</v>
      </c>
    </row>
    <row r="5" spans="1:6" x14ac:dyDescent="0.2">
      <c r="A5" s="127" t="s">
        <v>78</v>
      </c>
      <c r="B5" s="129">
        <v>1480</v>
      </c>
      <c r="C5" s="33"/>
      <c r="D5" s="33"/>
      <c r="E5" s="33"/>
    </row>
    <row r="6" spans="1:6" x14ac:dyDescent="0.2">
      <c r="A6" s="128" t="s">
        <v>79</v>
      </c>
      <c r="B6" s="130">
        <f>B3-B5</f>
        <v>2220</v>
      </c>
      <c r="C6" s="33"/>
      <c r="D6" s="33"/>
      <c r="E6" s="33"/>
    </row>
    <row r="7" spans="1:6" x14ac:dyDescent="0.2">
      <c r="A7" s="7" t="s">
        <v>4</v>
      </c>
      <c r="B7" s="130">
        <v>900000</v>
      </c>
      <c r="C7" s="33"/>
      <c r="D7" s="33"/>
      <c r="E7" s="33"/>
    </row>
    <row r="8" spans="1:6" x14ac:dyDescent="0.2">
      <c r="A8" s="134" t="s">
        <v>21</v>
      </c>
      <c r="B8" s="131">
        <v>0.1</v>
      </c>
    </row>
    <row r="10" spans="1:6" ht="15" x14ac:dyDescent="0.25">
      <c r="A10" s="116" t="s">
        <v>0</v>
      </c>
      <c r="B10" s="117">
        <v>0</v>
      </c>
      <c r="C10" s="117">
        <v>1</v>
      </c>
      <c r="D10" s="117">
        <v>2</v>
      </c>
      <c r="E10" s="117">
        <v>3</v>
      </c>
      <c r="F10" s="117">
        <v>4</v>
      </c>
    </row>
    <row r="11" spans="1:6" x14ac:dyDescent="0.2">
      <c r="A11" t="s">
        <v>2</v>
      </c>
      <c r="C11" s="115">
        <f>B2*B3</f>
        <v>3700000</v>
      </c>
      <c r="D11" s="115">
        <f t="shared" ref="D11:F11" si="2">C2*C3</f>
        <v>4810000</v>
      </c>
      <c r="E11" s="115">
        <f t="shared" si="2"/>
        <v>4810000</v>
      </c>
      <c r="F11" s="115">
        <f t="shared" si="2"/>
        <v>4440000</v>
      </c>
    </row>
    <row r="12" spans="1:6" x14ac:dyDescent="0.2">
      <c r="A12" s="85" t="s">
        <v>3</v>
      </c>
      <c r="B12" s="85"/>
      <c r="C12" s="118">
        <f>-$B$5*B2</f>
        <v>-1480000</v>
      </c>
      <c r="D12" s="118">
        <f t="shared" ref="D12:F12" si="3">-$B$5*C2</f>
        <v>-1924000</v>
      </c>
      <c r="E12" s="118">
        <f t="shared" si="3"/>
        <v>-1924000</v>
      </c>
      <c r="F12" s="118">
        <f t="shared" si="3"/>
        <v>-1776000</v>
      </c>
    </row>
    <row r="13" spans="1:6" x14ac:dyDescent="0.2">
      <c r="A13" t="s">
        <v>56</v>
      </c>
      <c r="C13" s="115">
        <f>SUM(C11:C12)</f>
        <v>2220000</v>
      </c>
      <c r="D13" s="115">
        <f t="shared" ref="D13:F13" si="4">SUM(D11:D12)</f>
        <v>2886000</v>
      </c>
      <c r="E13" s="115">
        <f t="shared" si="4"/>
        <v>2886000</v>
      </c>
      <c r="F13" s="115">
        <f t="shared" si="4"/>
        <v>2664000</v>
      </c>
    </row>
    <row r="14" spans="1:6" x14ac:dyDescent="0.2">
      <c r="A14" t="s">
        <v>4</v>
      </c>
      <c r="C14" s="74">
        <f>-$B$7</f>
        <v>-900000</v>
      </c>
      <c r="D14" s="74">
        <f t="shared" ref="D14:F14" si="5">-$B$7</f>
        <v>-900000</v>
      </c>
      <c r="E14" s="74">
        <f t="shared" si="5"/>
        <v>-900000</v>
      </c>
      <c r="F14" s="74">
        <f t="shared" si="5"/>
        <v>-900000</v>
      </c>
    </row>
    <row r="15" spans="1:6" x14ac:dyDescent="0.2">
      <c r="A15" s="85" t="s">
        <v>19</v>
      </c>
      <c r="B15" s="86">
        <v>-6000000</v>
      </c>
      <c r="C15" s="85"/>
      <c r="D15" s="85"/>
      <c r="E15" s="85"/>
      <c r="F15" s="86">
        <v>1250000</v>
      </c>
    </row>
    <row r="16" spans="1:6" x14ac:dyDescent="0.2">
      <c r="A16" s="119" t="s">
        <v>5</v>
      </c>
      <c r="B16" s="120">
        <f>SUM(B11:B15)</f>
        <v>-6000000</v>
      </c>
      <c r="C16" s="120">
        <f>SUM(C13:C15)</f>
        <v>1320000</v>
      </c>
      <c r="D16" s="120">
        <f>SUM(D13:D15)</f>
        <v>1986000</v>
      </c>
      <c r="E16" s="120">
        <f>SUM(E13:E15)</f>
        <v>1986000</v>
      </c>
      <c r="F16" s="120">
        <f>SUM(F13:F15)</f>
        <v>3014000</v>
      </c>
    </row>
    <row r="18" spans="1:2" ht="15" x14ac:dyDescent="0.25">
      <c r="A18" s="143" t="s">
        <v>89</v>
      </c>
      <c r="B18" s="145">
        <f>NPV(B8,C16:F16)+B16</f>
        <v>392036.0631104419</v>
      </c>
    </row>
    <row r="19" spans="1:2" ht="15" x14ac:dyDescent="0.25">
      <c r="A19" s="144" t="s">
        <v>6</v>
      </c>
      <c r="B19" s="146">
        <f>IRR(B16:F16)</f>
        <v>0.12633556572781557</v>
      </c>
    </row>
    <row r="21" spans="1:2" x14ac:dyDescent="0.2">
      <c r="A21" s="126" t="s">
        <v>37</v>
      </c>
      <c r="B21" s="150">
        <f>PMT(B8,F10,-B18)</f>
        <v>123675.93191122561</v>
      </c>
    </row>
    <row r="23" spans="1:2" x14ac:dyDescent="0.2">
      <c r="A23" s="147" t="s">
        <v>80</v>
      </c>
      <c r="B23" s="151">
        <f>-C14+B21</f>
        <v>1023675.9319112257</v>
      </c>
    </row>
    <row r="25" spans="1:2" x14ac:dyDescent="0.2">
      <c r="A25" s="148" t="s">
        <v>81</v>
      </c>
      <c r="B25" s="152">
        <f>B18*(1+B8)^F10</f>
        <v>573979.99999999814</v>
      </c>
    </row>
    <row r="26" spans="1:2" x14ac:dyDescent="0.2">
      <c r="A26" s="133" t="s">
        <v>82</v>
      </c>
      <c r="B26" s="153">
        <f>F15-B25</f>
        <v>676020.00000000186</v>
      </c>
    </row>
    <row r="28" spans="1:2" x14ac:dyDescent="0.2">
      <c r="A28" s="148" t="s">
        <v>83</v>
      </c>
      <c r="B28" s="154">
        <f>NPV(B8,B2:E2)</f>
        <v>3779.7964619903009</v>
      </c>
    </row>
    <row r="29" spans="1:2" x14ac:dyDescent="0.2">
      <c r="A29" s="149" t="s">
        <v>84</v>
      </c>
      <c r="B29" s="155">
        <f>B18/B28</f>
        <v>103.71882905673979</v>
      </c>
    </row>
    <row r="30" spans="1:2" x14ac:dyDescent="0.2">
      <c r="A30" s="133" t="s">
        <v>85</v>
      </c>
      <c r="B30" s="156">
        <f>B3-B29</f>
        <v>3596.2811709432603</v>
      </c>
    </row>
    <row r="32" spans="1:2" x14ac:dyDescent="0.2">
      <c r="A32" s="148" t="s">
        <v>87</v>
      </c>
      <c r="B32" s="158">
        <f>B25/B6</f>
        <v>258.54954954954871</v>
      </c>
    </row>
    <row r="33" spans="1:2" x14ac:dyDescent="0.2">
      <c r="A33" s="133" t="s">
        <v>88</v>
      </c>
      <c r="B33" s="157">
        <f>E2-B32</f>
        <v>941.45045045045129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888CA-9642-4A30-B9BC-6E4FCEEFB3C5}">
  <dimension ref="A1:G47"/>
  <sheetViews>
    <sheetView tabSelected="1" topLeftCell="A10" zoomScale="160" zoomScaleNormal="160" workbookViewId="0">
      <selection activeCell="D40" sqref="D40"/>
    </sheetView>
  </sheetViews>
  <sheetFormatPr baseColWidth="10" defaultRowHeight="12.75" x14ac:dyDescent="0.2"/>
  <cols>
    <col min="1" max="1" width="23.7109375" bestFit="1" customWidth="1"/>
    <col min="2" max="2" width="12.7109375" bestFit="1" customWidth="1"/>
    <col min="3" max="5" width="12.140625" bestFit="1" customWidth="1"/>
  </cols>
  <sheetData>
    <row r="1" spans="1:7" x14ac:dyDescent="0.2">
      <c r="A1" s="163" t="s">
        <v>19</v>
      </c>
      <c r="B1" s="160">
        <v>5000000</v>
      </c>
      <c r="C1" s="159"/>
      <c r="D1" s="159"/>
    </row>
    <row r="2" spans="1:7" x14ac:dyDescent="0.2">
      <c r="A2" s="164" t="s">
        <v>30</v>
      </c>
      <c r="B2" s="161">
        <v>1600000</v>
      </c>
      <c r="C2" s="159"/>
      <c r="D2" s="159"/>
    </row>
    <row r="3" spans="1:7" x14ac:dyDescent="0.2">
      <c r="A3" s="164" t="s">
        <v>90</v>
      </c>
      <c r="B3" s="161">
        <v>1800000</v>
      </c>
      <c r="C3" s="159"/>
      <c r="D3" s="159"/>
      <c r="E3" s="159"/>
      <c r="F3" s="159"/>
      <c r="G3" s="159"/>
    </row>
    <row r="4" spans="1:7" x14ac:dyDescent="0.2">
      <c r="A4" s="165" t="s">
        <v>21</v>
      </c>
      <c r="B4" s="162">
        <v>0.1</v>
      </c>
      <c r="C4" s="159"/>
      <c r="D4" s="159"/>
      <c r="E4" s="159"/>
      <c r="F4" s="159"/>
      <c r="G4" s="159"/>
    </row>
    <row r="5" spans="1:7" x14ac:dyDescent="0.2">
      <c r="A5" s="159"/>
      <c r="B5" s="159"/>
      <c r="C5" s="159"/>
      <c r="D5" s="159"/>
      <c r="E5" s="159"/>
      <c r="F5" s="159"/>
      <c r="G5" s="159"/>
    </row>
    <row r="6" spans="1:7" x14ac:dyDescent="0.2">
      <c r="A6" s="167" t="s">
        <v>0</v>
      </c>
      <c r="B6" s="168">
        <v>0</v>
      </c>
      <c r="C6" s="168">
        <v>1</v>
      </c>
      <c r="D6" s="168">
        <v>2</v>
      </c>
      <c r="E6" s="168">
        <v>3</v>
      </c>
      <c r="F6" s="159"/>
      <c r="G6" s="159"/>
    </row>
    <row r="7" spans="1:7" x14ac:dyDescent="0.2">
      <c r="A7" s="159" t="s">
        <v>91</v>
      </c>
      <c r="B7" s="171"/>
      <c r="C7" s="171">
        <f>$B$3</f>
        <v>1800000</v>
      </c>
      <c r="D7" s="171">
        <f t="shared" ref="D7:E7" si="0">$B$3</f>
        <v>1800000</v>
      </c>
      <c r="E7" s="171">
        <f t="shared" si="0"/>
        <v>1800000</v>
      </c>
      <c r="F7" s="159"/>
      <c r="G7" s="159"/>
    </row>
    <row r="8" spans="1:7" x14ac:dyDescent="0.2">
      <c r="A8" s="169" t="s">
        <v>19</v>
      </c>
      <c r="B8" s="172">
        <f>-$B$1</f>
        <v>-5000000</v>
      </c>
      <c r="C8" s="172"/>
      <c r="D8" s="172"/>
      <c r="E8" s="172">
        <f>$B$2</f>
        <v>1600000</v>
      </c>
      <c r="F8" s="159"/>
      <c r="G8" s="159"/>
    </row>
    <row r="9" spans="1:7" x14ac:dyDescent="0.2">
      <c r="A9" s="170" t="s">
        <v>5</v>
      </c>
      <c r="B9" s="173">
        <f>SUM(B7:B8)</f>
        <v>-5000000</v>
      </c>
      <c r="C9" s="173">
        <f t="shared" ref="C9:E9" si="1">SUM(C7:C8)</f>
        <v>1800000</v>
      </c>
      <c r="D9" s="173">
        <f t="shared" si="1"/>
        <v>1800000</v>
      </c>
      <c r="E9" s="173">
        <f t="shared" si="1"/>
        <v>3400000</v>
      </c>
      <c r="F9" s="159"/>
      <c r="G9" s="159"/>
    </row>
    <row r="10" spans="1:7" x14ac:dyDescent="0.2">
      <c r="A10" s="159"/>
      <c r="B10" s="159"/>
      <c r="C10" s="159"/>
      <c r="D10" s="159"/>
      <c r="E10" s="159"/>
      <c r="F10" s="159"/>
      <c r="G10" s="159"/>
    </row>
    <row r="11" spans="1:7" x14ac:dyDescent="0.2">
      <c r="A11" s="163" t="s">
        <v>22</v>
      </c>
      <c r="B11" s="175">
        <f>NPV(B4,C9:E9)+B9</f>
        <v>678437.26521412376</v>
      </c>
      <c r="C11" s="159"/>
      <c r="D11" s="159"/>
      <c r="E11" s="159"/>
      <c r="F11" s="159"/>
      <c r="G11" s="159"/>
    </row>
    <row r="12" spans="1:7" x14ac:dyDescent="0.2">
      <c r="A12" s="165" t="s">
        <v>6</v>
      </c>
      <c r="B12" s="176">
        <f>IRR(B9:E9)</f>
        <v>0.16737261065897746</v>
      </c>
      <c r="C12" s="166" t="s">
        <v>93</v>
      </c>
      <c r="D12" s="159" t="s">
        <v>92</v>
      </c>
      <c r="E12" s="159"/>
      <c r="F12" s="159"/>
      <c r="G12" s="159"/>
    </row>
    <row r="13" spans="1:7" x14ac:dyDescent="0.2">
      <c r="A13" s="159"/>
      <c r="B13" s="159"/>
      <c r="C13" s="159"/>
      <c r="D13" s="159"/>
      <c r="E13" s="159"/>
      <c r="F13" s="159"/>
      <c r="G13" s="159"/>
    </row>
    <row r="14" spans="1:7" x14ac:dyDescent="0.2">
      <c r="A14" s="163" t="s">
        <v>94</v>
      </c>
      <c r="B14" s="175">
        <f>B11*(1+B4)^E6</f>
        <v>902999.99999999895</v>
      </c>
      <c r="C14" s="159"/>
      <c r="D14" s="159"/>
      <c r="E14" s="159"/>
      <c r="F14" s="159"/>
      <c r="G14" s="159"/>
    </row>
    <row r="15" spans="1:7" x14ac:dyDescent="0.2">
      <c r="A15" s="165" t="s">
        <v>95</v>
      </c>
      <c r="B15" s="177">
        <f>B2-B14</f>
        <v>697000.00000000105</v>
      </c>
      <c r="C15" s="166" t="s">
        <v>96</v>
      </c>
      <c r="D15" s="159" t="s">
        <v>97</v>
      </c>
      <c r="E15" s="159"/>
      <c r="F15" s="159"/>
      <c r="G15" s="159"/>
    </row>
    <row r="16" spans="1:7" x14ac:dyDescent="0.2">
      <c r="A16" s="159"/>
      <c r="B16" s="159"/>
      <c r="C16" s="159"/>
      <c r="D16" s="159"/>
      <c r="E16" s="159"/>
      <c r="F16" s="159"/>
      <c r="G16" s="159"/>
    </row>
    <row r="17" spans="1:7" x14ac:dyDescent="0.2">
      <c r="A17" s="163" t="s">
        <v>37</v>
      </c>
      <c r="B17" s="178">
        <f>-PMT(B4,E6,B11)</f>
        <v>272809.66767371568</v>
      </c>
      <c r="C17" s="166" t="s">
        <v>99</v>
      </c>
      <c r="D17" s="159" t="s">
        <v>97</v>
      </c>
      <c r="E17" s="159"/>
      <c r="F17" s="159"/>
      <c r="G17" s="159"/>
    </row>
    <row r="18" spans="1:7" x14ac:dyDescent="0.2">
      <c r="A18" s="165" t="s">
        <v>98</v>
      </c>
      <c r="B18" s="177">
        <f>B3-B17</f>
        <v>1527190.3323262844</v>
      </c>
      <c r="C18" s="159"/>
      <c r="D18" s="159"/>
      <c r="E18" s="159"/>
      <c r="F18" s="159"/>
      <c r="G18" s="159"/>
    </row>
    <row r="19" spans="1:7" x14ac:dyDescent="0.2">
      <c r="A19" s="159"/>
      <c r="B19" s="159"/>
      <c r="C19" s="159"/>
      <c r="D19" s="159"/>
      <c r="E19" s="159"/>
      <c r="F19" s="159"/>
      <c r="G19" s="159"/>
    </row>
    <row r="20" spans="1:7" x14ac:dyDescent="0.2">
      <c r="A20" s="163" t="s">
        <v>100</v>
      </c>
      <c r="B20" s="160">
        <v>2000</v>
      </c>
      <c r="C20" s="159"/>
      <c r="D20" s="159"/>
      <c r="E20" s="159"/>
      <c r="F20" s="159"/>
      <c r="G20" s="159"/>
    </row>
    <row r="21" spans="1:7" x14ac:dyDescent="0.2">
      <c r="A21" s="164"/>
      <c r="B21" s="180"/>
      <c r="C21" s="159"/>
      <c r="D21" s="159"/>
      <c r="E21" s="159"/>
      <c r="F21" s="159"/>
      <c r="G21" s="159"/>
    </row>
    <row r="22" spans="1:7" x14ac:dyDescent="0.2">
      <c r="A22" s="164" t="s">
        <v>52</v>
      </c>
      <c r="B22" s="180">
        <v>300</v>
      </c>
      <c r="C22" s="159"/>
      <c r="D22" s="159"/>
      <c r="E22" s="159"/>
      <c r="F22" s="159"/>
      <c r="G22" s="159"/>
    </row>
    <row r="23" spans="1:7" x14ac:dyDescent="0.2">
      <c r="A23" s="165" t="s">
        <v>101</v>
      </c>
      <c r="B23" s="174">
        <v>150</v>
      </c>
      <c r="C23" s="159"/>
      <c r="D23" s="159"/>
      <c r="E23" s="159"/>
      <c r="F23" s="159"/>
      <c r="G23" s="159"/>
    </row>
    <row r="24" spans="1:7" x14ac:dyDescent="0.2">
      <c r="A24" s="179" t="s">
        <v>56</v>
      </c>
      <c r="B24" s="181">
        <f>B22-B23</f>
        <v>150</v>
      </c>
      <c r="C24" s="159"/>
      <c r="D24" s="159"/>
      <c r="E24" s="159"/>
      <c r="F24" s="159"/>
      <c r="G24" s="159"/>
    </row>
    <row r="25" spans="1:7" x14ac:dyDescent="0.2">
      <c r="A25" s="159"/>
      <c r="B25" s="159"/>
      <c r="C25" s="159"/>
      <c r="D25" s="159"/>
      <c r="E25" s="159"/>
      <c r="F25" s="159"/>
      <c r="G25" s="159"/>
    </row>
    <row r="26" spans="1:7" x14ac:dyDescent="0.2">
      <c r="A26" s="167" t="s">
        <v>0</v>
      </c>
      <c r="B26" s="168">
        <v>0</v>
      </c>
      <c r="C26" s="168">
        <v>1</v>
      </c>
      <c r="D26" s="168">
        <v>2</v>
      </c>
      <c r="E26" s="168">
        <v>3</v>
      </c>
      <c r="F26" s="159"/>
      <c r="G26" s="159"/>
    </row>
    <row r="27" spans="1:7" x14ac:dyDescent="0.2">
      <c r="A27" s="159" t="s">
        <v>91</v>
      </c>
      <c r="B27" s="171"/>
      <c r="C27" s="171">
        <f>$B$3</f>
        <v>1800000</v>
      </c>
      <c r="D27" s="171">
        <f t="shared" ref="D27:E27" si="2">$B$3</f>
        <v>1800000</v>
      </c>
      <c r="E27" s="171">
        <f t="shared" si="2"/>
        <v>1800000</v>
      </c>
      <c r="F27" s="159"/>
      <c r="G27" s="159"/>
    </row>
    <row r="28" spans="1:7" x14ac:dyDescent="0.2">
      <c r="A28" s="159" t="s">
        <v>102</v>
      </c>
      <c r="B28" s="171"/>
      <c r="C28" s="171">
        <f>-$B$24*$B$20</f>
        <v>-300000</v>
      </c>
      <c r="D28" s="171">
        <f t="shared" ref="D28:E28" si="3">-$B$24*$B$20</f>
        <v>-300000</v>
      </c>
      <c r="E28" s="171">
        <f t="shared" si="3"/>
        <v>-300000</v>
      </c>
      <c r="F28" s="159"/>
      <c r="G28" s="159"/>
    </row>
    <row r="29" spans="1:7" x14ac:dyDescent="0.2">
      <c r="A29" s="169" t="s">
        <v>19</v>
      </c>
      <c r="B29" s="172">
        <f>-$B$1</f>
        <v>-5000000</v>
      </c>
      <c r="C29" s="172"/>
      <c r="D29" s="172"/>
      <c r="E29" s="172">
        <f>$B$2</f>
        <v>1600000</v>
      </c>
      <c r="F29" s="159"/>
      <c r="G29" s="159"/>
    </row>
    <row r="30" spans="1:7" x14ac:dyDescent="0.2">
      <c r="A30" s="170" t="s">
        <v>5</v>
      </c>
      <c r="B30" s="173">
        <f>SUM(B27:B29)</f>
        <v>-5000000</v>
      </c>
      <c r="C30" s="173">
        <f t="shared" ref="C30" si="4">SUM(C27:C29)</f>
        <v>1500000</v>
      </c>
      <c r="D30" s="173">
        <f t="shared" ref="D30" si="5">SUM(D27:D29)</f>
        <v>1500000</v>
      </c>
      <c r="E30" s="173">
        <f t="shared" ref="E30" si="6">SUM(E27:E29)</f>
        <v>3100000</v>
      </c>
      <c r="F30" s="159"/>
      <c r="G30" s="159"/>
    </row>
    <row r="31" spans="1:7" x14ac:dyDescent="0.2">
      <c r="A31" s="159"/>
      <c r="B31" s="159"/>
      <c r="C31" s="159"/>
      <c r="D31" s="159"/>
      <c r="E31" s="159"/>
      <c r="F31" s="159"/>
      <c r="G31" s="159"/>
    </row>
    <row r="32" spans="1:7" x14ac:dyDescent="0.2">
      <c r="A32" s="179" t="s">
        <v>22</v>
      </c>
      <c r="B32" s="182">
        <f>NPV(B4,C30:E30)+B30</f>
        <v>-67618.332081142813</v>
      </c>
      <c r="C32" s="166" t="s">
        <v>103</v>
      </c>
      <c r="D32" s="159" t="s">
        <v>104</v>
      </c>
      <c r="E32" s="159"/>
      <c r="F32" s="159"/>
      <c r="G32" s="159"/>
    </row>
    <row r="33" spans="1:7" x14ac:dyDescent="0.2">
      <c r="A33" s="159"/>
      <c r="B33" s="159"/>
      <c r="C33" s="159"/>
      <c r="D33" s="159"/>
      <c r="E33" s="159"/>
      <c r="F33" s="159"/>
      <c r="G33" s="159"/>
    </row>
    <row r="34" spans="1:7" x14ac:dyDescent="0.2">
      <c r="A34" s="167" t="s">
        <v>0</v>
      </c>
      <c r="B34" s="168">
        <v>0</v>
      </c>
      <c r="C34" s="168">
        <v>1</v>
      </c>
      <c r="D34" s="168">
        <v>2</v>
      </c>
      <c r="E34" s="159"/>
      <c r="F34" s="159"/>
      <c r="G34" s="159"/>
    </row>
    <row r="35" spans="1:7" x14ac:dyDescent="0.2">
      <c r="A35" s="159" t="s">
        <v>91</v>
      </c>
      <c r="B35" s="171"/>
      <c r="C35" s="171">
        <f>C30</f>
        <v>1500000</v>
      </c>
      <c r="D35" s="171">
        <f>D30</f>
        <v>1500000</v>
      </c>
      <c r="E35" s="159"/>
      <c r="F35" s="159"/>
      <c r="G35" s="159"/>
    </row>
    <row r="36" spans="1:7" x14ac:dyDescent="0.2">
      <c r="A36" s="169" t="s">
        <v>19</v>
      </c>
      <c r="B36" s="172">
        <v>-3000000</v>
      </c>
      <c r="C36" s="172"/>
      <c r="D36" s="172">
        <v>1600000</v>
      </c>
      <c r="E36" s="159"/>
      <c r="F36" s="159"/>
      <c r="G36" s="159"/>
    </row>
    <row r="37" spans="1:7" x14ac:dyDescent="0.2">
      <c r="A37" s="170" t="s">
        <v>5</v>
      </c>
      <c r="B37" s="173">
        <f>SUM(B35:B36)</f>
        <v>-3000000</v>
      </c>
      <c r="C37" s="173">
        <f t="shared" ref="C37" si="7">SUM(C35:C36)</f>
        <v>1500000</v>
      </c>
      <c r="D37" s="173">
        <f t="shared" ref="D37" si="8">SUM(D35:D36)</f>
        <v>3100000</v>
      </c>
      <c r="E37" s="159"/>
      <c r="F37" s="159"/>
      <c r="G37" s="159"/>
    </row>
    <row r="38" spans="1:7" x14ac:dyDescent="0.2">
      <c r="B38" s="159"/>
      <c r="C38" s="159"/>
      <c r="D38" s="159"/>
      <c r="E38" s="159"/>
      <c r="F38" s="159"/>
      <c r="G38" s="159"/>
    </row>
    <row r="39" spans="1:7" x14ac:dyDescent="0.2">
      <c r="A39" s="179" t="s">
        <v>22</v>
      </c>
      <c r="B39" s="183">
        <f>NPV(B4,C37:D37)+B37</f>
        <v>925619.83471074374</v>
      </c>
      <c r="C39" s="166" t="s">
        <v>105</v>
      </c>
      <c r="D39" s="159" t="s">
        <v>106</v>
      </c>
      <c r="E39" s="159"/>
      <c r="F39" s="159"/>
      <c r="G39" s="159"/>
    </row>
    <row r="40" spans="1:7" x14ac:dyDescent="0.2">
      <c r="A40" s="159"/>
      <c r="B40" s="159"/>
      <c r="C40" s="159"/>
      <c r="D40" s="159"/>
      <c r="E40" s="159"/>
      <c r="F40" s="159"/>
      <c r="G40" s="159"/>
    </row>
    <row r="41" spans="1:7" x14ac:dyDescent="0.2">
      <c r="A41" s="159"/>
      <c r="B41" s="159"/>
      <c r="C41" s="159"/>
      <c r="D41" s="159"/>
    </row>
    <row r="42" spans="1:7" x14ac:dyDescent="0.2">
      <c r="A42" s="159"/>
      <c r="B42" s="159"/>
      <c r="C42" s="159"/>
      <c r="D42" s="159"/>
    </row>
    <row r="43" spans="1:7" x14ac:dyDescent="0.2">
      <c r="A43" s="159"/>
      <c r="B43" s="159"/>
      <c r="C43" s="159"/>
      <c r="D43" s="159"/>
    </row>
    <row r="44" spans="1:7" x14ac:dyDescent="0.2">
      <c r="A44" s="159"/>
      <c r="B44" s="159"/>
      <c r="C44" s="159"/>
      <c r="D44" s="159"/>
    </row>
    <row r="45" spans="1:7" x14ac:dyDescent="0.2">
      <c r="A45" s="159"/>
      <c r="B45" s="159"/>
      <c r="C45" s="159"/>
      <c r="D45" s="159"/>
    </row>
    <row r="46" spans="1:7" x14ac:dyDescent="0.2">
      <c r="A46" s="159"/>
      <c r="B46" s="159"/>
      <c r="C46" s="159"/>
      <c r="D46" s="159"/>
    </row>
    <row r="47" spans="1:7" x14ac:dyDescent="0.2">
      <c r="A47" s="159"/>
      <c r="B47" s="159"/>
      <c r="C47" s="159"/>
      <c r="D47" s="15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Opp 1</vt:lpstr>
      <vt:lpstr>Opp 2</vt:lpstr>
      <vt:lpstr>Opp 3</vt:lpstr>
      <vt:lpstr>Opp 4</vt:lpstr>
      <vt:lpstr>Opp 5</vt:lpstr>
      <vt:lpstr>Opp 6</vt:lpstr>
      <vt:lpstr>Opp 7</vt:lpstr>
      <vt:lpstr>Opp 8</vt:lpstr>
      <vt:lpstr>Opp 9</vt:lpstr>
    </vt:vector>
  </TitlesOfParts>
  <Manager/>
  <Company>NKS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Ivar Bredesen</dc:creator>
  <cp:keywords/>
  <dc:description/>
  <cp:lastModifiedBy>Ivar Bredesen</cp:lastModifiedBy>
  <cp:revision/>
  <dcterms:created xsi:type="dcterms:W3CDTF">1999-02-13T12:15:21Z</dcterms:created>
  <dcterms:modified xsi:type="dcterms:W3CDTF">2023-06-23T07:06:41Z</dcterms:modified>
  <cp:category/>
  <cp:contentStatus/>
</cp:coreProperties>
</file>