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8ABCBE76-7B03-401E-942F-B8FE51660E3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ppgave 1" sheetId="1" r:id="rId1"/>
    <sheet name="Oppgave 2" sheetId="3" r:id="rId2"/>
    <sheet name="Oppgave 3" sheetId="2" r:id="rId3"/>
    <sheet name="Oppgave 4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10" i="5"/>
  <c r="B24" i="5"/>
  <c r="B23" i="5"/>
  <c r="G15" i="5"/>
  <c r="G21" i="5" s="1"/>
  <c r="F15" i="5"/>
  <c r="E15" i="5"/>
  <c r="D15" i="5"/>
  <c r="C15" i="5"/>
  <c r="C21" i="5" s="1"/>
  <c r="B2" i="5"/>
  <c r="B11" i="5" l="1"/>
  <c r="D21" i="5"/>
  <c r="D16" i="5"/>
  <c r="D19" i="5" s="1"/>
  <c r="E21" i="5"/>
  <c r="E16" i="5"/>
  <c r="F16" i="5"/>
  <c r="F19" i="5" s="1"/>
  <c r="E19" i="5"/>
  <c r="D20" i="5"/>
  <c r="D25" i="5" s="1"/>
  <c r="B21" i="5"/>
  <c r="B25" i="5" s="1"/>
  <c r="F21" i="5"/>
  <c r="C16" i="5"/>
  <c r="C19" i="5" s="1"/>
  <c r="G16" i="5"/>
  <c r="G19" i="5" s="1"/>
  <c r="F20" i="5" l="1"/>
  <c r="F25" i="5"/>
  <c r="C20" i="5"/>
  <c r="C25" i="5" s="1"/>
  <c r="E20" i="5"/>
  <c r="E25" i="5"/>
  <c r="G20" i="5"/>
  <c r="G25" i="5" s="1"/>
  <c r="B27" i="5" l="1"/>
  <c r="B4" i="1" l="1"/>
  <c r="B29" i="3" l="1"/>
  <c r="B30" i="3" s="1"/>
  <c r="B17" i="3"/>
  <c r="B3" i="3"/>
  <c r="B11" i="3" s="1"/>
  <c r="B36" i="1"/>
  <c r="B34" i="1"/>
  <c r="B35" i="1" s="1"/>
  <c r="B37" i="1" s="1"/>
  <c r="B26" i="2"/>
  <c r="C19" i="2"/>
  <c r="B19" i="2"/>
  <c r="D18" i="2"/>
  <c r="A18" i="2"/>
  <c r="D17" i="2"/>
  <c r="A17" i="2"/>
  <c r="C16" i="2"/>
  <c r="B16" i="2"/>
  <c r="D10" i="2"/>
  <c r="B11" i="2" s="1"/>
  <c r="C10" i="2"/>
  <c r="C9" i="2"/>
  <c r="D3" i="2"/>
  <c r="B4" i="2" s="1"/>
  <c r="C3" i="2"/>
  <c r="C2" i="2"/>
  <c r="D19" i="2" l="1"/>
  <c r="C11" i="2"/>
  <c r="C12" i="2" s="1"/>
  <c r="C4" i="2"/>
  <c r="B28" i="2" l="1"/>
  <c r="B8" i="3"/>
  <c r="B12" i="3"/>
  <c r="B22" i="2"/>
  <c r="C13" i="2"/>
  <c r="C5" i="2"/>
  <c r="B32" i="2" s="1"/>
  <c r="B34" i="2" s="1"/>
  <c r="B35" i="2" s="1"/>
  <c r="C11" i="3" l="1"/>
  <c r="B13" i="3"/>
  <c r="B18" i="3" s="1"/>
  <c r="B20" i="3" s="1"/>
  <c r="B21" i="3" s="1"/>
  <c r="B26" i="3" s="1"/>
  <c r="B33" i="2"/>
  <c r="C6" i="2"/>
  <c r="B29" i="2"/>
  <c r="B30" i="2" s="1"/>
  <c r="C12" i="3" l="1"/>
  <c r="D11" i="3" s="1"/>
  <c r="B23" i="2"/>
  <c r="D13" i="1"/>
  <c r="E13" i="1"/>
  <c r="F13" i="1"/>
  <c r="G13" i="1"/>
  <c r="C13" i="1"/>
  <c r="D12" i="1"/>
  <c r="E12" i="1"/>
  <c r="F12" i="1"/>
  <c r="G12" i="1"/>
  <c r="C12" i="1"/>
  <c r="B16" i="1" s="1"/>
  <c r="B18" i="1" s="1"/>
  <c r="D14" i="1"/>
  <c r="E14" i="1"/>
  <c r="F14" i="1"/>
  <c r="G14" i="1"/>
  <c r="C14" i="1"/>
  <c r="B6" i="1"/>
  <c r="F18" i="1" l="1"/>
  <c r="D12" i="3"/>
  <c r="D13" i="3" s="1"/>
  <c r="C13" i="3"/>
  <c r="E18" i="1"/>
  <c r="D18" i="1"/>
  <c r="C18" i="1"/>
  <c r="G16" i="1"/>
  <c r="G18" i="1" s="1"/>
  <c r="B23" i="1" s="1"/>
  <c r="B22" i="1" l="1"/>
  <c r="B25" i="1" s="1"/>
  <c r="B26" i="1" s="1"/>
  <c r="B31" i="1" l="1"/>
  <c r="B27" i="1"/>
  <c r="B29" i="1" s="1"/>
</calcChain>
</file>

<file path=xl/sharedStrings.xml><?xml version="1.0" encoding="utf-8"?>
<sst xmlns="http://schemas.openxmlformats.org/spreadsheetml/2006/main" count="115" uniqueCount="93">
  <si>
    <t>Eurokurs</t>
  </si>
  <si>
    <t>Europris</t>
  </si>
  <si>
    <t>Salgspris</t>
  </si>
  <si>
    <t>Variable kostnader</t>
  </si>
  <si>
    <t>Dekningsbidrag</t>
  </si>
  <si>
    <t>Salgsvolum</t>
  </si>
  <si>
    <t>Faste kostnader</t>
  </si>
  <si>
    <t>År</t>
  </si>
  <si>
    <t>Omsetning</t>
  </si>
  <si>
    <t>Vedlikehold</t>
  </si>
  <si>
    <t>Arbeidskapital</t>
  </si>
  <si>
    <t>Anleggsmidler</t>
  </si>
  <si>
    <t>Kontantstrøm</t>
  </si>
  <si>
    <t>Avkastningskrav</t>
  </si>
  <si>
    <t>Nåverdi</t>
  </si>
  <si>
    <t>Internrente</t>
  </si>
  <si>
    <t>Nåverdiannuitet</t>
  </si>
  <si>
    <t>Prisen kan falle med</t>
  </si>
  <si>
    <t>Laveste pris er</t>
  </si>
  <si>
    <t>Euro salgspris</t>
  </si>
  <si>
    <t>Laveste eurokurs</t>
  </si>
  <si>
    <t>Råvarekostnader kan øke med</t>
  </si>
  <si>
    <t>Økt investering</t>
  </si>
  <si>
    <t>Annuitet 5 år, 10 %</t>
  </si>
  <si>
    <t>Reduserte kostnader år</t>
  </si>
  <si>
    <t>Variabel kost må falle med</t>
  </si>
  <si>
    <t>Lån</t>
  </si>
  <si>
    <t>Årsrente</t>
  </si>
  <si>
    <t>Månedsrente</t>
  </si>
  <si>
    <t>Perioder</t>
  </si>
  <si>
    <t>Renter/avdrag</t>
  </si>
  <si>
    <t>Gebyr</t>
  </si>
  <si>
    <t>Total betaling</t>
  </si>
  <si>
    <t>Måned</t>
  </si>
  <si>
    <t>Renter</t>
  </si>
  <si>
    <t>Avdrag</t>
  </si>
  <si>
    <t>Sum</t>
  </si>
  <si>
    <t>Gebyrer</t>
  </si>
  <si>
    <t>Utbetalt</t>
  </si>
  <si>
    <t>Ytelse inkl. gebyrer</t>
  </si>
  <si>
    <t>Effektiv årsrente</t>
  </si>
  <si>
    <t>Prisstigning</t>
  </si>
  <si>
    <t>Skattesats</t>
  </si>
  <si>
    <t>Realrente etter skatt</t>
  </si>
  <si>
    <t>Nominell månedsrente</t>
  </si>
  <si>
    <t>Nominell årsrente</t>
  </si>
  <si>
    <t>IN</t>
  </si>
  <si>
    <t>Kurs</t>
  </si>
  <si>
    <t>Avkastning</t>
  </si>
  <si>
    <t>Sannsynlighet</t>
  </si>
  <si>
    <t>Høy kurs</t>
  </si>
  <si>
    <t>Lav kurs</t>
  </si>
  <si>
    <t>Forventet verdi</t>
  </si>
  <si>
    <t>Varians</t>
  </si>
  <si>
    <t>Standardavvik</t>
  </si>
  <si>
    <t>FI</t>
  </si>
  <si>
    <t>Kurs på IN</t>
  </si>
  <si>
    <t>Kurs på FI</t>
  </si>
  <si>
    <t>Kovarians</t>
  </si>
  <si>
    <t>Korrelasjon</t>
  </si>
  <si>
    <t>Andel A</t>
  </si>
  <si>
    <t>Andel B</t>
  </si>
  <si>
    <t>Forventet portefølje</t>
  </si>
  <si>
    <t>Varians portefølje</t>
  </si>
  <si>
    <t>Optimal andel IN</t>
  </si>
  <si>
    <t>Forventet avkastning</t>
  </si>
  <si>
    <t>Standardavvik portefølje</t>
  </si>
  <si>
    <t>Gjeldsandel</t>
  </si>
  <si>
    <t>Egenkapitalandel</t>
  </si>
  <si>
    <t>Dgrad</t>
  </si>
  <si>
    <t>Gjeldsrente</t>
  </si>
  <si>
    <t>Volum år 1</t>
  </si>
  <si>
    <t>Risikofri rente</t>
  </si>
  <si>
    <t xml:space="preserve">Volum år 2 </t>
  </si>
  <si>
    <t>Avkastning markedsportefølje</t>
  </si>
  <si>
    <t>Volum år 3</t>
  </si>
  <si>
    <t>Aksbebeta</t>
  </si>
  <si>
    <t>Volum år 4</t>
  </si>
  <si>
    <t>Volum år 5</t>
  </si>
  <si>
    <t>Arb kap</t>
  </si>
  <si>
    <t>Avskrivning</t>
  </si>
  <si>
    <t>Egenkapitalkostnad</t>
  </si>
  <si>
    <t>WACC</t>
  </si>
  <si>
    <t>WACC avrundet</t>
  </si>
  <si>
    <t>Salgsinntekter</t>
  </si>
  <si>
    <t>Økte indirekte kostnader</t>
  </si>
  <si>
    <t>Lønnsøkning</t>
  </si>
  <si>
    <t>Kontantstrøm drift før skatt</t>
  </si>
  <si>
    <t>Skatt</t>
  </si>
  <si>
    <t>NV spart skatt avskrivning</t>
  </si>
  <si>
    <t>NV økt skatt nedskrivning</t>
  </si>
  <si>
    <t>Beregningsgrunnlag</t>
  </si>
  <si>
    <t>Nåverdi etter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</si>
</sst>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\ %"/>
    <numFmt numFmtId="168" formatCode="0.0000"/>
    <numFmt numFmtId="169" formatCode="#,##0.00_ ;[Red]\-#,##0.00\ "/>
    <numFmt numFmtId="170" formatCode="#,##0.0000_ ;[Red]\-#,##0.0000\ "/>
    <numFmt numFmtId="171" formatCode="0.0000\ %"/>
    <numFmt numFmtId="172" formatCode="#,##0_ ;[Red]\-#,##0\ "/>
    <numFmt numFmtId="173" formatCode="0.0000000"/>
    <numFmt numFmtId="174" formatCode="0.00000"/>
    <numFmt numFmtId="175" formatCode="0.00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1" applyNumberFormat="1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0" fillId="4" borderId="4" xfId="0" applyFill="1" applyBorder="1"/>
    <xf numFmtId="166" fontId="0" fillId="4" borderId="5" xfId="0" applyNumberFormat="1" applyFill="1" applyBorder="1"/>
    <xf numFmtId="167" fontId="1" fillId="4" borderId="6" xfId="2" applyNumberFormat="1" applyFont="1" applyFill="1" applyBorder="1"/>
    <xf numFmtId="0" fontId="0" fillId="4" borderId="6" xfId="0" applyFill="1" applyBorder="1"/>
    <xf numFmtId="166" fontId="0" fillId="4" borderId="8" xfId="0" applyNumberFormat="1" applyFill="1" applyBorder="1"/>
    <xf numFmtId="10" fontId="2" fillId="4" borderId="10" xfId="2" applyNumberFormat="1" applyFont="1" applyFill="1" applyBorder="1"/>
    <xf numFmtId="0" fontId="0" fillId="4" borderId="11" xfId="0" applyFill="1" applyBorder="1"/>
    <xf numFmtId="0" fontId="0" fillId="4" borderId="5" xfId="0" applyFill="1" applyBorder="1"/>
    <xf numFmtId="0" fontId="0" fillId="4" borderId="7" xfId="0" applyFill="1" applyBorder="1"/>
    <xf numFmtId="168" fontId="0" fillId="4" borderId="6" xfId="0" applyNumberFormat="1" applyFill="1" applyBorder="1"/>
    <xf numFmtId="0" fontId="0" fillId="4" borderId="12" xfId="0" applyFill="1" applyBorder="1"/>
    <xf numFmtId="0" fontId="3" fillId="3" borderId="1" xfId="0" applyFont="1" applyFill="1" applyBorder="1" applyAlignment="1">
      <alignment horizontal="center"/>
    </xf>
    <xf numFmtId="166" fontId="0" fillId="4" borderId="4" xfId="0" applyNumberFormat="1" applyFill="1" applyBorder="1"/>
    <xf numFmtId="167" fontId="1" fillId="4" borderId="4" xfId="2" applyNumberFormat="1" applyFont="1" applyFill="1" applyBorder="1"/>
    <xf numFmtId="166" fontId="0" fillId="4" borderId="6" xfId="0" applyNumberFormat="1" applyFill="1" applyBorder="1"/>
    <xf numFmtId="0" fontId="0" fillId="4" borderId="10" xfId="0" applyFill="1" applyBorder="1"/>
    <xf numFmtId="168" fontId="0" fillId="4" borderId="4" xfId="0" applyNumberFormat="1" applyFill="1" applyBorder="1"/>
    <xf numFmtId="1" fontId="0" fillId="6" borderId="1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0" fontId="0" fillId="7" borderId="4" xfId="0" applyFill="1" applyBorder="1"/>
    <xf numFmtId="1" fontId="0" fillId="6" borderId="10" xfId="0" applyNumberFormat="1" applyFill="1" applyBorder="1" applyAlignment="1">
      <alignment horizontal="center"/>
    </xf>
    <xf numFmtId="0" fontId="0" fillId="7" borderId="10" xfId="0" applyFill="1" applyBorder="1"/>
    <xf numFmtId="2" fontId="0" fillId="7" borderId="10" xfId="0" applyNumberFormat="1" applyFill="1" applyBorder="1"/>
    <xf numFmtId="2" fontId="0" fillId="0" borderId="0" xfId="0" applyNumberFormat="1"/>
    <xf numFmtId="9" fontId="1" fillId="0" borderId="0" xfId="2" applyFont="1"/>
    <xf numFmtId="167" fontId="0" fillId="0" borderId="0" xfId="0" applyNumberFormat="1"/>
    <xf numFmtId="10" fontId="2" fillId="0" borderId="0" xfId="2" applyNumberFormat="1" applyFont="1" applyFill="1"/>
    <xf numFmtId="0" fontId="0" fillId="0" borderId="6" xfId="0" applyBorder="1"/>
    <xf numFmtId="0" fontId="0" fillId="0" borderId="10" xfId="0" applyBorder="1"/>
    <xf numFmtId="0" fontId="0" fillId="2" borderId="10" xfId="0" applyFill="1" applyBorder="1"/>
    <xf numFmtId="165" fontId="0" fillId="0" borderId="6" xfId="1" applyNumberFormat="1" applyFont="1" applyBorder="1"/>
    <xf numFmtId="165" fontId="0" fillId="0" borderId="10" xfId="1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0" borderId="6" xfId="0" applyNumberFormat="1" applyBorder="1"/>
    <xf numFmtId="169" fontId="0" fillId="0" borderId="10" xfId="0" applyNumberFormat="1" applyBorder="1"/>
    <xf numFmtId="3" fontId="0" fillId="0" borderId="6" xfId="0" applyNumberFormat="1" applyBorder="1"/>
    <xf numFmtId="3" fontId="0" fillId="0" borderId="10" xfId="0" applyNumberFormat="1" applyBorder="1"/>
    <xf numFmtId="0" fontId="0" fillId="9" borderId="1" xfId="0" applyFill="1" applyBorder="1"/>
    <xf numFmtId="3" fontId="0" fillId="9" borderId="1" xfId="0" applyNumberFormat="1" applyFill="1" applyBorder="1"/>
    <xf numFmtId="0" fontId="3" fillId="5" borderId="1" xfId="0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0" fontId="0" fillId="2" borderId="4" xfId="0" applyFill="1" applyBorder="1"/>
    <xf numFmtId="165" fontId="0" fillId="8" borderId="4" xfId="1" applyNumberFormat="1" applyFont="1" applyFill="1" applyBorder="1"/>
    <xf numFmtId="167" fontId="0" fillId="8" borderId="10" xfId="2" applyNumberFormat="1" applyFont="1" applyFill="1" applyBorder="1"/>
    <xf numFmtId="0" fontId="0" fillId="10" borderId="1" xfId="0" applyFill="1" applyBorder="1"/>
    <xf numFmtId="9" fontId="0" fillId="10" borderId="1" xfId="2" applyFont="1" applyFill="1" applyBorder="1"/>
    <xf numFmtId="0" fontId="0" fillId="11" borderId="10" xfId="0" applyFill="1" applyBorder="1"/>
    <xf numFmtId="165" fontId="0" fillId="11" borderId="10" xfId="1" applyNumberFormat="1" applyFont="1" applyFill="1" applyBorder="1"/>
    <xf numFmtId="0" fontId="0" fillId="11" borderId="4" xfId="0" applyFill="1" applyBorder="1"/>
    <xf numFmtId="0" fontId="0" fillId="11" borderId="6" xfId="0" applyFill="1" applyBorder="1"/>
    <xf numFmtId="2" fontId="0" fillId="9" borderId="4" xfId="0" applyNumberFormat="1" applyFill="1" applyBorder="1"/>
    <xf numFmtId="0" fontId="0" fillId="9" borderId="6" xfId="0" applyFill="1" applyBorder="1"/>
    <xf numFmtId="3" fontId="0" fillId="9" borderId="6" xfId="0" applyNumberFormat="1" applyFill="1" applyBorder="1"/>
    <xf numFmtId="3" fontId="0" fillId="9" borderId="10" xfId="0" applyNumberFormat="1" applyFill="1" applyBorder="1"/>
    <xf numFmtId="172" fontId="0" fillId="11" borderId="4" xfId="0" applyNumberFormat="1" applyFill="1" applyBorder="1"/>
    <xf numFmtId="2" fontId="0" fillId="11" borderId="6" xfId="0" applyNumberFormat="1" applyFill="1" applyBorder="1"/>
    <xf numFmtId="4" fontId="0" fillId="11" borderId="6" xfId="0" applyNumberFormat="1" applyFill="1" applyBorder="1"/>
    <xf numFmtId="2" fontId="0" fillId="11" borderId="10" xfId="0" applyNumberFormat="1" applyFill="1" applyBorder="1"/>
    <xf numFmtId="0" fontId="0" fillId="9" borderId="4" xfId="0" applyFill="1" applyBorder="1"/>
    <xf numFmtId="3" fontId="0" fillId="11" borderId="4" xfId="0" applyNumberFormat="1" applyFill="1" applyBorder="1"/>
    <xf numFmtId="170" fontId="0" fillId="11" borderId="6" xfId="0" applyNumberFormat="1" applyFill="1" applyBorder="1"/>
    <xf numFmtId="165" fontId="0" fillId="11" borderId="6" xfId="1" applyNumberFormat="1" applyFont="1" applyFill="1" applyBorder="1"/>
    <xf numFmtId="3" fontId="0" fillId="11" borderId="6" xfId="0" applyNumberFormat="1" applyFill="1" applyBorder="1"/>
    <xf numFmtId="0" fontId="2" fillId="9" borderId="10" xfId="0" applyFont="1" applyFill="1" applyBorder="1"/>
    <xf numFmtId="2" fontId="2" fillId="11" borderId="10" xfId="0" applyNumberFormat="1" applyFont="1" applyFill="1" applyBorder="1"/>
    <xf numFmtId="0" fontId="2" fillId="8" borderId="1" xfId="0" applyFont="1" applyFill="1" applyBorder="1"/>
    <xf numFmtId="2" fontId="2" fillId="11" borderId="1" xfId="0" applyNumberFormat="1" applyFont="1" applyFill="1" applyBorder="1"/>
    <xf numFmtId="164" fontId="2" fillId="11" borderId="10" xfId="0" applyNumberFormat="1" applyFont="1" applyFill="1" applyBorder="1"/>
    <xf numFmtId="0" fontId="0" fillId="12" borderId="4" xfId="0" applyFill="1" applyBorder="1"/>
    <xf numFmtId="0" fontId="0" fillId="12" borderId="6" xfId="0" applyFill="1" applyBorder="1"/>
    <xf numFmtId="0" fontId="0" fillId="12" borderId="10" xfId="0" applyFill="1" applyBorder="1"/>
    <xf numFmtId="10" fontId="0" fillId="11" borderId="6" xfId="0" applyNumberFormat="1" applyFill="1" applyBorder="1"/>
    <xf numFmtId="171" fontId="0" fillId="11" borderId="6" xfId="2" applyNumberFormat="1" applyFont="1" applyFill="1" applyBorder="1"/>
    <xf numFmtId="169" fontId="0" fillId="11" borderId="4" xfId="0" applyNumberFormat="1" applyFill="1" applyBorder="1"/>
    <xf numFmtId="169" fontId="0" fillId="11" borderId="10" xfId="0" applyNumberFormat="1" applyFill="1" applyBorder="1"/>
    <xf numFmtId="4" fontId="0" fillId="11" borderId="4" xfId="0" applyNumberFormat="1" applyFill="1" applyBorder="1"/>
    <xf numFmtId="4" fontId="0" fillId="11" borderId="10" xfId="0" applyNumberFormat="1" applyFill="1" applyBorder="1"/>
    <xf numFmtId="164" fontId="0" fillId="11" borderId="10" xfId="1" applyFont="1" applyFill="1" applyBorder="1"/>
    <xf numFmtId="171" fontId="0" fillId="11" borderId="4" xfId="0" applyNumberFormat="1" applyFill="1" applyBorder="1"/>
    <xf numFmtId="171" fontId="0" fillId="11" borderId="10" xfId="2" applyNumberFormat="1" applyFont="1" applyFill="1" applyBorder="1"/>
    <xf numFmtId="9" fontId="0" fillId="11" borderId="4" xfId="0" applyNumberFormat="1" applyFill="1" applyBorder="1"/>
    <xf numFmtId="9" fontId="0" fillId="11" borderId="10" xfId="0" applyNumberFormat="1" applyFill="1" applyBorder="1"/>
    <xf numFmtId="10" fontId="0" fillId="11" borderId="1" xfId="2" applyNumberFormat="1" applyFont="1" applyFill="1" applyBorder="1"/>
    <xf numFmtId="0" fontId="0" fillId="12" borderId="1" xfId="0" applyFill="1" applyBorder="1"/>
    <xf numFmtId="0" fontId="0" fillId="8" borderId="10" xfId="0" applyFill="1" applyBorder="1"/>
    <xf numFmtId="168" fontId="0" fillId="2" borderId="4" xfId="0" applyNumberFormat="1" applyFill="1" applyBorder="1"/>
    <xf numFmtId="168" fontId="0" fillId="8" borderId="10" xfId="0" applyNumberFormat="1" applyFill="1" applyBorder="1"/>
    <xf numFmtId="0" fontId="0" fillId="2" borderId="6" xfId="0" applyFill="1" applyBorder="1"/>
    <xf numFmtId="9" fontId="0" fillId="9" borderId="4" xfId="0" applyNumberFormat="1" applyFill="1" applyBorder="1"/>
    <xf numFmtId="9" fontId="0" fillId="9" borderId="10" xfId="0" applyNumberFormat="1" applyFill="1" applyBorder="1"/>
    <xf numFmtId="10" fontId="2" fillId="8" borderId="4" xfId="0" applyNumberFormat="1" applyFont="1" applyFill="1" applyBorder="1"/>
    <xf numFmtId="173" fontId="0" fillId="8" borderId="6" xfId="0" applyNumberFormat="1" applyFill="1" applyBorder="1"/>
    <xf numFmtId="10" fontId="2" fillId="8" borderId="10" xfId="2" applyNumberFormat="1" applyFont="1" applyFill="1" applyBorder="1"/>
    <xf numFmtId="10" fontId="1" fillId="9" borderId="4" xfId="2" applyNumberFormat="1" applyFont="1" applyFill="1" applyBorder="1"/>
    <xf numFmtId="10" fontId="2" fillId="9" borderId="6" xfId="2" applyNumberFormat="1" applyFont="1" applyFill="1" applyBorder="1"/>
    <xf numFmtId="173" fontId="2" fillId="9" borderId="6" xfId="2" applyNumberFormat="1" applyFont="1" applyFill="1" applyBorder="1"/>
    <xf numFmtId="10" fontId="2" fillId="9" borderId="10" xfId="2" applyNumberFormat="1" applyFont="1" applyFill="1" applyBorder="1"/>
    <xf numFmtId="9" fontId="0" fillId="11" borderId="6" xfId="0" applyNumberFormat="1" applyFill="1" applyBorder="1"/>
    <xf numFmtId="167" fontId="0" fillId="11" borderId="6" xfId="0" applyNumberFormat="1" applyFill="1" applyBorder="1"/>
    <xf numFmtId="167" fontId="0" fillId="11" borderId="10" xfId="0" applyNumberFormat="1" applyFill="1" applyBorder="1"/>
    <xf numFmtId="174" fontId="0" fillId="11" borderId="4" xfId="0" applyNumberFormat="1" applyFill="1" applyBorder="1"/>
    <xf numFmtId="175" fontId="0" fillId="11" borderId="6" xfId="2" applyNumberFormat="1" applyFont="1" applyFill="1" applyBorder="1"/>
    <xf numFmtId="10" fontId="0" fillId="11" borderId="10" xfId="0" applyNumberFormat="1" applyFill="1" applyBorder="1"/>
    <xf numFmtId="3" fontId="0" fillId="11" borderId="1" xfId="0" applyNumberFormat="1" applyFill="1" applyBorder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G35" sqref="G35"/>
    </sheetView>
  </sheetViews>
  <sheetFormatPr baseColWidth="10" defaultColWidth="11.42578125" defaultRowHeight="15" x14ac:dyDescent="0.25"/>
  <cols>
    <col min="1" max="1" width="19.42578125" customWidth="1"/>
    <col min="2" max="2" width="12.140625" bestFit="1" customWidth="1"/>
    <col min="3" max="3" width="12.28515625" bestFit="1" customWidth="1"/>
  </cols>
  <sheetData>
    <row r="1" spans="1:7" x14ac:dyDescent="0.25">
      <c r="A1" s="65" t="s">
        <v>0</v>
      </c>
      <c r="B1" s="67">
        <v>8</v>
      </c>
    </row>
    <row r="2" spans="1:7" x14ac:dyDescent="0.25">
      <c r="A2" s="66" t="s">
        <v>1</v>
      </c>
      <c r="B2" s="68">
        <v>1250</v>
      </c>
    </row>
    <row r="3" spans="1:7" x14ac:dyDescent="0.25">
      <c r="A3" s="66"/>
      <c r="B3" s="68"/>
    </row>
    <row r="4" spans="1:7" x14ac:dyDescent="0.25">
      <c r="A4" s="66" t="s">
        <v>2</v>
      </c>
      <c r="B4" s="69">
        <f>B1*B2</f>
        <v>10000</v>
      </c>
    </row>
    <row r="5" spans="1:7" x14ac:dyDescent="0.25">
      <c r="A5" s="63" t="s">
        <v>3</v>
      </c>
      <c r="B5" s="70">
        <v>4500</v>
      </c>
    </row>
    <row r="6" spans="1:7" x14ac:dyDescent="0.25">
      <c r="A6" s="66" t="s">
        <v>4</v>
      </c>
      <c r="B6" s="69">
        <f>B4-B5</f>
        <v>5500</v>
      </c>
    </row>
    <row r="7" spans="1:7" x14ac:dyDescent="0.25">
      <c r="A7" s="66"/>
      <c r="B7" s="68"/>
    </row>
    <row r="8" spans="1:7" x14ac:dyDescent="0.25">
      <c r="A8" s="66" t="s">
        <v>5</v>
      </c>
      <c r="B8" s="69">
        <v>1250</v>
      </c>
    </row>
    <row r="9" spans="1:7" x14ac:dyDescent="0.25">
      <c r="A9" s="63" t="s">
        <v>6</v>
      </c>
      <c r="B9" s="70">
        <v>2500000</v>
      </c>
    </row>
    <row r="11" spans="1:7" x14ac:dyDescent="0.25">
      <c r="A11" s="40" t="s">
        <v>7</v>
      </c>
      <c r="B11" s="41">
        <v>0</v>
      </c>
      <c r="C11" s="41">
        <v>1</v>
      </c>
      <c r="D11" s="41">
        <v>2</v>
      </c>
      <c r="E11" s="41">
        <v>3</v>
      </c>
      <c r="F11" s="41">
        <v>4</v>
      </c>
      <c r="G11" s="41">
        <v>5</v>
      </c>
    </row>
    <row r="12" spans="1:7" x14ac:dyDescent="0.25">
      <c r="A12" s="35" t="s">
        <v>8</v>
      </c>
      <c r="B12" s="38"/>
      <c r="C12" s="38">
        <f>$B$4*$B$8</f>
        <v>12500000</v>
      </c>
      <c r="D12" s="38">
        <f t="shared" ref="D12:G12" si="0">$B$4*$B$8</f>
        <v>12500000</v>
      </c>
      <c r="E12" s="38">
        <f t="shared" si="0"/>
        <v>12500000</v>
      </c>
      <c r="F12" s="38">
        <f t="shared" si="0"/>
        <v>12500000</v>
      </c>
      <c r="G12" s="38">
        <f t="shared" si="0"/>
        <v>12500000</v>
      </c>
    </row>
    <row r="13" spans="1:7" x14ac:dyDescent="0.25">
      <c r="A13" s="35" t="s">
        <v>3</v>
      </c>
      <c r="B13" s="38"/>
      <c r="C13" s="38">
        <f>-$B$5*$B$8</f>
        <v>-5625000</v>
      </c>
      <c r="D13" s="38">
        <f t="shared" ref="D13:G13" si="1">-$B$5*$B$8</f>
        <v>-5625000</v>
      </c>
      <c r="E13" s="38">
        <f t="shared" si="1"/>
        <v>-5625000</v>
      </c>
      <c r="F13" s="38">
        <f t="shared" si="1"/>
        <v>-5625000</v>
      </c>
      <c r="G13" s="38">
        <f t="shared" si="1"/>
        <v>-5625000</v>
      </c>
    </row>
    <row r="14" spans="1:7" x14ac:dyDescent="0.25">
      <c r="A14" s="35" t="s">
        <v>6</v>
      </c>
      <c r="B14" s="38"/>
      <c r="C14" s="38">
        <f>-$B$9</f>
        <v>-2500000</v>
      </c>
      <c r="D14" s="38">
        <f t="shared" ref="D14:G14" si="2">-$B$9</f>
        <v>-2500000</v>
      </c>
      <c r="E14" s="38">
        <f t="shared" si="2"/>
        <v>-2500000</v>
      </c>
      <c r="F14" s="38">
        <f t="shared" si="2"/>
        <v>-2500000</v>
      </c>
      <c r="G14" s="38">
        <f t="shared" si="2"/>
        <v>-2500000</v>
      </c>
    </row>
    <row r="15" spans="1:7" x14ac:dyDescent="0.25">
      <c r="A15" s="35" t="s">
        <v>9</v>
      </c>
      <c r="B15" s="38"/>
      <c r="C15" s="38"/>
      <c r="D15" s="38"/>
      <c r="E15" s="38">
        <v>-3500000</v>
      </c>
      <c r="F15" s="38"/>
      <c r="G15" s="38"/>
    </row>
    <row r="16" spans="1:7" x14ac:dyDescent="0.25">
      <c r="A16" s="35" t="s">
        <v>10</v>
      </c>
      <c r="B16" s="38">
        <f>-0.2*C12</f>
        <v>-2500000</v>
      </c>
      <c r="C16" s="38"/>
      <c r="D16" s="38"/>
      <c r="E16" s="38"/>
      <c r="F16" s="38"/>
      <c r="G16" s="38">
        <f>-B16</f>
        <v>2500000</v>
      </c>
    </row>
    <row r="17" spans="1:7" x14ac:dyDescent="0.25">
      <c r="A17" s="36" t="s">
        <v>11</v>
      </c>
      <c r="B17" s="39">
        <v>-12000000</v>
      </c>
      <c r="C17" s="39"/>
      <c r="D17" s="39"/>
      <c r="E17" s="39"/>
      <c r="F17" s="39"/>
      <c r="G17" s="39"/>
    </row>
    <row r="18" spans="1:7" x14ac:dyDescent="0.25">
      <c r="A18" s="63" t="s">
        <v>12</v>
      </c>
      <c r="B18" s="64">
        <f>SUM(B12:B17)</f>
        <v>-14500000</v>
      </c>
      <c r="C18" s="64">
        <f t="shared" ref="C18:G18" si="3">SUM(C12:C17)</f>
        <v>4375000</v>
      </c>
      <c r="D18" s="64">
        <f t="shared" si="3"/>
        <v>4375000</v>
      </c>
      <c r="E18" s="64">
        <f t="shared" si="3"/>
        <v>875000</v>
      </c>
      <c r="F18" s="64">
        <f t="shared" si="3"/>
        <v>4375000</v>
      </c>
      <c r="G18" s="64">
        <f t="shared" si="3"/>
        <v>6875000</v>
      </c>
    </row>
    <row r="19" spans="1:7" x14ac:dyDescent="0.25">
      <c r="B19" s="3"/>
      <c r="C19" s="3"/>
      <c r="D19" s="3"/>
      <c r="E19" s="3"/>
      <c r="F19" s="3"/>
      <c r="G19" s="3"/>
    </row>
    <row r="20" spans="1:7" x14ac:dyDescent="0.25">
      <c r="A20" s="61" t="s">
        <v>13</v>
      </c>
      <c r="B20" s="62">
        <v>0.1</v>
      </c>
      <c r="C20" s="3"/>
      <c r="D20" s="3"/>
      <c r="E20" s="3"/>
      <c r="F20" s="3"/>
      <c r="G20" s="3"/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A22" s="58" t="s">
        <v>14</v>
      </c>
      <c r="B22" s="59">
        <f>NPV(B20,C18:G18)+B18</f>
        <v>1007393.6206543222</v>
      </c>
      <c r="C22" s="3"/>
      <c r="D22" s="3"/>
      <c r="E22" s="3"/>
      <c r="F22" s="3"/>
      <c r="G22" s="3"/>
    </row>
    <row r="23" spans="1:7" x14ac:dyDescent="0.25">
      <c r="A23" s="37" t="s">
        <v>15</v>
      </c>
      <c r="B23" s="60">
        <f>IRR(B18:G18)</f>
        <v>0.12517541005945909</v>
      </c>
      <c r="C23" s="3"/>
      <c r="D23" s="3"/>
      <c r="E23" s="3"/>
      <c r="F23" s="3"/>
      <c r="G23" s="3"/>
    </row>
    <row r="24" spans="1:7" x14ac:dyDescent="0.25">
      <c r="B24" s="3"/>
      <c r="C24" s="3"/>
      <c r="D24" s="3"/>
      <c r="E24" s="3"/>
      <c r="F24" s="3"/>
      <c r="G24" s="3"/>
    </row>
    <row r="25" spans="1:7" x14ac:dyDescent="0.25">
      <c r="A25" s="75" t="s">
        <v>16</v>
      </c>
      <c r="B25" s="71">
        <f>-PMT(B20,G11,B22)</f>
        <v>265747.89929730759</v>
      </c>
    </row>
    <row r="26" spans="1:7" x14ac:dyDescent="0.25">
      <c r="A26" s="68" t="s">
        <v>17</v>
      </c>
      <c r="B26" s="72">
        <f>B25/B8</f>
        <v>212.59831943784607</v>
      </c>
    </row>
    <row r="27" spans="1:7" x14ac:dyDescent="0.25">
      <c r="A27" s="68" t="s">
        <v>18</v>
      </c>
      <c r="B27" s="73">
        <f>B4-B26</f>
        <v>9787.4016805621541</v>
      </c>
    </row>
    <row r="28" spans="1:7" x14ac:dyDescent="0.25">
      <c r="A28" s="68" t="s">
        <v>19</v>
      </c>
      <c r="B28" s="73">
        <v>1250</v>
      </c>
    </row>
    <row r="29" spans="1:7" x14ac:dyDescent="0.25">
      <c r="A29" s="80" t="s">
        <v>20</v>
      </c>
      <c r="B29" s="81">
        <f>B27/B28</f>
        <v>7.8299213444497235</v>
      </c>
    </row>
    <row r="31" spans="1:7" x14ac:dyDescent="0.25">
      <c r="A31" s="82" t="s">
        <v>21</v>
      </c>
      <c r="B31" s="83">
        <f>B26</f>
        <v>212.59831943784607</v>
      </c>
    </row>
    <row r="33" spans="1:2" x14ac:dyDescent="0.25">
      <c r="A33" s="75" t="s">
        <v>22</v>
      </c>
      <c r="B33" s="76">
        <v>2000000</v>
      </c>
    </row>
    <row r="34" spans="1:2" x14ac:dyDescent="0.25">
      <c r="A34" s="68" t="s">
        <v>23</v>
      </c>
      <c r="B34" s="77">
        <f>-PV(B20,G11,1)</f>
        <v>3.7907867694084505</v>
      </c>
    </row>
    <row r="35" spans="1:2" x14ac:dyDescent="0.25">
      <c r="A35" s="68" t="s">
        <v>24</v>
      </c>
      <c r="B35" s="78">
        <f>B33/B34</f>
        <v>527594.96158949041</v>
      </c>
    </row>
    <row r="36" spans="1:2" x14ac:dyDescent="0.25">
      <c r="A36" s="68" t="s">
        <v>5</v>
      </c>
      <c r="B36" s="79">
        <f>B8</f>
        <v>1250</v>
      </c>
    </row>
    <row r="37" spans="1:2" x14ac:dyDescent="0.25">
      <c r="A37" s="80" t="s">
        <v>25</v>
      </c>
      <c r="B37" s="84">
        <f>B35/B36</f>
        <v>422.07596927159233</v>
      </c>
    </row>
  </sheetData>
  <pageMargins left="0.7" right="0.7" top="0.75" bottom="0.75" header="0.3" footer="0.3"/>
  <pageSetup paperSize="9" orientation="portrait" r:id="rId1"/>
  <ignoredErrors>
    <ignoredError sqref="B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D27" sqref="D27"/>
    </sheetView>
  </sheetViews>
  <sheetFormatPr baseColWidth="10" defaultColWidth="11.42578125" defaultRowHeight="15" x14ac:dyDescent="0.25"/>
  <cols>
    <col min="1" max="1" width="21.85546875" bestFit="1" customWidth="1"/>
  </cols>
  <sheetData>
    <row r="1" spans="1:5" x14ac:dyDescent="0.25">
      <c r="A1" s="85" t="s">
        <v>26</v>
      </c>
      <c r="B1" s="76">
        <v>202883</v>
      </c>
    </row>
    <row r="2" spans="1:5" x14ac:dyDescent="0.25">
      <c r="A2" s="86" t="s">
        <v>27</v>
      </c>
      <c r="B2" s="88">
        <v>0.1</v>
      </c>
    </row>
    <row r="3" spans="1:5" x14ac:dyDescent="0.25">
      <c r="A3" s="86" t="s">
        <v>28</v>
      </c>
      <c r="B3" s="89">
        <f>B2/12</f>
        <v>8.3333333333333332E-3</v>
      </c>
    </row>
    <row r="4" spans="1:5" x14ac:dyDescent="0.25">
      <c r="A4" s="87" t="s">
        <v>29</v>
      </c>
      <c r="B4" s="63">
        <v>36</v>
      </c>
    </row>
    <row r="6" spans="1:5" x14ac:dyDescent="0.25">
      <c r="A6" s="85" t="s">
        <v>30</v>
      </c>
      <c r="B6" s="90">
        <f>-PMT(B3,B4,B1)</f>
        <v>6546.4637394473302</v>
      </c>
    </row>
    <row r="7" spans="1:5" x14ac:dyDescent="0.25">
      <c r="A7" s="87" t="s">
        <v>31</v>
      </c>
      <c r="B7" s="91">
        <v>100</v>
      </c>
    </row>
    <row r="8" spans="1:5" x14ac:dyDescent="0.25">
      <c r="A8" s="87" t="s">
        <v>32</v>
      </c>
      <c r="B8" s="91">
        <f>B6+B7</f>
        <v>6646.4637394473302</v>
      </c>
    </row>
    <row r="10" spans="1:5" x14ac:dyDescent="0.25">
      <c r="A10" s="40" t="s">
        <v>33</v>
      </c>
      <c r="B10" s="41">
        <v>1</v>
      </c>
      <c r="C10" s="41">
        <v>2</v>
      </c>
      <c r="D10" s="41">
        <v>3</v>
      </c>
    </row>
    <row r="11" spans="1:5" x14ac:dyDescent="0.25">
      <c r="A11" s="35" t="s">
        <v>34</v>
      </c>
      <c r="B11" s="42">
        <f>B1*B3</f>
        <v>1690.6916666666666</v>
      </c>
      <c r="C11" s="42">
        <f>(B1-B12)*B3</f>
        <v>1650.2268993934943</v>
      </c>
      <c r="D11" s="42">
        <f>(B1-B12-C12)*B3</f>
        <v>1609.4249257263791</v>
      </c>
    </row>
    <row r="12" spans="1:5" x14ac:dyDescent="0.25">
      <c r="A12" s="36" t="s">
        <v>35</v>
      </c>
      <c r="B12" s="43">
        <f>B6-B11</f>
        <v>4855.7720727806636</v>
      </c>
      <c r="C12" s="43">
        <f>B6-C11</f>
        <v>4896.2368400538362</v>
      </c>
      <c r="D12" s="43">
        <f>B6-D11</f>
        <v>4937.0388137209511</v>
      </c>
    </row>
    <row r="13" spans="1:5" x14ac:dyDescent="0.25">
      <c r="A13" s="63" t="s">
        <v>36</v>
      </c>
      <c r="B13" s="74">
        <f>SUM(B11:B12)</f>
        <v>6546.4637394473302</v>
      </c>
      <c r="C13" s="74">
        <f>SUM(C11:C12)</f>
        <v>6546.4637394473302</v>
      </c>
      <c r="D13" s="74">
        <f>SUM(D11:D12)</f>
        <v>6546.4637394473302</v>
      </c>
    </row>
    <row r="15" spans="1:5" x14ac:dyDescent="0.25">
      <c r="A15" s="85" t="s">
        <v>26</v>
      </c>
      <c r="B15" s="92">
        <v>202883</v>
      </c>
      <c r="C15" s="2"/>
      <c r="D15" s="2"/>
      <c r="E15" s="2"/>
    </row>
    <row r="16" spans="1:5" x14ac:dyDescent="0.25">
      <c r="A16" s="87" t="s">
        <v>37</v>
      </c>
      <c r="B16" s="93">
        <v>-2883</v>
      </c>
    </row>
    <row r="17" spans="1:2" x14ac:dyDescent="0.25">
      <c r="A17" s="86" t="s">
        <v>38</v>
      </c>
      <c r="B17" s="73">
        <f>SUM(B15:B16)</f>
        <v>200000</v>
      </c>
    </row>
    <row r="18" spans="1:2" x14ac:dyDescent="0.25">
      <c r="A18" s="87" t="s">
        <v>39</v>
      </c>
      <c r="B18" s="94">
        <f>-B13-100</f>
        <v>-6646.4637394473302</v>
      </c>
    </row>
    <row r="20" spans="1:2" x14ac:dyDescent="0.25">
      <c r="A20" s="85" t="s">
        <v>28</v>
      </c>
      <c r="B20" s="95">
        <f>RATE(B4,B18,B17)</f>
        <v>1.003141621948705E-2</v>
      </c>
    </row>
    <row r="21" spans="1:2" x14ac:dyDescent="0.25">
      <c r="A21" s="87" t="s">
        <v>40</v>
      </c>
      <c r="B21" s="96">
        <f>(1+B20)^12-1</f>
        <v>0.12724570307502558</v>
      </c>
    </row>
    <row r="23" spans="1:2" x14ac:dyDescent="0.25">
      <c r="A23" s="85" t="s">
        <v>41</v>
      </c>
      <c r="B23" s="97">
        <v>0.02</v>
      </c>
    </row>
    <row r="24" spans="1:2" x14ac:dyDescent="0.25">
      <c r="A24" s="87" t="s">
        <v>42</v>
      </c>
      <c r="B24" s="98">
        <v>0.22</v>
      </c>
    </row>
    <row r="26" spans="1:2" x14ac:dyDescent="0.25">
      <c r="A26" s="100" t="s">
        <v>43</v>
      </c>
      <c r="B26" s="99">
        <f>(B21*(1-B24)-B23)/(1+B23)</f>
        <v>7.7697694508352899E-2</v>
      </c>
    </row>
    <row r="28" spans="1:2" x14ac:dyDescent="0.25">
      <c r="A28" s="85" t="s">
        <v>40</v>
      </c>
      <c r="B28" s="95">
        <v>0.1</v>
      </c>
    </row>
    <row r="29" spans="1:2" x14ac:dyDescent="0.25">
      <c r="A29" s="86" t="s">
        <v>44</v>
      </c>
      <c r="B29" s="89">
        <f>(1+B28)^(1/12)-1</f>
        <v>7.9741404289037643E-3</v>
      </c>
    </row>
    <row r="30" spans="1:2" x14ac:dyDescent="0.25">
      <c r="A30" s="87" t="s">
        <v>45</v>
      </c>
      <c r="B30" s="96">
        <f>B29*12</f>
        <v>9.5689685146845171E-2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32" sqref="B32:B35"/>
    </sheetView>
  </sheetViews>
  <sheetFormatPr baseColWidth="10" defaultColWidth="11.42578125" defaultRowHeight="15" x14ac:dyDescent="0.25"/>
  <cols>
    <col min="1" max="1" width="26.42578125" customWidth="1"/>
    <col min="4" max="4" width="15.5703125" customWidth="1"/>
  </cols>
  <sheetData>
    <row r="1" spans="1:4" x14ac:dyDescent="0.25">
      <c r="A1" s="4" t="s">
        <v>46</v>
      </c>
      <c r="B1" s="5" t="s">
        <v>47</v>
      </c>
      <c r="C1" s="4" t="s">
        <v>48</v>
      </c>
      <c r="D1" s="6" t="s">
        <v>49</v>
      </c>
    </row>
    <row r="2" spans="1:4" x14ac:dyDescent="0.25">
      <c r="A2" s="7" t="s">
        <v>50</v>
      </c>
      <c r="B2" s="8">
        <v>220</v>
      </c>
      <c r="C2" s="9">
        <f>B2/150-1</f>
        <v>0.46666666666666656</v>
      </c>
      <c r="D2" s="54">
        <v>0.5</v>
      </c>
    </row>
    <row r="3" spans="1:4" x14ac:dyDescent="0.25">
      <c r="A3" s="10" t="s">
        <v>51</v>
      </c>
      <c r="B3" s="11">
        <v>140</v>
      </c>
      <c r="C3" s="9">
        <f>B3/150-1</f>
        <v>-6.6666666666666652E-2</v>
      </c>
      <c r="D3" s="55">
        <f>1-D2</f>
        <v>0.5</v>
      </c>
    </row>
    <row r="4" spans="1:4" x14ac:dyDescent="0.25">
      <c r="A4" s="10" t="s">
        <v>52</v>
      </c>
      <c r="B4" s="11">
        <f>B2*D2+B3*D3</f>
        <v>180</v>
      </c>
      <c r="C4" s="12">
        <f>C2*D2+C3*D3</f>
        <v>0.19999999999999996</v>
      </c>
      <c r="D4" s="13"/>
    </row>
    <row r="5" spans="1:4" x14ac:dyDescent="0.25">
      <c r="A5" s="14" t="s">
        <v>53</v>
      </c>
      <c r="B5" s="15"/>
      <c r="C5" s="16">
        <f>(C2-C4)^2*D2+(C3-C4)^2*D3</f>
        <v>7.1111111111111083E-2</v>
      </c>
    </row>
    <row r="6" spans="1:4" x14ac:dyDescent="0.25">
      <c r="A6" s="17" t="s">
        <v>54</v>
      </c>
      <c r="B6" s="13"/>
      <c r="C6" s="12">
        <f>C5^0.5</f>
        <v>0.26666666666666661</v>
      </c>
    </row>
    <row r="8" spans="1:4" x14ac:dyDescent="0.25">
      <c r="A8" s="4" t="s">
        <v>55</v>
      </c>
      <c r="B8" s="18" t="s">
        <v>47</v>
      </c>
      <c r="C8" s="4" t="s">
        <v>48</v>
      </c>
      <c r="D8" s="4" t="s">
        <v>49</v>
      </c>
    </row>
    <row r="9" spans="1:4" x14ac:dyDescent="0.25">
      <c r="A9" s="7" t="s">
        <v>50</v>
      </c>
      <c r="B9" s="19">
        <v>125</v>
      </c>
      <c r="C9" s="20">
        <f>B9/100-1</f>
        <v>0.25</v>
      </c>
      <c r="D9" s="56">
        <v>0.5</v>
      </c>
    </row>
    <row r="10" spans="1:4" x14ac:dyDescent="0.25">
      <c r="A10" s="10" t="s">
        <v>51</v>
      </c>
      <c r="B10" s="21">
        <v>90</v>
      </c>
      <c r="C10" s="9">
        <f>B10/100-1</f>
        <v>-9.9999999999999978E-2</v>
      </c>
      <c r="D10" s="57">
        <f>1-D9</f>
        <v>0.5</v>
      </c>
    </row>
    <row r="11" spans="1:4" x14ac:dyDescent="0.25">
      <c r="A11" s="10" t="s">
        <v>52</v>
      </c>
      <c r="B11" s="21">
        <f>B9*D9+B10*D10</f>
        <v>107.5</v>
      </c>
      <c r="C11" s="12">
        <f>C9*D9+C10*D10</f>
        <v>7.5000000000000011E-2</v>
      </c>
      <c r="D11" s="22"/>
    </row>
    <row r="12" spans="1:4" x14ac:dyDescent="0.25">
      <c r="A12" s="14" t="s">
        <v>53</v>
      </c>
      <c r="B12" s="15"/>
      <c r="C12" s="23">
        <f>(C9-C11)^2*D9+(C10-C11)^2*D10</f>
        <v>3.0624999999999996E-2</v>
      </c>
    </row>
    <row r="13" spans="1:4" x14ac:dyDescent="0.25">
      <c r="A13" s="17" t="s">
        <v>54</v>
      </c>
      <c r="B13" s="13"/>
      <c r="C13" s="12">
        <f>C12^0.5</f>
        <v>0.17499999999999999</v>
      </c>
    </row>
    <row r="15" spans="1:4" x14ac:dyDescent="0.25">
      <c r="B15" s="121" t="s">
        <v>56</v>
      </c>
      <c r="C15" s="122"/>
    </row>
    <row r="16" spans="1:4" x14ac:dyDescent="0.25">
      <c r="A16" s="48" t="s">
        <v>57</v>
      </c>
      <c r="B16" s="24">
        <f>B2</f>
        <v>220</v>
      </c>
      <c r="C16" s="25">
        <f>B3</f>
        <v>140</v>
      </c>
    </row>
    <row r="17" spans="1:4" x14ac:dyDescent="0.25">
      <c r="A17" s="26">
        <f>B9</f>
        <v>125</v>
      </c>
      <c r="B17" s="49">
        <v>0.25</v>
      </c>
      <c r="C17" s="50">
        <v>0.25</v>
      </c>
      <c r="D17" s="27">
        <f>SUM(B17:C17)</f>
        <v>0.5</v>
      </c>
    </row>
    <row r="18" spans="1:4" x14ac:dyDescent="0.25">
      <c r="A18" s="28">
        <f>B10</f>
        <v>90</v>
      </c>
      <c r="B18" s="51">
        <v>0.25</v>
      </c>
      <c r="C18" s="52">
        <v>0.25</v>
      </c>
      <c r="D18" s="29">
        <f>SUM(B18:C18)</f>
        <v>0.5</v>
      </c>
    </row>
    <row r="19" spans="1:4" x14ac:dyDescent="0.25">
      <c r="B19" s="53">
        <f>B17+B18</f>
        <v>0.5</v>
      </c>
      <c r="C19" s="53">
        <f>C17+C18</f>
        <v>0.5</v>
      </c>
      <c r="D19" s="30">
        <f>SUM(D17:D18)</f>
        <v>1</v>
      </c>
    </row>
    <row r="22" spans="1:4" x14ac:dyDescent="0.25">
      <c r="A22" s="58" t="s">
        <v>58</v>
      </c>
      <c r="B22" s="102">
        <f>(C2-C4)*(C9-C11)*B17+(C3-C4)*(C9-C11)*C17+(C2-C4)*(C10-C11)*B18+(C3-C4)*(C10-C11)*C18</f>
        <v>0</v>
      </c>
    </row>
    <row r="23" spans="1:4" x14ac:dyDescent="0.25">
      <c r="A23" s="101" t="s">
        <v>59</v>
      </c>
      <c r="B23" s="103">
        <f>B22/(C6*C13)</f>
        <v>0</v>
      </c>
    </row>
    <row r="24" spans="1:4" x14ac:dyDescent="0.25">
      <c r="B24" s="31"/>
    </row>
    <row r="25" spans="1:4" x14ac:dyDescent="0.25">
      <c r="A25" s="58" t="s">
        <v>60</v>
      </c>
      <c r="B25" s="105">
        <v>0.5</v>
      </c>
      <c r="D25" s="32"/>
    </row>
    <row r="26" spans="1:4" x14ac:dyDescent="0.25">
      <c r="A26" s="37" t="s">
        <v>61</v>
      </c>
      <c r="B26" s="106">
        <f>1-B25</f>
        <v>0.5</v>
      </c>
      <c r="D26" s="32"/>
    </row>
    <row r="28" spans="1:4" x14ac:dyDescent="0.25">
      <c r="A28" s="58" t="s">
        <v>62</v>
      </c>
      <c r="B28" s="107">
        <f>C4*B25+C11*B26</f>
        <v>0.13749999999999998</v>
      </c>
    </row>
    <row r="29" spans="1:4" x14ac:dyDescent="0.25">
      <c r="A29" s="104" t="s">
        <v>63</v>
      </c>
      <c r="B29" s="108">
        <f>B25^2*C5+B26^2*C12+2*B25*B26*B22</f>
        <v>2.5434027777777771E-2</v>
      </c>
    </row>
    <row r="30" spans="1:4" x14ac:dyDescent="0.25">
      <c r="A30" s="37" t="s">
        <v>54</v>
      </c>
      <c r="B30" s="109">
        <f>B29^0.5</f>
        <v>0.15948049340837195</v>
      </c>
    </row>
    <row r="31" spans="1:4" x14ac:dyDescent="0.25">
      <c r="B31" s="34"/>
    </row>
    <row r="32" spans="1:4" x14ac:dyDescent="0.25">
      <c r="A32" s="58" t="s">
        <v>64</v>
      </c>
      <c r="B32" s="110">
        <f>C12/(C5+C12)</f>
        <v>0.30102389078498298</v>
      </c>
    </row>
    <row r="33" spans="1:2" x14ac:dyDescent="0.25">
      <c r="A33" s="104" t="s">
        <v>65</v>
      </c>
      <c r="B33" s="111">
        <f>C4*B32+(1-B32)*C11</f>
        <v>0.11262798634812288</v>
      </c>
    </row>
    <row r="34" spans="1:2" x14ac:dyDescent="0.25">
      <c r="A34" s="104" t="s">
        <v>63</v>
      </c>
      <c r="B34" s="112">
        <f>B32^2*C5+(1-B32)^2*C12</f>
        <v>2.1406143344709895E-2</v>
      </c>
    </row>
    <row r="35" spans="1:2" x14ac:dyDescent="0.25">
      <c r="A35" s="37" t="s">
        <v>66</v>
      </c>
      <c r="B35" s="113">
        <f>B34^0.5</f>
        <v>0.14630838439648597</v>
      </c>
    </row>
    <row r="36" spans="1:2" x14ac:dyDescent="0.25">
      <c r="B36" s="34"/>
    </row>
  </sheetData>
  <mergeCells count="1">
    <mergeCell ref="B15:C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>
      <selection activeCell="J16" sqref="J16"/>
    </sheetView>
  </sheetViews>
  <sheetFormatPr baseColWidth="10" defaultColWidth="11.42578125" defaultRowHeight="15" x14ac:dyDescent="0.25"/>
  <cols>
    <col min="1" max="1" width="28.140625" bestFit="1" customWidth="1"/>
  </cols>
  <sheetData>
    <row r="1" spans="1:7" x14ac:dyDescent="0.25">
      <c r="A1" s="85" t="s">
        <v>67</v>
      </c>
      <c r="B1" s="97">
        <v>0.4</v>
      </c>
      <c r="D1" s="85" t="s">
        <v>2</v>
      </c>
      <c r="E1" s="76">
        <v>2200</v>
      </c>
    </row>
    <row r="2" spans="1:7" x14ac:dyDescent="0.25">
      <c r="A2" s="86" t="s">
        <v>68</v>
      </c>
      <c r="B2" s="114">
        <f>1-B1</f>
        <v>0.6</v>
      </c>
      <c r="D2" s="86" t="s">
        <v>69</v>
      </c>
      <c r="E2" s="114">
        <v>0.45</v>
      </c>
    </row>
    <row r="3" spans="1:7" x14ac:dyDescent="0.25">
      <c r="A3" s="86" t="s">
        <v>70</v>
      </c>
      <c r="B3" s="88">
        <v>4.4400000000000002E-2</v>
      </c>
      <c r="D3" s="86" t="s">
        <v>71</v>
      </c>
      <c r="E3" s="79">
        <v>2000</v>
      </c>
    </row>
    <row r="4" spans="1:7" x14ac:dyDescent="0.25">
      <c r="A4" s="86" t="s">
        <v>72</v>
      </c>
      <c r="B4" s="88">
        <v>2.9499999999999998E-2</v>
      </c>
      <c r="D4" s="86" t="s">
        <v>73</v>
      </c>
      <c r="E4" s="79">
        <v>2100</v>
      </c>
    </row>
    <row r="5" spans="1:7" x14ac:dyDescent="0.25">
      <c r="A5" s="86" t="s">
        <v>74</v>
      </c>
      <c r="B5" s="115">
        <v>0.09</v>
      </c>
      <c r="D5" s="86" t="s">
        <v>75</v>
      </c>
      <c r="E5" s="79">
        <v>2100</v>
      </c>
    </row>
    <row r="6" spans="1:7" x14ac:dyDescent="0.25">
      <c r="A6" s="86" t="s">
        <v>76</v>
      </c>
      <c r="B6" s="72">
        <v>1.61</v>
      </c>
      <c r="D6" s="86" t="s">
        <v>77</v>
      </c>
      <c r="E6" s="79">
        <v>1800</v>
      </c>
    </row>
    <row r="7" spans="1:7" x14ac:dyDescent="0.25">
      <c r="A7" s="87" t="s">
        <v>42</v>
      </c>
      <c r="B7" s="116">
        <v>0.22</v>
      </c>
      <c r="D7" s="86" t="s">
        <v>78</v>
      </c>
      <c r="E7" s="79">
        <v>1500</v>
      </c>
    </row>
    <row r="8" spans="1:7" x14ac:dyDescent="0.25">
      <c r="B8" s="33"/>
      <c r="D8" s="86" t="s">
        <v>79</v>
      </c>
      <c r="E8" s="114">
        <v>0.2</v>
      </c>
    </row>
    <row r="9" spans="1:7" x14ac:dyDescent="0.25">
      <c r="D9" s="87" t="s">
        <v>80</v>
      </c>
      <c r="E9" s="98">
        <v>0.2</v>
      </c>
    </row>
    <row r="10" spans="1:7" x14ac:dyDescent="0.25">
      <c r="A10" s="85" t="s">
        <v>81</v>
      </c>
      <c r="B10" s="117">
        <f>B4+(B5-B4)*B6</f>
        <v>0.12690499999999999</v>
      </c>
    </row>
    <row r="11" spans="1:7" x14ac:dyDescent="0.25">
      <c r="A11" s="86" t="s">
        <v>82</v>
      </c>
      <c r="B11" s="118">
        <f>B3*(1-B7)*B1+B2*B10</f>
        <v>8.9995799999999987E-2</v>
      </c>
    </row>
    <row r="12" spans="1:7" x14ac:dyDescent="0.25">
      <c r="A12" s="87" t="s">
        <v>83</v>
      </c>
      <c r="B12" s="119">
        <v>0.09</v>
      </c>
    </row>
    <row r="14" spans="1:7" x14ac:dyDescent="0.25">
      <c r="A14" s="40" t="s">
        <v>7</v>
      </c>
      <c r="B14" s="41">
        <v>0</v>
      </c>
      <c r="C14" s="41">
        <v>1</v>
      </c>
      <c r="D14" s="41">
        <v>2</v>
      </c>
      <c r="E14" s="41">
        <v>3</v>
      </c>
      <c r="F14" s="41">
        <v>4</v>
      </c>
      <c r="G14" s="41">
        <v>5</v>
      </c>
    </row>
    <row r="15" spans="1:7" x14ac:dyDescent="0.25">
      <c r="A15" s="35" t="s">
        <v>84</v>
      </c>
      <c r="B15" s="44"/>
      <c r="C15" s="44">
        <f>E1*E3</f>
        <v>4400000</v>
      </c>
      <c r="D15" s="44">
        <f>E1*E4</f>
        <v>4620000</v>
      </c>
      <c r="E15" s="44">
        <f>E1*E5</f>
        <v>4620000</v>
      </c>
      <c r="F15" s="44">
        <f>E1*E6</f>
        <v>3960000</v>
      </c>
      <c r="G15" s="44">
        <f>E1*E7</f>
        <v>3300000</v>
      </c>
    </row>
    <row r="16" spans="1:7" x14ac:dyDescent="0.25">
      <c r="A16" s="35" t="s">
        <v>3</v>
      </c>
      <c r="B16" s="44"/>
      <c r="C16" s="44">
        <f>-C15*(1-$E$2)</f>
        <v>-2420000</v>
      </c>
      <c r="D16" s="44">
        <f t="shared" ref="D16:G16" si="0">-D15*(1-$E$2)</f>
        <v>-2541000</v>
      </c>
      <c r="E16" s="44">
        <f t="shared" si="0"/>
        <v>-2541000</v>
      </c>
      <c r="F16" s="44">
        <f t="shared" si="0"/>
        <v>-2178000</v>
      </c>
      <c r="G16" s="44">
        <f t="shared" si="0"/>
        <v>-1815000.0000000002</v>
      </c>
    </row>
    <row r="17" spans="1:7" x14ac:dyDescent="0.25">
      <c r="A17" s="35" t="s">
        <v>85</v>
      </c>
      <c r="B17" s="44"/>
      <c r="C17" s="44">
        <v>-250000</v>
      </c>
      <c r="D17" s="44">
        <v>-250000</v>
      </c>
      <c r="E17" s="44">
        <v>-250000</v>
      </c>
      <c r="F17" s="44">
        <v>-250000</v>
      </c>
      <c r="G17" s="44">
        <v>-250000</v>
      </c>
    </row>
    <row r="18" spans="1:7" x14ac:dyDescent="0.25">
      <c r="A18" s="36" t="s">
        <v>86</v>
      </c>
      <c r="B18" s="45"/>
      <c r="C18" s="45">
        <v>-200000</v>
      </c>
      <c r="D18" s="45">
        <v>-200000</v>
      </c>
      <c r="E18" s="45">
        <v>-200000</v>
      </c>
      <c r="F18" s="45">
        <v>-200000</v>
      </c>
      <c r="G18" s="45">
        <v>-200000</v>
      </c>
    </row>
    <row r="19" spans="1:7" x14ac:dyDescent="0.25">
      <c r="A19" s="35" t="s">
        <v>87</v>
      </c>
      <c r="B19" s="44"/>
      <c r="C19" s="44">
        <f>SUM(C15:C18)</f>
        <v>1530000</v>
      </c>
      <c r="D19" s="44">
        <f>SUM(D15:D18)</f>
        <v>1629000</v>
      </c>
      <c r="E19" s="44">
        <f>SUM(E15:E18)</f>
        <v>1629000</v>
      </c>
      <c r="F19" s="44">
        <f>SUM(F15:F18)</f>
        <v>1332000</v>
      </c>
      <c r="G19" s="44">
        <f>SUM(G15:G18)</f>
        <v>1034999.9999999998</v>
      </c>
    </row>
    <row r="20" spans="1:7" x14ac:dyDescent="0.25">
      <c r="A20" s="35" t="s">
        <v>88</v>
      </c>
      <c r="B20" s="44"/>
      <c r="C20" s="44">
        <f>-$B$7*C19</f>
        <v>-336600</v>
      </c>
      <c r="D20" s="44">
        <f t="shared" ref="D20:G20" si="1">-$B$7*D19</f>
        <v>-358380</v>
      </c>
      <c r="E20" s="44">
        <f t="shared" si="1"/>
        <v>-358380</v>
      </c>
      <c r="F20" s="44">
        <f t="shared" si="1"/>
        <v>-293040</v>
      </c>
      <c r="G20" s="44">
        <f t="shared" si="1"/>
        <v>-227699.99999999994</v>
      </c>
    </row>
    <row r="21" spans="1:7" x14ac:dyDescent="0.25">
      <c r="A21" s="35" t="s">
        <v>10</v>
      </c>
      <c r="B21" s="44">
        <f>(B15-C15)*$E$8</f>
        <v>-880000</v>
      </c>
      <c r="C21" s="44">
        <f t="shared" ref="C21:G21" si="2">(C15-D15)*$E$8</f>
        <v>-44000</v>
      </c>
      <c r="D21" s="44">
        <f t="shared" si="2"/>
        <v>0</v>
      </c>
      <c r="E21" s="44">
        <f t="shared" si="2"/>
        <v>132000</v>
      </c>
      <c r="F21" s="44">
        <f t="shared" si="2"/>
        <v>132000</v>
      </c>
      <c r="G21" s="44">
        <f t="shared" si="2"/>
        <v>660000</v>
      </c>
    </row>
    <row r="22" spans="1:7" x14ac:dyDescent="0.25">
      <c r="A22" s="35" t="s">
        <v>11</v>
      </c>
      <c r="B22" s="44">
        <v>-4500000</v>
      </c>
      <c r="C22" s="44"/>
      <c r="D22" s="44"/>
      <c r="E22" s="44"/>
      <c r="F22" s="44"/>
      <c r="G22" s="44">
        <v>800000</v>
      </c>
    </row>
    <row r="23" spans="1:7" x14ac:dyDescent="0.25">
      <c r="A23" s="35" t="s">
        <v>89</v>
      </c>
      <c r="B23" s="44">
        <f>-B22*E9*B7/(B12+E9)</f>
        <v>682758.62068965507</v>
      </c>
      <c r="C23" s="44"/>
      <c r="D23" s="44"/>
      <c r="E23" s="44"/>
      <c r="F23" s="44"/>
      <c r="G23" s="44"/>
    </row>
    <row r="24" spans="1:7" x14ac:dyDescent="0.25">
      <c r="A24" s="36" t="s">
        <v>90</v>
      </c>
      <c r="B24" s="45">
        <f>-G22*E9*B7/((1+B12)^G14*(B12+E9))</f>
        <v>-78888.223440350863</v>
      </c>
      <c r="C24" s="45"/>
      <c r="D24" s="45"/>
      <c r="E24" s="45"/>
      <c r="F24" s="45"/>
      <c r="G24" s="45"/>
    </row>
    <row r="25" spans="1:7" x14ac:dyDescent="0.25">
      <c r="A25" s="46" t="s">
        <v>91</v>
      </c>
      <c r="B25" s="47">
        <f>SUM(B19:B24)</f>
        <v>-4776129.6027506962</v>
      </c>
      <c r="C25" s="47">
        <f t="shared" ref="C25:G25" si="3">SUM(C19:C24)</f>
        <v>1149400</v>
      </c>
      <c r="D25" s="47">
        <f t="shared" si="3"/>
        <v>1270620</v>
      </c>
      <c r="E25" s="47">
        <f t="shared" si="3"/>
        <v>1402620</v>
      </c>
      <c r="F25" s="47">
        <f t="shared" si="3"/>
        <v>1170960</v>
      </c>
      <c r="G25" s="47">
        <f t="shared" si="3"/>
        <v>2267300</v>
      </c>
    </row>
    <row r="26" spans="1:7" x14ac:dyDescent="0.25">
      <c r="B26" s="1"/>
      <c r="C26" s="1"/>
      <c r="D26" s="1"/>
      <c r="E26" s="1"/>
      <c r="F26" s="1"/>
      <c r="G26" s="1"/>
    </row>
    <row r="27" spans="1:7" x14ac:dyDescent="0.25">
      <c r="A27" s="40" t="s">
        <v>92</v>
      </c>
      <c r="B27" s="120">
        <f>NPV(B12,C25:G25)+B25</f>
        <v>734028.2532440871</v>
      </c>
      <c r="C27" s="1"/>
      <c r="D27" s="1"/>
      <c r="E27" s="1"/>
      <c r="F27" s="1"/>
      <c r="G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</dc:creator>
  <cp:keywords/>
  <dc:description/>
  <cp:lastModifiedBy>Ivar Bredesen</cp:lastModifiedBy>
  <cp:revision/>
  <dcterms:created xsi:type="dcterms:W3CDTF">2012-10-21T11:40:47Z</dcterms:created>
  <dcterms:modified xsi:type="dcterms:W3CDTF">2023-06-29T10:08:03Z</dcterms:modified>
  <cp:category/>
  <cp:contentStatus/>
</cp:coreProperties>
</file>