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varbr\OneDrive - OsloMet\Lærebok 6. utgave\Slides mv 6. utgave til forlag\Excel oppgaver\"/>
    </mc:Choice>
  </mc:AlternateContent>
  <bookViews>
    <workbookView xWindow="0" yWindow="0" windowWidth="17895" windowHeight="8160" activeTab="11"/>
  </bookViews>
  <sheets>
    <sheet name="Opp 1" sheetId="3" r:id="rId1"/>
    <sheet name="Opp 2" sheetId="5" r:id="rId2"/>
    <sheet name="Opp 3" sheetId="6" r:id="rId3"/>
    <sheet name="Opp 4" sheetId="14" r:id="rId4"/>
    <sheet name="Opp 5" sheetId="7" r:id="rId5"/>
    <sheet name="Opp 6" sheetId="9" r:id="rId6"/>
    <sheet name="Opp 7" sheetId="10" r:id="rId7"/>
    <sheet name="Opp 8" sheetId="11" r:id="rId8"/>
    <sheet name="Opp 9" sheetId="12" r:id="rId9"/>
    <sheet name="Opp 10" sheetId="13" r:id="rId10"/>
    <sheet name="Opp 11" sheetId="16" r:id="rId11"/>
    <sheet name="Opp 12" sheetId="17" r:id="rId12"/>
  </sheets>
  <calcPr calcId="162913"/>
</workbook>
</file>

<file path=xl/calcChain.xml><?xml version="1.0" encoding="utf-8"?>
<calcChain xmlns="http://schemas.openxmlformats.org/spreadsheetml/2006/main">
  <c r="B44" i="17" l="1"/>
  <c r="B38" i="17"/>
  <c r="G42" i="17"/>
  <c r="F42" i="17"/>
  <c r="E42" i="17"/>
  <c r="D42" i="17"/>
  <c r="C42" i="17"/>
  <c r="B35" i="17"/>
  <c r="G35" i="17" s="1"/>
  <c r="G34" i="17"/>
  <c r="B34" i="17"/>
  <c r="B33" i="17"/>
  <c r="B32" i="17"/>
  <c r="B36" i="17" s="1"/>
  <c r="G29" i="17"/>
  <c r="F29" i="17"/>
  <c r="E29" i="17"/>
  <c r="D29" i="17"/>
  <c r="C29" i="17"/>
  <c r="C28" i="17"/>
  <c r="A28" i="17"/>
  <c r="E27" i="17"/>
  <c r="F26" i="17"/>
  <c r="F30" i="17" s="1"/>
  <c r="C26" i="17"/>
  <c r="E26" i="17" s="1"/>
  <c r="E30" i="17" s="1"/>
  <c r="B21" i="17"/>
  <c r="B22" i="17" s="1"/>
  <c r="B12" i="17"/>
  <c r="A8" i="17"/>
  <c r="E31" i="17" l="1"/>
  <c r="E36" i="17"/>
  <c r="F31" i="17"/>
  <c r="F36" i="17" s="1"/>
  <c r="D26" i="17"/>
  <c r="D30" i="17" s="1"/>
  <c r="C30" i="17"/>
  <c r="G26" i="17"/>
  <c r="G30" i="17" s="1"/>
  <c r="H4" i="16"/>
  <c r="B25" i="16"/>
  <c r="B24" i="16"/>
  <c r="B22" i="16"/>
  <c r="B26" i="16" s="1"/>
  <c r="D16" i="16"/>
  <c r="E16" i="16" s="1"/>
  <c r="F16" i="16" s="1"/>
  <c r="F15" i="16"/>
  <c r="D15" i="16"/>
  <c r="D20" i="16" s="1"/>
  <c r="G14" i="16"/>
  <c r="F14" i="16"/>
  <c r="E14" i="16"/>
  <c r="D14" i="16"/>
  <c r="C14" i="16"/>
  <c r="B9" i="16"/>
  <c r="B2" i="16"/>
  <c r="B10" i="16" s="1"/>
  <c r="G27" i="13"/>
  <c r="C27" i="13"/>
  <c r="D27" i="13"/>
  <c r="E27" i="13"/>
  <c r="F27" i="13"/>
  <c r="B27" i="13"/>
  <c r="D13" i="14"/>
  <c r="D14" i="14"/>
  <c r="D12" i="14"/>
  <c r="B8" i="14"/>
  <c r="B7" i="14"/>
  <c r="B6" i="14"/>
  <c r="G31" i="17" l="1"/>
  <c r="G36" i="17" s="1"/>
  <c r="C31" i="17"/>
  <c r="C36" i="17" s="1"/>
  <c r="B46" i="17" s="1"/>
  <c r="D31" i="17"/>
  <c r="D36" i="17"/>
  <c r="G22" i="16"/>
  <c r="D21" i="16"/>
  <c r="D26" i="16" s="1"/>
  <c r="F20" i="16"/>
  <c r="G20" i="16"/>
  <c r="E15" i="16"/>
  <c r="E20" i="16" s="1"/>
  <c r="C15" i="16"/>
  <c r="C20" i="16" s="1"/>
  <c r="G15" i="16"/>
  <c r="B18" i="9"/>
  <c r="A12" i="3"/>
  <c r="A11" i="3"/>
  <c r="A10" i="3"/>
  <c r="A9" i="3"/>
  <c r="D3" i="3"/>
  <c r="D4" i="3"/>
  <c r="D5" i="3"/>
  <c r="D6" i="3"/>
  <c r="D2" i="3"/>
  <c r="B35" i="12"/>
  <c r="B18" i="12"/>
  <c r="B37" i="12" s="1"/>
  <c r="C7" i="12"/>
  <c r="C8" i="12" s="1"/>
  <c r="B10" i="12"/>
  <c r="B9" i="12"/>
  <c r="B32" i="11"/>
  <c r="H31" i="11"/>
  <c r="B33" i="11" s="1"/>
  <c r="B31" i="11"/>
  <c r="H30" i="11"/>
  <c r="B30" i="11"/>
  <c r="E21" i="16" l="1"/>
  <c r="E26" i="16" s="1"/>
  <c r="C21" i="16"/>
  <c r="C26" i="16" s="1"/>
  <c r="G26" i="16"/>
  <c r="G21" i="16"/>
  <c r="F21" i="16"/>
  <c r="F26" i="16"/>
  <c r="B12" i="12"/>
  <c r="B37" i="13"/>
  <c r="F35" i="13"/>
  <c r="B36" i="13"/>
  <c r="B40" i="13" s="1"/>
  <c r="G34" i="13"/>
  <c r="G35" i="13" s="1"/>
  <c r="F34" i="13"/>
  <c r="E34" i="13"/>
  <c r="E35" i="13" s="1"/>
  <c r="E40" i="13" s="1"/>
  <c r="D34" i="13"/>
  <c r="C34" i="13"/>
  <c r="C35" i="13" s="1"/>
  <c r="C40" i="13" s="1"/>
  <c r="B23" i="13"/>
  <c r="B18" i="13"/>
  <c r="B24" i="13" s="1"/>
  <c r="G10" i="13"/>
  <c r="F10" i="13"/>
  <c r="E10" i="13"/>
  <c r="D10" i="13"/>
  <c r="C10" i="13"/>
  <c r="B13" i="13" s="1"/>
  <c r="B10" i="13"/>
  <c r="G37" i="12"/>
  <c r="G30" i="12"/>
  <c r="G33" i="12" s="1"/>
  <c r="G34" i="12" s="1"/>
  <c r="F30" i="12"/>
  <c r="F33" i="12" s="1"/>
  <c r="F34" i="12" s="1"/>
  <c r="E30" i="12"/>
  <c r="E33" i="12" s="1"/>
  <c r="E34" i="12" s="1"/>
  <c r="D30" i="12"/>
  <c r="D33" i="12" s="1"/>
  <c r="D34" i="12" s="1"/>
  <c r="C30" i="12"/>
  <c r="C33" i="12" s="1"/>
  <c r="C34" i="12" s="1"/>
  <c r="H27" i="11"/>
  <c r="G27" i="11"/>
  <c r="F27" i="11"/>
  <c r="E27" i="11"/>
  <c r="D27" i="11"/>
  <c r="C27" i="11"/>
  <c r="H26" i="11"/>
  <c r="G26" i="11"/>
  <c r="F26" i="11"/>
  <c r="E26" i="11"/>
  <c r="D26" i="11"/>
  <c r="C26" i="11"/>
  <c r="F25" i="11"/>
  <c r="E25" i="11"/>
  <c r="D25" i="11"/>
  <c r="D28" i="11" s="1"/>
  <c r="D29" i="11" s="1"/>
  <c r="C25" i="11"/>
  <c r="C28" i="11" s="1"/>
  <c r="B20" i="11"/>
  <c r="B18" i="11"/>
  <c r="B19" i="11" s="1"/>
  <c r="B8" i="11"/>
  <c r="C22" i="10"/>
  <c r="C23" i="10" s="1"/>
  <c r="C27" i="10" s="1"/>
  <c r="B18" i="10"/>
  <c r="B11" i="10"/>
  <c r="B22" i="10" s="1"/>
  <c r="B23" i="10" s="1"/>
  <c r="B27" i="10" s="1"/>
  <c r="B10" i="10"/>
  <c r="B12" i="10" s="1"/>
  <c r="B14" i="10" s="1"/>
  <c r="B2" i="10"/>
  <c r="B7" i="10" s="1"/>
  <c r="B8" i="10" s="1"/>
  <c r="C13" i="3"/>
  <c r="B16" i="3" s="1"/>
  <c r="B17" i="3" s="1"/>
  <c r="C3" i="3"/>
  <c r="C4" i="3"/>
  <c r="C5" i="3"/>
  <c r="C6" i="3"/>
  <c r="B6" i="5"/>
  <c r="B8" i="5" s="1"/>
  <c r="B6" i="6"/>
  <c r="B7" i="6" s="1"/>
  <c r="B12" i="7"/>
  <c r="B13" i="7"/>
  <c r="F17" i="9"/>
  <c r="F19" i="9" s="1"/>
  <c r="B9" i="9"/>
  <c r="B10" i="9" s="1"/>
  <c r="B19" i="9" s="1"/>
  <c r="C17" i="9"/>
  <c r="C19" i="9" s="1"/>
  <c r="D17" i="9"/>
  <c r="D19" i="9" s="1"/>
  <c r="E17" i="9"/>
  <c r="E19" i="9" s="1"/>
  <c r="G25" i="11"/>
  <c r="H25" i="11" s="1"/>
  <c r="H28" i="11" s="1"/>
  <c r="H29" i="11" s="1"/>
  <c r="B28" i="16" l="1"/>
  <c r="D4" i="7"/>
  <c r="C7" i="3"/>
  <c r="B9" i="6"/>
  <c r="E28" i="11"/>
  <c r="E29" i="11" s="1"/>
  <c r="F28" i="11"/>
  <c r="F29" i="11" s="1"/>
  <c r="B12" i="13"/>
  <c r="F40" i="13"/>
  <c r="B21" i="11"/>
  <c r="E38" i="12"/>
  <c r="G28" i="11"/>
  <c r="G29" i="11" s="1"/>
  <c r="C29" i="11"/>
  <c r="C34" i="11" s="1"/>
  <c r="H34" i="11"/>
  <c r="D2" i="7"/>
  <c r="D3" i="7"/>
  <c r="D5" i="7"/>
  <c r="B34" i="11"/>
  <c r="F34" i="11"/>
  <c r="D34" i="11"/>
  <c r="B38" i="12"/>
  <c r="G34" i="11"/>
  <c r="F38" i="12"/>
  <c r="B21" i="9"/>
  <c r="B15" i="3"/>
  <c r="D38" i="12"/>
  <c r="C38" i="12"/>
  <c r="G38" i="12"/>
  <c r="D35" i="13"/>
  <c r="D40" i="13" s="1"/>
  <c r="B42" i="13" s="1"/>
  <c r="B18" i="3"/>
  <c r="B20" i="3" s="1"/>
  <c r="G40" i="13"/>
  <c r="B40" i="12" l="1"/>
  <c r="E34" i="11"/>
  <c r="B36" i="11"/>
</calcChain>
</file>

<file path=xl/sharedStrings.xml><?xml version="1.0" encoding="utf-8"?>
<sst xmlns="http://schemas.openxmlformats.org/spreadsheetml/2006/main" count="284" uniqueCount="161">
  <si>
    <t>Kovarians</t>
  </si>
  <si>
    <t>Forventet avkastning</t>
  </si>
  <si>
    <t>År</t>
  </si>
  <si>
    <t>Kurs</t>
  </si>
  <si>
    <t>Avkastning</t>
  </si>
  <si>
    <t>Avk. marked</t>
  </si>
  <si>
    <t>Snitt</t>
  </si>
  <si>
    <t>Beta</t>
  </si>
  <si>
    <t>Risikofri rente før skatt</t>
  </si>
  <si>
    <t>Aksjebeta</t>
  </si>
  <si>
    <t>Markedsporteføljens avkastning</t>
  </si>
  <si>
    <t>Skattesats</t>
  </si>
  <si>
    <t>Risikofri rente etter skatt</t>
  </si>
  <si>
    <t>Egenkapitalkostnad</t>
  </si>
  <si>
    <t>Anleggsmidler</t>
  </si>
  <si>
    <t>Gjeldsrente</t>
  </si>
  <si>
    <t>Markedsverdi egenkapital</t>
  </si>
  <si>
    <t>Rentebærende gjeld</t>
  </si>
  <si>
    <t>Totalkapitalkostnad</t>
  </si>
  <si>
    <t>Gjeldsandel</t>
  </si>
  <si>
    <t>Egekapitalandel</t>
  </si>
  <si>
    <t>Prosjekt</t>
  </si>
  <si>
    <t xml:space="preserve">Beta </t>
  </si>
  <si>
    <t>Avkastningskrav</t>
  </si>
  <si>
    <t>Lønnsomt ?</t>
  </si>
  <si>
    <t>A</t>
  </si>
  <si>
    <t>B</t>
  </si>
  <si>
    <t>C</t>
  </si>
  <si>
    <t>D</t>
  </si>
  <si>
    <t xml:space="preserve">Egenkapitalkostnad </t>
  </si>
  <si>
    <t>Risikopremie marked</t>
  </si>
  <si>
    <t>Markedets avkastningskrav</t>
  </si>
  <si>
    <t>Ja</t>
  </si>
  <si>
    <t>Nei</t>
  </si>
  <si>
    <t>Markedsverdi gjeld</t>
  </si>
  <si>
    <t>Risikopremie markedsportefølje</t>
  </si>
  <si>
    <t>Gjeldsrente før skatt</t>
  </si>
  <si>
    <t>Egenkapitalkostnad etter skatt</t>
  </si>
  <si>
    <t>Totalkapitalkostnad etter skatt</t>
  </si>
  <si>
    <t>Arbeidskapital</t>
  </si>
  <si>
    <t>Saldosats</t>
  </si>
  <si>
    <t>Skatt</t>
  </si>
  <si>
    <t>Kontantstrøm drift før skatt</t>
  </si>
  <si>
    <t>Nåverdi etter skatt</t>
  </si>
  <si>
    <t>Resultat</t>
  </si>
  <si>
    <t>EBIT</t>
  </si>
  <si>
    <t>EPS</t>
  </si>
  <si>
    <t>Egenkapital</t>
  </si>
  <si>
    <t>G/E 70/30</t>
  </si>
  <si>
    <t>Rentekostnader</t>
  </si>
  <si>
    <t>Resultat etter renter</t>
  </si>
  <si>
    <t>Antall aksjer</t>
  </si>
  <si>
    <t>Gjeld</t>
  </si>
  <si>
    <t>Eiendeler</t>
  </si>
  <si>
    <t>Aksjer</t>
  </si>
  <si>
    <t>Rente</t>
  </si>
  <si>
    <t>Utvidelse</t>
  </si>
  <si>
    <t>Gjeldsbeta</t>
  </si>
  <si>
    <t>Avskrivning</t>
  </si>
  <si>
    <t>EK andel</t>
  </si>
  <si>
    <t>Investering</t>
  </si>
  <si>
    <t>Restverdi</t>
  </si>
  <si>
    <t>Inntekt år 1</t>
  </si>
  <si>
    <t>Kostnader år 1</t>
  </si>
  <si>
    <t>Tapt DB bøker</t>
  </si>
  <si>
    <t>EK kostnad</t>
  </si>
  <si>
    <t>WACC</t>
  </si>
  <si>
    <t>Inntekter</t>
  </si>
  <si>
    <t>Driftskostnader</t>
  </si>
  <si>
    <t>Alternativkost</t>
  </si>
  <si>
    <t>Beregningsgrunnlag</t>
  </si>
  <si>
    <t>NPV etter skatt</t>
  </si>
  <si>
    <t>Enheter</t>
  </si>
  <si>
    <t>Pris</t>
  </si>
  <si>
    <t>Var kost</t>
  </si>
  <si>
    <t>År 1</t>
  </si>
  <si>
    <t>År 2</t>
  </si>
  <si>
    <t>År 3</t>
  </si>
  <si>
    <t>År 4</t>
  </si>
  <si>
    <t>År 5</t>
  </si>
  <si>
    <t>Dekningsbidrag</t>
  </si>
  <si>
    <t>Markedsføring</t>
  </si>
  <si>
    <t>Lønn</t>
  </si>
  <si>
    <t>NV spart skatt avskrivning</t>
  </si>
  <si>
    <t>Kontantstrøm</t>
  </si>
  <si>
    <t>Varelager</t>
  </si>
  <si>
    <t>Kundefordringer</t>
  </si>
  <si>
    <t>Leverandørgjeld</t>
  </si>
  <si>
    <t>Avskrivningssats</t>
  </si>
  <si>
    <t>Egenkapitalbeta</t>
  </si>
  <si>
    <t>Risikofri rente</t>
  </si>
  <si>
    <t>Markedets avkastning</t>
  </si>
  <si>
    <t>Gjeldsrente etter skatt</t>
  </si>
  <si>
    <t>Avrundet til</t>
  </si>
  <si>
    <t>Omsetning</t>
  </si>
  <si>
    <t>Lønnskostnader</t>
  </si>
  <si>
    <t>Materialer</t>
  </si>
  <si>
    <t>Leie</t>
  </si>
  <si>
    <t>Indirekte kostnader</t>
  </si>
  <si>
    <t>Låne utstyr</t>
  </si>
  <si>
    <t xml:space="preserve">Internrente </t>
  </si>
  <si>
    <t>Nåverdi (10 %)</t>
  </si>
  <si>
    <t>Avkastning marked</t>
  </si>
  <si>
    <t>Egenapitalandel</t>
  </si>
  <si>
    <t>WACC kan evt avrundes</t>
  </si>
  <si>
    <t>Markedsavkastning</t>
  </si>
  <si>
    <t>Inntektsvekst</t>
  </si>
  <si>
    <t>Kostnadsvekst</t>
  </si>
  <si>
    <t>Resultat før skatt</t>
  </si>
  <si>
    <t>WACC avrundes til</t>
  </si>
  <si>
    <t>NV spart skatt avskr</t>
  </si>
  <si>
    <t>NV økt skatt pga nedskr</t>
  </si>
  <si>
    <t>NV økt skatt nedskrivning</t>
  </si>
  <si>
    <t>NV spart skatt avskrivninger</t>
  </si>
  <si>
    <t>Totakavkastningskrav avrundes</t>
  </si>
  <si>
    <t>Standardavvik aksje</t>
  </si>
  <si>
    <t>Standardavvik marked</t>
  </si>
  <si>
    <t>Varians marked</t>
  </si>
  <si>
    <t>Aksje</t>
  </si>
  <si>
    <t>W</t>
  </si>
  <si>
    <t>Q</t>
  </si>
  <si>
    <t>G</t>
  </si>
  <si>
    <t>H</t>
  </si>
  <si>
    <t>I</t>
  </si>
  <si>
    <t>Avkstningskrav</t>
  </si>
  <si>
    <t>Konklusjon</t>
  </si>
  <si>
    <t>Underpriset. Høyere avkastning enn avkastningskrav</t>
  </si>
  <si>
    <t>Korrekt priset</t>
  </si>
  <si>
    <t>Overpriset. Lavere avkastning enn avkastningskrav</t>
  </si>
  <si>
    <t>Salgspris</t>
  </si>
  <si>
    <t>Egenkapitalandel</t>
  </si>
  <si>
    <t>Volum 1</t>
  </si>
  <si>
    <t xml:space="preserve">Volum 2 </t>
  </si>
  <si>
    <t>Avkastning markedsportefølje</t>
  </si>
  <si>
    <t>Volum 3</t>
  </si>
  <si>
    <t>Aksbebeta</t>
  </si>
  <si>
    <t>Volum 4</t>
  </si>
  <si>
    <t>Volum 5</t>
  </si>
  <si>
    <t>WACC avrundet</t>
  </si>
  <si>
    <t>Salgsinntekter</t>
  </si>
  <si>
    <t>Variable kostnader</t>
  </si>
  <si>
    <t>Tapt leie</t>
  </si>
  <si>
    <t>Vedlikehold</t>
  </si>
  <si>
    <t>Tapt DB eksisterende</t>
  </si>
  <si>
    <t>Lønnsøkning</t>
  </si>
  <si>
    <t>NV økt skatt nedskriving</t>
  </si>
  <si>
    <t>Dekningsgrad</t>
  </si>
  <si>
    <t>Maskiner</t>
  </si>
  <si>
    <t>Kostnad år 1</t>
  </si>
  <si>
    <t>Økning</t>
  </si>
  <si>
    <t>Innkjøpskostnad</t>
  </si>
  <si>
    <t>Vedlikehold år 3</t>
  </si>
  <si>
    <t>Spesialister</t>
  </si>
  <si>
    <t>WACC avrundet til</t>
  </si>
  <si>
    <t>Produksjonskostnad</t>
  </si>
  <si>
    <t>Kostnader</t>
  </si>
  <si>
    <t>NV kostnader</t>
  </si>
  <si>
    <t>Innkjøp etter skatt</t>
  </si>
  <si>
    <t>Forskjell</t>
  </si>
  <si>
    <t>Laveste kostnader ved å fortsette å kjøpe inn eksternt</t>
  </si>
  <si>
    <t>Maskedsavkastning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</si>
</sst>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0.0000"/>
    <numFmt numFmtId="166" formatCode="0.0"/>
    <numFmt numFmtId="167" formatCode="0.0\ %"/>
    <numFmt numFmtId="168" formatCode="0.000\ %"/>
    <numFmt numFmtId="169" formatCode="_ * #,##0_ ;_ * \-#,##0_ ;_ * &quot;-&quot;??_ ;_ @_ "/>
    <numFmt numFmtId="170" formatCode="_ * #,##0.0000_ ;_ * \-#,##0.0000_ ;_ * &quot;-&quot;??_ ;_ @_ "/>
    <numFmt numFmtId="171" formatCode="#,##0_ ;\-#,##0\ "/>
    <numFmt numFmtId="172" formatCode="_-* #,##0_-;\-* #,##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4" borderId="1" xfId="0" applyFill="1" applyBorder="1"/>
    <xf numFmtId="0" fontId="0" fillId="4" borderId="4" xfId="0" applyFill="1" applyBorder="1"/>
    <xf numFmtId="10" fontId="0" fillId="4" borderId="3" xfId="2" applyNumberFormat="1" applyFont="1" applyFill="1" applyBorder="1"/>
    <xf numFmtId="0" fontId="0" fillId="3" borderId="3" xfId="0" applyFill="1" applyBorder="1"/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2" xfId="0" applyNumberFormat="1" applyBorder="1"/>
    <xf numFmtId="0" fontId="0" fillId="0" borderId="4" xfId="0" applyBorder="1" applyAlignment="1">
      <alignment horizontal="center"/>
    </xf>
    <xf numFmtId="10" fontId="0" fillId="0" borderId="4" xfId="0" applyNumberFormat="1" applyBorder="1"/>
    <xf numFmtId="0" fontId="0" fillId="5" borderId="5" xfId="0" applyFill="1" applyBorder="1"/>
    <xf numFmtId="0" fontId="0" fillId="5" borderId="6" xfId="0" applyFill="1" applyBorder="1"/>
    <xf numFmtId="10" fontId="0" fillId="5" borderId="3" xfId="0" applyNumberFormat="1" applyFill="1" applyBorder="1"/>
    <xf numFmtId="0" fontId="0" fillId="0" borderId="7" xfId="0" applyBorder="1"/>
    <xf numFmtId="10" fontId="0" fillId="0" borderId="1" xfId="0" applyNumberFormat="1" applyBorder="1"/>
    <xf numFmtId="0" fontId="0" fillId="0" borderId="8" xfId="0" applyBorder="1"/>
    <xf numFmtId="0" fontId="0" fillId="0" borderId="9" xfId="0" applyBorder="1"/>
    <xf numFmtId="0" fontId="0" fillId="5" borderId="10" xfId="0" applyFill="1" applyBorder="1"/>
    <xf numFmtId="10" fontId="0" fillId="5" borderId="4" xfId="0" applyNumberFormat="1" applyFill="1" applyBorder="1"/>
    <xf numFmtId="10" fontId="0" fillId="4" borderId="1" xfId="0" applyNumberFormat="1" applyFill="1" applyBorder="1"/>
    <xf numFmtId="0" fontId="0" fillId="4" borderId="2" xfId="0" applyFill="1" applyBorder="1"/>
    <xf numFmtId="10" fontId="0" fillId="4" borderId="2" xfId="0" applyNumberFormat="1" applyFill="1" applyBorder="1"/>
    <xf numFmtId="10" fontId="0" fillId="0" borderId="0" xfId="2" applyNumberFormat="1" applyFont="1"/>
    <xf numFmtId="9" fontId="0" fillId="4" borderId="1" xfId="0" applyNumberFormat="1" applyFill="1" applyBorder="1"/>
    <xf numFmtId="9" fontId="0" fillId="4" borderId="2" xfId="0" applyNumberFormat="1" applyFill="1" applyBorder="1"/>
    <xf numFmtId="9" fontId="0" fillId="4" borderId="4" xfId="0" applyNumberFormat="1" applyFill="1" applyBorder="1"/>
    <xf numFmtId="3" fontId="0" fillId="4" borderId="2" xfId="0" applyNumberFormat="1" applyFill="1" applyBorder="1"/>
    <xf numFmtId="0" fontId="0" fillId="3" borderId="7" xfId="0" applyFill="1" applyBorder="1"/>
    <xf numFmtId="0" fontId="0" fillId="3" borderId="9" xfId="0" applyFill="1" applyBorder="1"/>
    <xf numFmtId="0" fontId="0" fillId="0" borderId="0" xfId="0" applyBorder="1"/>
    <xf numFmtId="0" fontId="0" fillId="3" borderId="8" xfId="0" applyFill="1" applyBorder="1"/>
    <xf numFmtId="9" fontId="0" fillId="4" borderId="2" xfId="2" applyFont="1" applyFill="1" applyBorder="1"/>
    <xf numFmtId="167" fontId="0" fillId="4" borderId="3" xfId="0" applyNumberFormat="1" applyFill="1" applyBorder="1"/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7" fontId="0" fillId="4" borderId="1" xfId="2" applyNumberFormat="1" applyFont="1" applyFill="1" applyBorder="1"/>
    <xf numFmtId="167" fontId="0" fillId="4" borderId="4" xfId="0" applyNumberFormat="1" applyFill="1" applyBorder="1"/>
    <xf numFmtId="3" fontId="0" fillId="4" borderId="1" xfId="0" applyNumberFormat="1" applyFill="1" applyBorder="1"/>
    <xf numFmtId="166" fontId="0" fillId="4" borderId="2" xfId="0" applyNumberFormat="1" applyFill="1" applyBorder="1"/>
    <xf numFmtId="167" fontId="0" fillId="4" borderId="2" xfId="2" applyNumberFormat="1" applyFont="1" applyFill="1" applyBorder="1"/>
    <xf numFmtId="3" fontId="0" fillId="5" borderId="3" xfId="0" applyNumberFormat="1" applyFill="1" applyBorder="1"/>
    <xf numFmtId="3" fontId="0" fillId="0" borderId="2" xfId="0" applyNumberFormat="1" applyBorder="1"/>
    <xf numFmtId="169" fontId="0" fillId="0" borderId="2" xfId="1" applyNumberFormat="1" applyFont="1" applyBorder="1"/>
    <xf numFmtId="0" fontId="0" fillId="2" borderId="5" xfId="0" applyFill="1" applyBorder="1"/>
    <xf numFmtId="3" fontId="0" fillId="4" borderId="3" xfId="0" applyNumberFormat="1" applyFill="1" applyBorder="1"/>
    <xf numFmtId="165" fontId="0" fillId="4" borderId="4" xfId="2" applyNumberFormat="1" applyFont="1" applyFill="1" applyBorder="1"/>
    <xf numFmtId="165" fontId="0" fillId="4" borderId="2" xfId="2" applyNumberFormat="1" applyFont="1" applyFill="1" applyBorder="1"/>
    <xf numFmtId="2" fontId="0" fillId="4" borderId="3" xfId="0" applyNumberFormat="1" applyFill="1" applyBorder="1"/>
    <xf numFmtId="3" fontId="0" fillId="0" borderId="0" xfId="0" applyNumberFormat="1"/>
    <xf numFmtId="169" fontId="6" fillId="0" borderId="0" xfId="1" applyNumberFormat="1" applyFont="1"/>
    <xf numFmtId="0" fontId="0" fillId="0" borderId="11" xfId="0" applyBorder="1"/>
    <xf numFmtId="169" fontId="6" fillId="0" borderId="11" xfId="1" applyNumberFormat="1" applyFont="1" applyBorder="1"/>
    <xf numFmtId="0" fontId="0" fillId="0" borderId="0" xfId="0" applyFill="1" applyBorder="1"/>
    <xf numFmtId="170" fontId="6" fillId="0" borderId="0" xfId="1" applyNumberFormat="1" applyFont="1"/>
    <xf numFmtId="0" fontId="0" fillId="8" borderId="11" xfId="0" applyFill="1" applyBorder="1"/>
    <xf numFmtId="0" fontId="5" fillId="8" borderId="11" xfId="0" applyFont="1" applyFill="1" applyBorder="1" applyAlignment="1">
      <alignment horizontal="center"/>
    </xf>
    <xf numFmtId="0" fontId="5" fillId="8" borderId="0" xfId="0" applyFont="1" applyFill="1"/>
    <xf numFmtId="170" fontId="5" fillId="8" borderId="0" xfId="1" applyNumberFormat="1" applyFont="1" applyFill="1"/>
    <xf numFmtId="165" fontId="0" fillId="0" borderId="0" xfId="0" applyNumberFormat="1"/>
    <xf numFmtId="10" fontId="6" fillId="0" borderId="0" xfId="2" applyNumberFormat="1" applyFont="1"/>
    <xf numFmtId="0" fontId="0" fillId="9" borderId="10" xfId="0" applyFill="1" applyBorder="1"/>
    <xf numFmtId="3" fontId="0" fillId="9" borderId="10" xfId="0" applyNumberFormat="1" applyFill="1" applyBorder="1"/>
    <xf numFmtId="0" fontId="0" fillId="10" borderId="1" xfId="0" applyFill="1" applyBorder="1"/>
    <xf numFmtId="0" fontId="0" fillId="10" borderId="2" xfId="0" applyFill="1" applyBorder="1"/>
    <xf numFmtId="0" fontId="0" fillId="10" borderId="4" xfId="0" applyFill="1" applyBorder="1"/>
    <xf numFmtId="9" fontId="0" fillId="12" borderId="1" xfId="0" applyNumberFormat="1" applyFill="1" applyBorder="1"/>
    <xf numFmtId="9" fontId="0" fillId="12" borderId="2" xfId="0" applyNumberFormat="1" applyFill="1" applyBorder="1"/>
    <xf numFmtId="0" fontId="0" fillId="12" borderId="2" xfId="0" applyFill="1" applyBorder="1"/>
    <xf numFmtId="3" fontId="0" fillId="12" borderId="2" xfId="0" applyNumberFormat="1" applyFill="1" applyBorder="1"/>
    <xf numFmtId="3" fontId="0" fillId="12" borderId="4" xfId="0" applyNumberFormat="1" applyFill="1" applyBorder="1"/>
    <xf numFmtId="0" fontId="0" fillId="0" borderId="4" xfId="0" applyBorder="1"/>
    <xf numFmtId="0" fontId="0" fillId="9" borderId="4" xfId="0" applyFill="1" applyBorder="1"/>
    <xf numFmtId="0" fontId="0" fillId="13" borderId="1" xfId="0" applyFill="1" applyBorder="1"/>
    <xf numFmtId="0" fontId="0" fillId="13" borderId="2" xfId="0" applyFill="1" applyBorder="1"/>
    <xf numFmtId="0" fontId="0" fillId="13" borderId="4" xfId="0" applyFill="1" applyBorder="1"/>
    <xf numFmtId="0" fontId="0" fillId="14" borderId="1" xfId="0" applyFill="1" applyBorder="1"/>
    <xf numFmtId="0" fontId="0" fillId="14" borderId="2" xfId="0" applyFill="1" applyBorder="1"/>
    <xf numFmtId="10" fontId="0" fillId="12" borderId="1" xfId="0" applyNumberFormat="1" applyFill="1" applyBorder="1"/>
    <xf numFmtId="10" fontId="0" fillId="12" borderId="2" xfId="2" applyNumberFormat="1" applyFont="1" applyFill="1" applyBorder="1"/>
    <xf numFmtId="10" fontId="0" fillId="12" borderId="2" xfId="0" applyNumberFormat="1" applyFill="1" applyBorder="1"/>
    <xf numFmtId="10" fontId="0" fillId="12" borderId="4" xfId="0" applyNumberFormat="1" applyFill="1" applyBorder="1"/>
    <xf numFmtId="0" fontId="0" fillId="6" borderId="3" xfId="0" applyFill="1" applyBorder="1"/>
    <xf numFmtId="0" fontId="0" fillId="0" borderId="2" xfId="0" applyFill="1" applyBorder="1"/>
    <xf numFmtId="0" fontId="0" fillId="6" borderId="3" xfId="0" applyFill="1" applyBorder="1" applyAlignment="1">
      <alignment horizontal="center"/>
    </xf>
    <xf numFmtId="3" fontId="0" fillId="0" borderId="4" xfId="0" applyNumberFormat="1" applyBorder="1"/>
    <xf numFmtId="0" fontId="4" fillId="7" borderId="3" xfId="0" applyFont="1" applyFill="1" applyBorder="1"/>
    <xf numFmtId="3" fontId="0" fillId="7" borderId="3" xfId="0" applyNumberFormat="1" applyFill="1" applyBorder="1"/>
    <xf numFmtId="0" fontId="4" fillId="2" borderId="3" xfId="0" applyFont="1" applyFill="1" applyBorder="1"/>
    <xf numFmtId="3" fontId="0" fillId="2" borderId="3" xfId="0" applyNumberFormat="1" applyFill="1" applyBorder="1"/>
    <xf numFmtId="169" fontId="1" fillId="0" borderId="0" xfId="1" applyNumberFormat="1" applyFont="1"/>
    <xf numFmtId="169" fontId="1" fillId="9" borderId="10" xfId="1" applyNumberFormat="1" applyFont="1" applyFill="1" applyBorder="1"/>
    <xf numFmtId="169" fontId="6" fillId="0" borderId="2" xfId="1" applyNumberFormat="1" applyFont="1" applyBorder="1"/>
    <xf numFmtId="169" fontId="6" fillId="0" borderId="4" xfId="1" applyNumberFormat="1" applyFont="1" applyBorder="1"/>
    <xf numFmtId="169" fontId="6" fillId="9" borderId="3" xfId="1" applyNumberFormat="1" applyFont="1" applyFill="1" applyBorder="1"/>
    <xf numFmtId="0" fontId="5" fillId="8" borderId="3" xfId="0" applyFont="1" applyFill="1" applyBorder="1" applyAlignment="1">
      <alignment horizontal="left"/>
    </xf>
    <xf numFmtId="3" fontId="5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169" fontId="6" fillId="10" borderId="3" xfId="1" applyNumberFormat="1" applyFont="1" applyFill="1" applyBorder="1"/>
    <xf numFmtId="169" fontId="6" fillId="9" borderId="4" xfId="1" applyNumberFormat="1" applyFont="1" applyFill="1" applyBorder="1"/>
    <xf numFmtId="0" fontId="0" fillId="0" borderId="4" xfId="0" applyFill="1" applyBorder="1"/>
    <xf numFmtId="169" fontId="6" fillId="0" borderId="4" xfId="1" applyNumberFormat="1" applyFont="1" applyFill="1" applyBorder="1"/>
    <xf numFmtId="0" fontId="5" fillId="9" borderId="2" xfId="0" applyFont="1" applyFill="1" applyBorder="1"/>
    <xf numFmtId="0" fontId="5" fillId="9" borderId="4" xfId="0" applyFont="1" applyFill="1" applyBorder="1"/>
    <xf numFmtId="10" fontId="5" fillId="9" borderId="2" xfId="0" applyNumberFormat="1" applyFont="1" applyFill="1" applyBorder="1"/>
    <xf numFmtId="10" fontId="5" fillId="9" borderId="4" xfId="0" applyNumberFormat="1" applyFont="1" applyFill="1" applyBorder="1"/>
    <xf numFmtId="9" fontId="0" fillId="14" borderId="1" xfId="0" applyNumberFormat="1" applyFill="1" applyBorder="1"/>
    <xf numFmtId="9" fontId="0" fillId="14" borderId="2" xfId="0" applyNumberFormat="1" applyFill="1" applyBorder="1"/>
    <xf numFmtId="166" fontId="0" fillId="14" borderId="2" xfId="0" applyNumberFormat="1" applyFill="1" applyBorder="1"/>
    <xf numFmtId="10" fontId="0" fillId="14" borderId="2" xfId="0" applyNumberFormat="1" applyFill="1" applyBorder="1"/>
    <xf numFmtId="169" fontId="7" fillId="0" borderId="2" xfId="1" applyNumberFormat="1" applyFont="1" applyBorder="1"/>
    <xf numFmtId="3" fontId="0" fillId="9" borderId="3" xfId="0" applyNumberFormat="1" applyFill="1" applyBorder="1"/>
    <xf numFmtId="0" fontId="8" fillId="9" borderId="2" xfId="0" applyFont="1" applyFill="1" applyBorder="1"/>
    <xf numFmtId="10" fontId="5" fillId="9" borderId="2" xfId="2" applyNumberFormat="1" applyFont="1" applyFill="1" applyBorder="1"/>
    <xf numFmtId="0" fontId="5" fillId="8" borderId="1" xfId="0" applyFont="1" applyFill="1" applyBorder="1"/>
    <xf numFmtId="0" fontId="5" fillId="8" borderId="4" xfId="0" applyFont="1" applyFill="1" applyBorder="1"/>
    <xf numFmtId="9" fontId="5" fillId="8" borderId="1" xfId="0" applyNumberFormat="1" applyFont="1" applyFill="1" applyBorder="1"/>
    <xf numFmtId="3" fontId="5" fillId="8" borderId="4" xfId="0" applyNumberFormat="1" applyFont="1" applyFill="1" applyBorder="1"/>
    <xf numFmtId="0" fontId="2" fillId="0" borderId="1" xfId="0" applyFont="1" applyBorder="1" applyAlignment="1">
      <alignment horizontal="center"/>
    </xf>
    <xf numFmtId="10" fontId="0" fillId="0" borderId="8" xfId="2" applyNumberFormat="1" applyFont="1" applyBorder="1"/>
    <xf numFmtId="10" fontId="0" fillId="0" borderId="9" xfId="2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5" borderId="5" xfId="0" applyFont="1" applyFill="1" applyBorder="1"/>
    <xf numFmtId="0" fontId="0" fillId="11" borderId="7" xfId="0" applyFill="1" applyBorder="1"/>
    <xf numFmtId="0" fontId="0" fillId="11" borderId="8" xfId="0" applyFill="1" applyBorder="1"/>
    <xf numFmtId="10" fontId="0" fillId="4" borderId="2" xfId="2" applyNumberFormat="1" applyFont="1" applyFill="1" applyBorder="1"/>
    <xf numFmtId="0" fontId="2" fillId="11" borderId="9" xfId="0" applyFont="1" applyFill="1" applyBorder="1"/>
    <xf numFmtId="10" fontId="2" fillId="4" borderId="4" xfId="2" applyNumberFormat="1" applyFont="1" applyFill="1" applyBorder="1"/>
    <xf numFmtId="0" fontId="2" fillId="14" borderId="2" xfId="0" applyFont="1" applyFill="1" applyBorder="1"/>
    <xf numFmtId="0" fontId="5" fillId="8" borderId="3" xfId="0" applyFont="1" applyFill="1" applyBorder="1"/>
    <xf numFmtId="3" fontId="5" fillId="8" borderId="3" xfId="0" applyNumberFormat="1" applyFont="1" applyFill="1" applyBorder="1"/>
    <xf numFmtId="0" fontId="2" fillId="0" borderId="4" xfId="0" applyFont="1" applyFill="1" applyBorder="1"/>
    <xf numFmtId="169" fontId="6" fillId="0" borderId="1" xfId="1" applyNumberFormat="1" applyFont="1" applyBorder="1"/>
    <xf numFmtId="169" fontId="6" fillId="12" borderId="1" xfId="1" applyNumberFormat="1" applyFont="1" applyFill="1" applyBorder="1"/>
    <xf numFmtId="169" fontId="6" fillId="12" borderId="2" xfId="1" applyNumberFormat="1" applyFont="1" applyFill="1" applyBorder="1"/>
    <xf numFmtId="169" fontId="1" fillId="12" borderId="2" xfId="1" applyNumberFormat="1" applyFont="1" applyFill="1" applyBorder="1"/>
    <xf numFmtId="169" fontId="6" fillId="12" borderId="4" xfId="1" applyNumberFormat="1" applyFont="1" applyFill="1" applyBorder="1"/>
    <xf numFmtId="9" fontId="6" fillId="9" borderId="1" xfId="2" applyFont="1" applyFill="1" applyBorder="1"/>
    <xf numFmtId="9" fontId="6" fillId="9" borderId="2" xfId="2" applyFont="1" applyFill="1" applyBorder="1"/>
    <xf numFmtId="167" fontId="6" fillId="9" borderId="2" xfId="2" applyNumberFormat="1" applyFont="1" applyFill="1" applyBorder="1"/>
    <xf numFmtId="2" fontId="6" fillId="9" borderId="2" xfId="1" applyNumberFormat="1" applyFont="1" applyFill="1" applyBorder="1"/>
    <xf numFmtId="0" fontId="0" fillId="9" borderId="2" xfId="0" applyFill="1" applyBorder="1"/>
    <xf numFmtId="10" fontId="6" fillId="9" borderId="2" xfId="2" applyNumberFormat="1" applyFont="1" applyFill="1" applyBorder="1"/>
    <xf numFmtId="10" fontId="6" fillId="9" borderId="4" xfId="2" applyNumberFormat="1" applyFont="1" applyFill="1" applyBorder="1"/>
    <xf numFmtId="169" fontId="6" fillId="10" borderId="4" xfId="1" applyNumberFormat="1" applyFont="1" applyFill="1" applyBorder="1"/>
    <xf numFmtId="0" fontId="8" fillId="8" borderId="11" xfId="0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0" fontId="2" fillId="13" borderId="0" xfId="0" applyFont="1" applyFill="1" applyAlignment="1">
      <alignment horizontal="center"/>
    </xf>
    <xf numFmtId="2" fontId="0" fillId="13" borderId="0" xfId="0" applyNumberFormat="1" applyFill="1" applyAlignment="1">
      <alignment horizontal="center"/>
    </xf>
    <xf numFmtId="0" fontId="2" fillId="13" borderId="0" xfId="0" applyFont="1" applyFill="1"/>
    <xf numFmtId="0" fontId="2" fillId="10" borderId="0" xfId="0" applyFont="1" applyFill="1" applyAlignment="1">
      <alignment horizontal="center"/>
    </xf>
    <xf numFmtId="2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2" fillId="15" borderId="0" xfId="0" applyFont="1" applyFill="1"/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/>
    <xf numFmtId="0" fontId="4" fillId="15" borderId="1" xfId="0" applyFont="1" applyFill="1" applyBorder="1"/>
    <xf numFmtId="0" fontId="4" fillId="15" borderId="2" xfId="0" applyFont="1" applyFill="1" applyBorder="1"/>
    <xf numFmtId="0" fontId="0" fillId="15" borderId="2" xfId="0" applyFill="1" applyBorder="1"/>
    <xf numFmtId="0" fontId="4" fillId="15" borderId="4" xfId="0" applyFont="1" applyFill="1" applyBorder="1"/>
    <xf numFmtId="9" fontId="0" fillId="13" borderId="1" xfId="0" applyNumberFormat="1" applyFill="1" applyBorder="1"/>
    <xf numFmtId="9" fontId="0" fillId="13" borderId="2" xfId="0" applyNumberFormat="1" applyFill="1" applyBorder="1"/>
    <xf numFmtId="3" fontId="0" fillId="13" borderId="2" xfId="0" applyNumberFormat="1" applyFill="1" applyBorder="1"/>
    <xf numFmtId="169" fontId="6" fillId="13" borderId="2" xfId="1" applyNumberFormat="1" applyFont="1" applyFill="1" applyBorder="1"/>
    <xf numFmtId="169" fontId="6" fillId="13" borderId="4" xfId="1" applyNumberFormat="1" applyFont="1" applyFill="1" applyBorder="1"/>
    <xf numFmtId="0" fontId="4" fillId="10" borderId="4" xfId="0" applyFont="1" applyFill="1" applyBorder="1"/>
    <xf numFmtId="169" fontId="6" fillId="11" borderId="1" xfId="1" applyNumberFormat="1" applyFont="1" applyFill="1" applyBorder="1"/>
    <xf numFmtId="169" fontId="6" fillId="11" borderId="4" xfId="1" applyNumberFormat="1" applyFont="1" applyFill="1" applyBorder="1"/>
    <xf numFmtId="169" fontId="5" fillId="8" borderId="3" xfId="1" applyNumberFormat="1" applyFont="1" applyFill="1" applyBorder="1" applyAlignment="1">
      <alignment horizontal="center"/>
    </xf>
    <xf numFmtId="0" fontId="0" fillId="11" borderId="3" xfId="0" applyFill="1" applyBorder="1"/>
    <xf numFmtId="169" fontId="6" fillId="11" borderId="3" xfId="1" applyNumberFormat="1" applyFont="1" applyFill="1" applyBorder="1"/>
    <xf numFmtId="0" fontId="4" fillId="0" borderId="7" xfId="0" applyFont="1" applyBorder="1"/>
    <xf numFmtId="171" fontId="6" fillId="0" borderId="14" xfId="1" applyNumberFormat="1" applyFont="1" applyBorder="1"/>
    <xf numFmtId="0" fontId="4" fillId="0" borderId="8" xfId="0" applyFont="1" applyBorder="1"/>
    <xf numFmtId="9" fontId="6" fillId="0" borderId="12" xfId="2" applyFont="1" applyBorder="1"/>
    <xf numFmtId="0" fontId="4" fillId="0" borderId="9" xfId="0" applyFont="1" applyBorder="1"/>
    <xf numFmtId="9" fontId="6" fillId="0" borderId="13" xfId="2" applyFont="1" applyBorder="1"/>
    <xf numFmtId="9" fontId="0" fillId="0" borderId="2" xfId="0" applyNumberFormat="1" applyBorder="1"/>
    <xf numFmtId="170" fontId="5" fillId="8" borderId="3" xfId="1" applyNumberFormat="1" applyFont="1" applyFill="1" applyBorder="1"/>
    <xf numFmtId="0" fontId="0" fillId="11" borderId="1" xfId="0" applyFill="1" applyBorder="1"/>
    <xf numFmtId="0" fontId="0" fillId="11" borderId="2" xfId="0" applyFill="1" applyBorder="1"/>
    <xf numFmtId="0" fontId="0" fillId="11" borderId="4" xfId="0" applyFill="1" applyBorder="1"/>
    <xf numFmtId="3" fontId="0" fillId="11" borderId="2" xfId="0" applyNumberFormat="1" applyFill="1" applyBorder="1"/>
    <xf numFmtId="3" fontId="0" fillId="11" borderId="4" xfId="0" applyNumberFormat="1" applyFill="1" applyBorder="1"/>
    <xf numFmtId="168" fontId="6" fillId="10" borderId="1" xfId="2" applyNumberFormat="1" applyFont="1" applyFill="1" applyBorder="1"/>
    <xf numFmtId="168" fontId="6" fillId="10" borderId="4" xfId="2" applyNumberFormat="1" applyFont="1" applyFill="1" applyBorder="1"/>
    <xf numFmtId="169" fontId="1" fillId="10" borderId="1" xfId="1" applyNumberFormat="1" applyFont="1" applyFill="1" applyBorder="1"/>
    <xf numFmtId="0" fontId="0" fillId="17" borderId="0" xfId="0" applyFill="1"/>
    <xf numFmtId="0" fontId="0" fillId="0" borderId="3" xfId="0" applyFill="1" applyBorder="1"/>
    <xf numFmtId="0" fontId="5" fillId="8" borderId="5" xfId="0" applyFont="1" applyFill="1" applyBorder="1"/>
    <xf numFmtId="10" fontId="5" fillId="8" borderId="6" xfId="0" applyNumberFormat="1" applyFont="1" applyFill="1" applyBorder="1"/>
    <xf numFmtId="0" fontId="0" fillId="8" borderId="3" xfId="0" applyFill="1" applyBorder="1"/>
    <xf numFmtId="0" fontId="0" fillId="8" borderId="3" xfId="0" applyFill="1" applyBorder="1" applyAlignment="1">
      <alignment horizontal="center"/>
    </xf>
    <xf numFmtId="0" fontId="0" fillId="17" borderId="2" xfId="0" applyFill="1" applyBorder="1"/>
    <xf numFmtId="3" fontId="0" fillId="17" borderId="2" xfId="0" applyNumberFormat="1" applyFill="1" applyBorder="1"/>
    <xf numFmtId="0" fontId="0" fillId="17" borderId="4" xfId="0" applyFill="1" applyBorder="1"/>
    <xf numFmtId="3" fontId="0" fillId="17" borderId="4" xfId="0" applyNumberFormat="1" applyFill="1" applyBorder="1"/>
    <xf numFmtId="0" fontId="0" fillId="10" borderId="3" xfId="0" applyFill="1" applyBorder="1"/>
    <xf numFmtId="3" fontId="0" fillId="10" borderId="3" xfId="0" applyNumberFormat="1" applyFill="1" applyBorder="1"/>
    <xf numFmtId="3" fontId="0" fillId="0" borderId="1" xfId="0" applyNumberFormat="1" applyBorder="1"/>
    <xf numFmtId="0" fontId="0" fillId="17" borderId="1" xfId="0" applyFill="1" applyBorder="1"/>
    <xf numFmtId="9" fontId="0" fillId="17" borderId="1" xfId="0" applyNumberFormat="1" applyFill="1" applyBorder="1"/>
    <xf numFmtId="9" fontId="0" fillId="17" borderId="2" xfId="0" applyNumberFormat="1" applyFill="1" applyBorder="1"/>
    <xf numFmtId="167" fontId="0" fillId="0" borderId="2" xfId="0" applyNumberFormat="1" applyFill="1" applyBorder="1"/>
    <xf numFmtId="167" fontId="0" fillId="17" borderId="2" xfId="0" applyNumberFormat="1" applyFill="1" applyBorder="1"/>
    <xf numFmtId="2" fontId="0" fillId="17" borderId="2" xfId="0" applyNumberFormat="1" applyFill="1" applyBorder="1"/>
    <xf numFmtId="10" fontId="0" fillId="0" borderId="2" xfId="2" applyNumberFormat="1" applyFont="1" applyBorder="1"/>
    <xf numFmtId="10" fontId="0" fillId="0" borderId="4" xfId="2" applyNumberFormat="1" applyFont="1" applyBorder="1"/>
    <xf numFmtId="3" fontId="0" fillId="17" borderId="1" xfId="0" applyNumberFormat="1" applyFill="1" applyBorder="1"/>
    <xf numFmtId="9" fontId="0" fillId="17" borderId="4" xfId="0" applyNumberFormat="1" applyFill="1" applyBorder="1"/>
    <xf numFmtId="172" fontId="0" fillId="0" borderId="0" xfId="1" applyNumberFormat="1" applyFont="1"/>
    <xf numFmtId="10" fontId="0" fillId="11" borderId="2" xfId="0" applyNumberFormat="1" applyFill="1" applyBorder="1"/>
    <xf numFmtId="3" fontId="0" fillId="12" borderId="1" xfId="0" applyNumberFormat="1" applyFill="1" applyBorder="1"/>
    <xf numFmtId="167" fontId="0" fillId="12" borderId="2" xfId="2" applyNumberFormat="1" applyFont="1" applyFill="1" applyBorder="1"/>
    <xf numFmtId="0" fontId="5" fillId="10" borderId="4" xfId="0" applyFont="1" applyFill="1" applyBorder="1"/>
    <xf numFmtId="10" fontId="0" fillId="11" borderId="1" xfId="0" applyNumberFormat="1" applyFill="1" applyBorder="1"/>
    <xf numFmtId="10" fontId="5" fillId="10" borderId="4" xfId="0" applyNumberFormat="1" applyFont="1" applyFill="1" applyBorder="1"/>
    <xf numFmtId="172" fontId="0" fillId="0" borderId="2" xfId="1" applyNumberFormat="1" applyFont="1" applyBorder="1"/>
    <xf numFmtId="172" fontId="0" fillId="0" borderId="2" xfId="0" applyNumberFormat="1" applyBorder="1"/>
    <xf numFmtId="172" fontId="0" fillId="0" borderId="4" xfId="1" applyNumberFormat="1" applyFont="1" applyBorder="1"/>
    <xf numFmtId="0" fontId="5" fillId="16" borderId="3" xfId="0" applyFont="1" applyFill="1" applyBorder="1"/>
    <xf numFmtId="0" fontId="5" fillId="16" borderId="3" xfId="0" applyFont="1" applyFill="1" applyBorder="1" applyAlignment="1">
      <alignment horizontal="center"/>
    </xf>
    <xf numFmtId="172" fontId="0" fillId="10" borderId="10" xfId="0" applyNumberFormat="1" applyFill="1" applyBorder="1"/>
    <xf numFmtId="0" fontId="5" fillId="16" borderId="5" xfId="0" applyFont="1" applyFill="1" applyBorder="1" applyAlignment="1">
      <alignment horizontal="center"/>
    </xf>
    <xf numFmtId="172" fontId="0" fillId="0" borderId="8" xfId="1" applyNumberFormat="1" applyFont="1" applyBorder="1"/>
    <xf numFmtId="172" fontId="0" fillId="0" borderId="8" xfId="0" applyNumberFormat="1" applyBorder="1"/>
    <xf numFmtId="172" fontId="0" fillId="0" borderId="9" xfId="1" applyNumberFormat="1" applyFont="1" applyBorder="1"/>
    <xf numFmtId="172" fontId="0" fillId="10" borderId="3" xfId="0" applyNumberFormat="1" applyFill="1" applyBorder="1"/>
    <xf numFmtId="0" fontId="0" fillId="0" borderId="3" xfId="0" applyBorder="1"/>
    <xf numFmtId="172" fontId="0" fillId="0" borderId="3" xfId="1" applyNumberFormat="1" applyFont="1" applyBorder="1"/>
    <xf numFmtId="0" fontId="5" fillId="12" borderId="3" xfId="0" applyFont="1" applyFill="1" applyBorder="1"/>
    <xf numFmtId="0" fontId="5" fillId="12" borderId="3" xfId="0" applyFont="1" applyFill="1" applyBorder="1" applyAlignment="1">
      <alignment horizontal="center"/>
    </xf>
    <xf numFmtId="0" fontId="0" fillId="12" borderId="3" xfId="0" applyFill="1" applyBorder="1"/>
    <xf numFmtId="172" fontId="0" fillId="12" borderId="3" xfId="0" applyNumberFormat="1" applyFill="1" applyBorder="1"/>
    <xf numFmtId="3" fontId="0" fillId="12" borderId="3" xfId="0" applyNumberFormat="1" applyFill="1" applyBorder="1"/>
    <xf numFmtId="172" fontId="0" fillId="11" borderId="3" xfId="0" applyNumberForma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18" sqref="A18"/>
    </sheetView>
  </sheetViews>
  <sheetFormatPr baseColWidth="10" defaultColWidth="11.42578125" defaultRowHeight="12.75" x14ac:dyDescent="0.2"/>
  <cols>
    <col min="1" max="1" width="19.140625" bestFit="1" customWidth="1"/>
  </cols>
  <sheetData>
    <row r="1" spans="1:6" x14ac:dyDescent="0.2">
      <c r="A1" s="10" t="s">
        <v>2</v>
      </c>
      <c r="B1" s="10" t="s">
        <v>3</v>
      </c>
      <c r="C1" s="10" t="s">
        <v>4</v>
      </c>
      <c r="D1" s="132" t="s">
        <v>2</v>
      </c>
      <c r="E1" s="10" t="s">
        <v>3</v>
      </c>
      <c r="F1" s="10" t="s">
        <v>5</v>
      </c>
    </row>
    <row r="2" spans="1:6" x14ac:dyDescent="0.2">
      <c r="A2" s="11">
        <v>2014</v>
      </c>
      <c r="B2" s="11">
        <v>200</v>
      </c>
      <c r="C2" s="19"/>
      <c r="D2" s="127">
        <f>A2</f>
        <v>2014</v>
      </c>
      <c r="E2" s="130">
        <v>200</v>
      </c>
      <c r="F2" s="2"/>
    </row>
    <row r="3" spans="1:6" x14ac:dyDescent="0.2">
      <c r="A3" s="12">
        <v>2015</v>
      </c>
      <c r="B3" s="12">
        <v>230</v>
      </c>
      <c r="C3" s="128">
        <f>(B3-B2)/B2</f>
        <v>0.15</v>
      </c>
      <c r="D3" s="133">
        <f t="shared" ref="D3:D6" si="0">A3</f>
        <v>2015</v>
      </c>
      <c r="E3" s="130">
        <v>230</v>
      </c>
      <c r="F3" s="13">
        <v>7.0000000000000007E-2</v>
      </c>
    </row>
    <row r="4" spans="1:6" x14ac:dyDescent="0.2">
      <c r="A4" s="12">
        <v>2016</v>
      </c>
      <c r="B4" s="12">
        <v>200</v>
      </c>
      <c r="C4" s="128">
        <f>(B4-B3)/B3</f>
        <v>-0.13043478260869565</v>
      </c>
      <c r="D4" s="133">
        <f t="shared" si="0"/>
        <v>2016</v>
      </c>
      <c r="E4" s="130">
        <v>200</v>
      </c>
      <c r="F4" s="13">
        <v>-0.08</v>
      </c>
    </row>
    <row r="5" spans="1:6" x14ac:dyDescent="0.2">
      <c r="A5" s="12">
        <v>2017</v>
      </c>
      <c r="B5" s="12">
        <v>235</v>
      </c>
      <c r="C5" s="128">
        <f>(B5-B4)/B4</f>
        <v>0.17499999999999999</v>
      </c>
      <c r="D5" s="133">
        <f t="shared" si="0"/>
        <v>2017</v>
      </c>
      <c r="E5" s="130">
        <v>235</v>
      </c>
      <c r="F5" s="13">
        <v>8.1525730011489037E-2</v>
      </c>
    </row>
    <row r="6" spans="1:6" x14ac:dyDescent="0.2">
      <c r="A6" s="14">
        <v>2018</v>
      </c>
      <c r="B6" s="14">
        <v>260</v>
      </c>
      <c r="C6" s="129">
        <f>(B6-B5)/B5</f>
        <v>0.10638297872340426</v>
      </c>
      <c r="D6" s="134">
        <f t="shared" si="0"/>
        <v>2018</v>
      </c>
      <c r="E6" s="131">
        <v>260</v>
      </c>
      <c r="F6" s="15">
        <v>0.1</v>
      </c>
    </row>
    <row r="7" spans="1:6" x14ac:dyDescent="0.2">
      <c r="A7" s="16" t="s">
        <v>6</v>
      </c>
      <c r="B7" s="17"/>
      <c r="C7" s="18">
        <f>AVERAGE(C3:C6)</f>
        <v>7.5237049028677144E-2</v>
      </c>
    </row>
    <row r="9" spans="1:6" x14ac:dyDescent="0.2">
      <c r="A9" s="11">
        <f>A3</f>
        <v>2015</v>
      </c>
      <c r="B9" s="19"/>
      <c r="C9" s="20">
        <v>7.0000000000000007E-2</v>
      </c>
    </row>
    <row r="10" spans="1:6" x14ac:dyDescent="0.2">
      <c r="A10" s="12">
        <f>A4</f>
        <v>2016</v>
      </c>
      <c r="B10" s="21"/>
      <c r="C10" s="13">
        <v>-0.08</v>
      </c>
    </row>
    <row r="11" spans="1:6" x14ac:dyDescent="0.2">
      <c r="A11" s="12">
        <f>A5</f>
        <v>2017</v>
      </c>
      <c r="B11" s="21"/>
      <c r="C11" s="13">
        <v>8.1525730011489037E-2</v>
      </c>
    </row>
    <row r="12" spans="1:6" x14ac:dyDescent="0.2">
      <c r="A12" s="14">
        <f>A6</f>
        <v>2018</v>
      </c>
      <c r="B12" s="22"/>
      <c r="C12" s="15">
        <v>0.1</v>
      </c>
    </row>
    <row r="13" spans="1:6" x14ac:dyDescent="0.2">
      <c r="A13" s="16" t="s">
        <v>6</v>
      </c>
      <c r="B13" s="23"/>
      <c r="C13" s="24">
        <f>AVERAGE(C9:C12)</f>
        <v>4.2881432502872262E-2</v>
      </c>
    </row>
    <row r="15" spans="1:6" x14ac:dyDescent="0.2">
      <c r="A15" s="6" t="s">
        <v>115</v>
      </c>
      <c r="B15" s="25">
        <f>(((C3-C4)^ 2+(C4-C7)^2+(C5-C7)^2+(C6-C7)^2)/3)^0.5</f>
        <v>0.20965629408543374</v>
      </c>
    </row>
    <row r="16" spans="1:6" x14ac:dyDescent="0.2">
      <c r="A16" s="26" t="s">
        <v>116</v>
      </c>
      <c r="B16" s="27">
        <f>(((C9-C13)^2+(C10-C13)^2+(C11-C13)^2+(C12-C13)^2)/3)^0.5</f>
        <v>8.2847602338898235E-2</v>
      </c>
      <c r="C16" s="28"/>
    </row>
    <row r="17" spans="1:2" x14ac:dyDescent="0.2">
      <c r="A17" s="26" t="s">
        <v>117</v>
      </c>
      <c r="B17" s="56">
        <f>B16^2</f>
        <v>6.8637252133042165E-3</v>
      </c>
    </row>
    <row r="18" spans="1:2" x14ac:dyDescent="0.2">
      <c r="A18" s="7" t="s">
        <v>0</v>
      </c>
      <c r="B18" s="55">
        <f>((C9-C13)*(C3-C7)+(C10-C13)*(C4-C7)+(C11-C13)*(C5-C7)+(C12-C13)*(C6-C7))/3</f>
        <v>1.0978331158164205E-2</v>
      </c>
    </row>
    <row r="20" spans="1:2" x14ac:dyDescent="0.2">
      <c r="A20" s="9" t="s">
        <v>7</v>
      </c>
      <c r="B20" s="57">
        <f>B18/B17</f>
        <v>1.5994712516877123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K25" sqref="K25"/>
    </sheetView>
  </sheetViews>
  <sheetFormatPr baseColWidth="10" defaultColWidth="9.140625" defaultRowHeight="12.75" x14ac:dyDescent="0.2"/>
  <cols>
    <col min="1" max="1" width="22.42578125" bestFit="1" customWidth="1"/>
  </cols>
  <sheetData>
    <row r="1" spans="1:7" ht="15" x14ac:dyDescent="0.25">
      <c r="B1" s="106">
        <v>2018</v>
      </c>
      <c r="C1" s="106">
        <v>2019</v>
      </c>
      <c r="D1" s="106">
        <v>2020</v>
      </c>
      <c r="E1" s="106">
        <v>2021</v>
      </c>
      <c r="F1" s="65">
        <v>2022</v>
      </c>
      <c r="G1" s="106">
        <v>2023</v>
      </c>
    </row>
    <row r="2" spans="1:7" x14ac:dyDescent="0.2">
      <c r="A2" s="1" t="s">
        <v>94</v>
      </c>
      <c r="B2" s="2"/>
      <c r="C2" s="51">
        <v>3000</v>
      </c>
      <c r="D2" s="51">
        <v>6500</v>
      </c>
      <c r="E2" s="51">
        <v>7200</v>
      </c>
      <c r="F2" s="58">
        <v>8100</v>
      </c>
      <c r="G2" s="51">
        <v>7500</v>
      </c>
    </row>
    <row r="3" spans="1:7" x14ac:dyDescent="0.2">
      <c r="A3" s="2" t="s">
        <v>95</v>
      </c>
      <c r="B3" s="2"/>
      <c r="C3" s="2">
        <v>-520</v>
      </c>
      <c r="D3" s="2">
        <v>-560</v>
      </c>
      <c r="E3" s="2">
        <v>-600</v>
      </c>
      <c r="F3">
        <v>-630</v>
      </c>
      <c r="G3" s="2">
        <v>-600</v>
      </c>
    </row>
    <row r="4" spans="1:7" x14ac:dyDescent="0.2">
      <c r="A4" s="2" t="s">
        <v>96</v>
      </c>
      <c r="B4" s="2"/>
      <c r="C4" s="2">
        <v>-300</v>
      </c>
      <c r="D4" s="2">
        <v>-500</v>
      </c>
      <c r="E4" s="2">
        <v>-500</v>
      </c>
      <c r="F4">
        <v>-500</v>
      </c>
      <c r="G4" s="2">
        <v>-500</v>
      </c>
    </row>
    <row r="5" spans="1:7" x14ac:dyDescent="0.2">
      <c r="A5" s="2" t="s">
        <v>97</v>
      </c>
      <c r="B5" s="2"/>
      <c r="C5" s="2">
        <v>-500</v>
      </c>
      <c r="D5" s="2">
        <v>-500</v>
      </c>
      <c r="E5" s="2">
        <v>-500</v>
      </c>
      <c r="F5">
        <v>-500</v>
      </c>
      <c r="G5" s="2">
        <v>-500</v>
      </c>
    </row>
    <row r="6" spans="1:7" x14ac:dyDescent="0.2">
      <c r="A6" s="2" t="s">
        <v>98</v>
      </c>
      <c r="B6" s="2"/>
      <c r="C6" s="2">
        <v>-150</v>
      </c>
      <c r="D6" s="2">
        <v>-150</v>
      </c>
      <c r="E6" s="2">
        <v>-150</v>
      </c>
      <c r="F6">
        <v>-150</v>
      </c>
      <c r="G6" s="2">
        <v>-150</v>
      </c>
    </row>
    <row r="7" spans="1:7" x14ac:dyDescent="0.2">
      <c r="A7" s="2" t="s">
        <v>99</v>
      </c>
      <c r="B7" s="2"/>
      <c r="C7" s="2"/>
      <c r="D7" s="2"/>
      <c r="E7" s="2">
        <v>-350</v>
      </c>
      <c r="F7" s="35"/>
      <c r="G7" s="2"/>
    </row>
    <row r="8" spans="1:7" x14ac:dyDescent="0.2">
      <c r="A8" s="92" t="s">
        <v>14</v>
      </c>
      <c r="B8" s="51">
        <v>-15000</v>
      </c>
      <c r="C8" s="2"/>
      <c r="D8" s="2"/>
      <c r="E8" s="2"/>
      <c r="F8" s="35"/>
      <c r="G8" s="51">
        <v>3000</v>
      </c>
    </row>
    <row r="9" spans="1:7" x14ac:dyDescent="0.2">
      <c r="A9" s="145" t="s">
        <v>39</v>
      </c>
      <c r="B9" s="80">
        <v>-800</v>
      </c>
      <c r="C9" s="109">
        <v>-300</v>
      </c>
      <c r="D9" s="80"/>
      <c r="E9" s="80"/>
      <c r="F9" s="60"/>
      <c r="G9" s="94">
        <v>1100</v>
      </c>
    </row>
    <row r="10" spans="1:7" x14ac:dyDescent="0.2">
      <c r="A10" s="70" t="s">
        <v>84</v>
      </c>
      <c r="B10" s="120">
        <f t="shared" ref="B10:G10" si="0">SUM(B2:B9)</f>
        <v>-15800</v>
      </c>
      <c r="C10" s="120">
        <f t="shared" si="0"/>
        <v>1230</v>
      </c>
      <c r="D10" s="120">
        <f t="shared" si="0"/>
        <v>4790</v>
      </c>
      <c r="E10" s="120">
        <f t="shared" si="0"/>
        <v>5100</v>
      </c>
      <c r="F10" s="71">
        <f t="shared" si="0"/>
        <v>6320</v>
      </c>
      <c r="G10" s="120">
        <f t="shared" si="0"/>
        <v>9850</v>
      </c>
    </row>
    <row r="12" spans="1:7" ht="15" x14ac:dyDescent="0.25">
      <c r="A12" s="123" t="s">
        <v>100</v>
      </c>
      <c r="B12" s="125">
        <f>IRR(B10:G10)</f>
        <v>0.16567254978971691</v>
      </c>
    </row>
    <row r="13" spans="1:7" ht="15" x14ac:dyDescent="0.25">
      <c r="A13" s="124" t="s">
        <v>101</v>
      </c>
      <c r="B13" s="126">
        <f>NPV(10%,C10:G10)+B10</f>
        <v>3541.2850587701942</v>
      </c>
    </row>
    <row r="15" spans="1:7" x14ac:dyDescent="0.2">
      <c r="A15" s="85" t="s">
        <v>90</v>
      </c>
      <c r="B15" s="115">
        <v>0.04</v>
      </c>
    </row>
    <row r="16" spans="1:7" x14ac:dyDescent="0.2">
      <c r="A16" s="86" t="s">
        <v>102</v>
      </c>
      <c r="B16" s="116">
        <v>0.1</v>
      </c>
    </row>
    <row r="17" spans="1:7" x14ac:dyDescent="0.2">
      <c r="A17" s="86" t="s">
        <v>103</v>
      </c>
      <c r="B17" s="116">
        <v>0.6</v>
      </c>
    </row>
    <row r="18" spans="1:7" x14ac:dyDescent="0.2">
      <c r="A18" s="86" t="s">
        <v>19</v>
      </c>
      <c r="B18" s="116">
        <f>1-B17</f>
        <v>0.4</v>
      </c>
    </row>
    <row r="19" spans="1:7" x14ac:dyDescent="0.2">
      <c r="A19" s="86" t="s">
        <v>11</v>
      </c>
      <c r="B19" s="116">
        <v>0.22</v>
      </c>
    </row>
    <row r="20" spans="1:7" x14ac:dyDescent="0.2">
      <c r="A20" s="86" t="s">
        <v>88</v>
      </c>
      <c r="B20" s="116">
        <v>0.2</v>
      </c>
    </row>
    <row r="21" spans="1:7" x14ac:dyDescent="0.2">
      <c r="A21" s="86" t="s">
        <v>9</v>
      </c>
      <c r="B21" s="117">
        <v>1.3</v>
      </c>
    </row>
    <row r="22" spans="1:7" x14ac:dyDescent="0.2">
      <c r="A22" s="142" t="s">
        <v>36</v>
      </c>
      <c r="B22" s="118">
        <v>5.6500000000000002E-2</v>
      </c>
    </row>
    <row r="23" spans="1:7" ht="15" x14ac:dyDescent="0.25">
      <c r="A23" s="121" t="s">
        <v>13</v>
      </c>
      <c r="B23" s="122">
        <f>B15*(1-B19)+((B16-B15*(1-B19))*B21)</f>
        <v>0.12064000000000001</v>
      </c>
    </row>
    <row r="24" spans="1:7" ht="15" x14ac:dyDescent="0.25">
      <c r="A24" s="111" t="s">
        <v>66</v>
      </c>
      <c r="B24" s="113">
        <f>B22*(1-B19)*B18+B23*B17</f>
        <v>9.0012000000000009E-2</v>
      </c>
    </row>
    <row r="25" spans="1:7" ht="15" x14ac:dyDescent="0.25">
      <c r="A25" s="112" t="s">
        <v>104</v>
      </c>
      <c r="B25" s="114">
        <v>0.09</v>
      </c>
    </row>
    <row r="27" spans="1:7" ht="15" x14ac:dyDescent="0.25">
      <c r="B27" s="106">
        <f>B1</f>
        <v>2018</v>
      </c>
      <c r="C27" s="106">
        <f t="shared" ref="C27:G27" si="1">C1</f>
        <v>2019</v>
      </c>
      <c r="D27" s="106">
        <f t="shared" si="1"/>
        <v>2020</v>
      </c>
      <c r="E27" s="106">
        <f t="shared" si="1"/>
        <v>2021</v>
      </c>
      <c r="F27" s="106">
        <f t="shared" si="1"/>
        <v>2022</v>
      </c>
      <c r="G27" s="106">
        <f t="shared" si="1"/>
        <v>2023</v>
      </c>
    </row>
    <row r="28" spans="1:7" x14ac:dyDescent="0.2">
      <c r="A28" s="1" t="s">
        <v>94</v>
      </c>
      <c r="B28" s="2"/>
      <c r="C28" s="51">
        <v>3000</v>
      </c>
      <c r="D28" s="51">
        <v>6500</v>
      </c>
      <c r="E28" s="51">
        <v>7200</v>
      </c>
      <c r="F28" s="51">
        <v>8100</v>
      </c>
      <c r="G28" s="51">
        <v>7500</v>
      </c>
    </row>
    <row r="29" spans="1:7" x14ac:dyDescent="0.2">
      <c r="A29" s="2" t="s">
        <v>95</v>
      </c>
      <c r="B29" s="2"/>
      <c r="C29" s="2">
        <v>-520</v>
      </c>
      <c r="D29" s="2">
        <v>-560</v>
      </c>
      <c r="E29" s="2">
        <v>-600</v>
      </c>
      <c r="F29" s="2">
        <v>-630</v>
      </c>
      <c r="G29" s="2">
        <v>-600</v>
      </c>
    </row>
    <row r="30" spans="1:7" x14ac:dyDescent="0.2">
      <c r="A30" s="2" t="s">
        <v>96</v>
      </c>
      <c r="B30" s="2"/>
      <c r="C30" s="2">
        <v>-300</v>
      </c>
      <c r="D30" s="2">
        <v>-500</v>
      </c>
      <c r="E30" s="2">
        <v>-500</v>
      </c>
      <c r="F30" s="2">
        <v>-500</v>
      </c>
      <c r="G30" s="2">
        <v>-500</v>
      </c>
    </row>
    <row r="31" spans="1:7" x14ac:dyDescent="0.2">
      <c r="A31" s="2" t="s">
        <v>97</v>
      </c>
      <c r="B31" s="2"/>
      <c r="C31" s="2">
        <v>-500</v>
      </c>
      <c r="D31" s="2">
        <v>-500</v>
      </c>
      <c r="E31" s="2">
        <v>-500</v>
      </c>
      <c r="F31" s="2">
        <v>-500</v>
      </c>
      <c r="G31" s="2">
        <v>-500</v>
      </c>
    </row>
    <row r="32" spans="1:7" x14ac:dyDescent="0.2">
      <c r="A32" s="2" t="s">
        <v>98</v>
      </c>
      <c r="B32" s="2"/>
      <c r="C32" s="2">
        <v>-150</v>
      </c>
      <c r="D32" s="2">
        <v>-150</v>
      </c>
      <c r="E32" s="2">
        <v>-150</v>
      </c>
      <c r="F32" s="2">
        <v>-150</v>
      </c>
      <c r="G32" s="2">
        <v>-150</v>
      </c>
    </row>
    <row r="33" spans="1:7" x14ac:dyDescent="0.2">
      <c r="A33" s="80" t="s">
        <v>99</v>
      </c>
      <c r="B33" s="80"/>
      <c r="C33" s="80"/>
      <c r="D33" s="80"/>
      <c r="E33" s="80">
        <v>-350</v>
      </c>
      <c r="F33" s="80"/>
      <c r="G33" s="80"/>
    </row>
    <row r="34" spans="1:7" x14ac:dyDescent="0.2">
      <c r="A34" s="92" t="s">
        <v>44</v>
      </c>
      <c r="B34" s="2"/>
      <c r="C34" s="51">
        <f>SUM(C28:C33)</f>
        <v>1530</v>
      </c>
      <c r="D34" s="51">
        <f>SUM(D28:D33)</f>
        <v>4790</v>
      </c>
      <c r="E34" s="51">
        <f>SUM(E28:E33)</f>
        <v>5100</v>
      </c>
      <c r="F34" s="51">
        <f>SUM(F28:F33)</f>
        <v>6320</v>
      </c>
      <c r="G34" s="51">
        <f>SUM(G28:G33)</f>
        <v>5750</v>
      </c>
    </row>
    <row r="35" spans="1:7" ht="15" x14ac:dyDescent="0.25">
      <c r="A35" s="92" t="s">
        <v>41</v>
      </c>
      <c r="B35" s="101"/>
      <c r="C35" s="119">
        <f>-$B$19*C34</f>
        <v>-336.6</v>
      </c>
      <c r="D35" s="119">
        <f>-$B$19*D34</f>
        <v>-1053.8</v>
      </c>
      <c r="E35" s="119">
        <f>-$B$19*E34</f>
        <v>-1122</v>
      </c>
      <c r="F35" s="119">
        <f>-$B$19*F34</f>
        <v>-1390.4</v>
      </c>
      <c r="G35" s="119">
        <f>-$B$19*G34</f>
        <v>-1265</v>
      </c>
    </row>
    <row r="36" spans="1:7" ht="15" x14ac:dyDescent="0.25">
      <c r="A36" s="92" t="s">
        <v>83</v>
      </c>
      <c r="B36" s="101">
        <f>-B8*B20*B19/(B20+B25)</f>
        <v>2275.8620689655168</v>
      </c>
      <c r="C36" s="101"/>
      <c r="D36" s="101"/>
      <c r="E36" s="101"/>
      <c r="F36" s="101"/>
      <c r="G36" s="101"/>
    </row>
    <row r="37" spans="1:7" ht="15" x14ac:dyDescent="0.25">
      <c r="A37" s="92" t="s">
        <v>112</v>
      </c>
      <c r="B37" s="101">
        <f>-G38*B19*B20/((1+B25)^5*(B25+B20))</f>
        <v>-295.83083790131576</v>
      </c>
      <c r="C37" s="101"/>
      <c r="D37" s="101"/>
      <c r="E37" s="101"/>
      <c r="F37" s="101"/>
      <c r="G37" s="2"/>
    </row>
    <row r="38" spans="1:7" ht="15" x14ac:dyDescent="0.25">
      <c r="A38" s="92" t="s">
        <v>14</v>
      </c>
      <c r="B38" s="101">
        <v>-15000</v>
      </c>
      <c r="C38" s="101"/>
      <c r="D38" s="101"/>
      <c r="E38" s="101"/>
      <c r="F38" s="101"/>
      <c r="G38" s="101">
        <v>3000</v>
      </c>
    </row>
    <row r="39" spans="1:7" ht="15" x14ac:dyDescent="0.25">
      <c r="A39" s="109" t="s">
        <v>39</v>
      </c>
      <c r="B39" s="102">
        <v>-800</v>
      </c>
      <c r="C39" s="110">
        <v>-300</v>
      </c>
      <c r="D39" s="102"/>
      <c r="E39" s="102"/>
      <c r="F39" s="102"/>
      <c r="G39" s="102">
        <v>1100</v>
      </c>
    </row>
    <row r="40" spans="1:7" ht="15" x14ac:dyDescent="0.25">
      <c r="A40" s="81" t="s">
        <v>70</v>
      </c>
      <c r="B40" s="108">
        <f t="shared" ref="B40:G40" si="2">SUM(B34:B39)</f>
        <v>-13819.9687689358</v>
      </c>
      <c r="C40" s="108">
        <f t="shared" si="2"/>
        <v>893.40000000000009</v>
      </c>
      <c r="D40" s="108">
        <f t="shared" si="2"/>
        <v>3736.2</v>
      </c>
      <c r="E40" s="108">
        <f t="shared" si="2"/>
        <v>3978</v>
      </c>
      <c r="F40" s="108">
        <f t="shared" si="2"/>
        <v>4929.6000000000004</v>
      </c>
      <c r="G40" s="108">
        <f t="shared" si="2"/>
        <v>8585</v>
      </c>
    </row>
    <row r="42" spans="1:7" ht="15" x14ac:dyDescent="0.25">
      <c r="A42" s="143" t="s">
        <v>43</v>
      </c>
      <c r="B42" s="144">
        <f>NPV(B25,C40:G40)+B40</f>
        <v>2288.0088049508577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I7" sqref="I7"/>
    </sheetView>
  </sheetViews>
  <sheetFormatPr baseColWidth="10" defaultRowHeight="12.75" x14ac:dyDescent="0.2"/>
  <cols>
    <col min="1" max="1" width="25.42578125" bestFit="1" customWidth="1"/>
    <col min="4" max="4" width="12.28515625" bestFit="1" customWidth="1"/>
    <col min="7" max="7" width="13.85546875" bestFit="1" customWidth="1"/>
    <col min="9" max="9" width="13.85546875" bestFit="1" customWidth="1"/>
  </cols>
  <sheetData>
    <row r="1" spans="1:8" x14ac:dyDescent="0.2">
      <c r="A1" s="215" t="s">
        <v>19</v>
      </c>
      <c r="B1" s="216">
        <v>0.5</v>
      </c>
      <c r="C1" s="202"/>
      <c r="D1" s="215" t="s">
        <v>129</v>
      </c>
      <c r="E1" s="223">
        <v>1800</v>
      </c>
      <c r="G1" s="19" t="s">
        <v>86</v>
      </c>
      <c r="H1" s="214">
        <v>180000</v>
      </c>
    </row>
    <row r="2" spans="1:8" x14ac:dyDescent="0.2">
      <c r="A2" s="208" t="s">
        <v>130</v>
      </c>
      <c r="B2" s="217">
        <f>1-B1</f>
        <v>0.5</v>
      </c>
      <c r="C2" s="202"/>
      <c r="D2" s="208" t="s">
        <v>146</v>
      </c>
      <c r="E2" s="217">
        <v>0.7</v>
      </c>
      <c r="G2" s="21" t="s">
        <v>85</v>
      </c>
      <c r="H2" s="51">
        <v>200000</v>
      </c>
    </row>
    <row r="3" spans="1:8" x14ac:dyDescent="0.2">
      <c r="A3" s="208" t="s">
        <v>15</v>
      </c>
      <c r="B3" s="218">
        <v>4.5999999999999999E-2</v>
      </c>
      <c r="C3" s="202"/>
      <c r="D3" s="208" t="s">
        <v>131</v>
      </c>
      <c r="E3" s="209">
        <v>1500</v>
      </c>
      <c r="G3" s="22" t="s">
        <v>87</v>
      </c>
      <c r="H3" s="94">
        <v>125000</v>
      </c>
    </row>
    <row r="4" spans="1:8" x14ac:dyDescent="0.2">
      <c r="A4" s="208" t="s">
        <v>90</v>
      </c>
      <c r="B4" s="219">
        <v>0.04</v>
      </c>
      <c r="C4" s="202"/>
      <c r="D4" s="208" t="s">
        <v>132</v>
      </c>
      <c r="E4" s="209">
        <v>1700</v>
      </c>
      <c r="G4" s="203" t="s">
        <v>39</v>
      </c>
      <c r="H4" s="94">
        <f>H1+H2-H3</f>
        <v>255000</v>
      </c>
    </row>
    <row r="5" spans="1:8" x14ac:dyDescent="0.2">
      <c r="A5" s="208" t="s">
        <v>133</v>
      </c>
      <c r="B5" s="219">
        <v>0.1</v>
      </c>
      <c r="C5" s="202"/>
      <c r="D5" s="208" t="s">
        <v>134</v>
      </c>
      <c r="E5" s="209">
        <v>1700</v>
      </c>
    </row>
    <row r="6" spans="1:8" x14ac:dyDescent="0.2">
      <c r="A6" s="208" t="s">
        <v>135</v>
      </c>
      <c r="B6" s="220">
        <v>1.35</v>
      </c>
      <c r="C6" s="202"/>
      <c r="D6" s="208" t="s">
        <v>136</v>
      </c>
      <c r="E6" s="209">
        <v>1800</v>
      </c>
    </row>
    <row r="7" spans="1:8" x14ac:dyDescent="0.2">
      <c r="A7" s="208" t="s">
        <v>11</v>
      </c>
      <c r="B7" s="219">
        <v>0.22</v>
      </c>
      <c r="C7" s="202"/>
      <c r="D7" s="208" t="s">
        <v>137</v>
      </c>
      <c r="E7" s="209">
        <v>1200</v>
      </c>
    </row>
    <row r="8" spans="1:8" x14ac:dyDescent="0.2">
      <c r="A8" s="208"/>
      <c r="B8" s="208"/>
      <c r="C8" s="202"/>
      <c r="D8" s="210" t="s">
        <v>58</v>
      </c>
      <c r="E8" s="224">
        <v>0.2</v>
      </c>
    </row>
    <row r="9" spans="1:8" x14ac:dyDescent="0.2">
      <c r="A9" s="2" t="s">
        <v>13</v>
      </c>
      <c r="B9" s="221">
        <f>B4*(1-B7)+((B5-B4*(1-B7))*B6)</f>
        <v>0.12408000000000001</v>
      </c>
    </row>
    <row r="10" spans="1:8" x14ac:dyDescent="0.2">
      <c r="A10" s="80" t="s">
        <v>66</v>
      </c>
      <c r="B10" s="222">
        <f>B3*(1-B7)*B1+B2*B9</f>
        <v>7.9980000000000009E-2</v>
      </c>
    </row>
    <row r="11" spans="1:8" ht="15" x14ac:dyDescent="0.25">
      <c r="A11" s="204" t="s">
        <v>138</v>
      </c>
      <c r="B11" s="205">
        <v>0.08</v>
      </c>
    </row>
    <row r="13" spans="1:8" x14ac:dyDescent="0.2">
      <c r="A13" s="206" t="s">
        <v>2</v>
      </c>
      <c r="B13" s="207">
        <v>0</v>
      </c>
      <c r="C13" s="207">
        <v>1</v>
      </c>
      <c r="D13" s="207">
        <v>2</v>
      </c>
      <c r="E13" s="207">
        <v>3</v>
      </c>
      <c r="F13" s="207">
        <v>4</v>
      </c>
      <c r="G13" s="207">
        <v>5</v>
      </c>
    </row>
    <row r="14" spans="1:8" x14ac:dyDescent="0.2">
      <c r="A14" s="208" t="s">
        <v>139</v>
      </c>
      <c r="B14" s="209"/>
      <c r="C14" s="209">
        <f>E1*E3</f>
        <v>2700000</v>
      </c>
      <c r="D14" s="209">
        <f>E1*E4</f>
        <v>3060000</v>
      </c>
      <c r="E14" s="209">
        <f>E1*E5</f>
        <v>3060000</v>
      </c>
      <c r="F14" s="209">
        <f>E1*E6</f>
        <v>3240000</v>
      </c>
      <c r="G14" s="209">
        <f>E1*E7</f>
        <v>2160000</v>
      </c>
    </row>
    <row r="15" spans="1:8" x14ac:dyDescent="0.2">
      <c r="A15" s="208" t="s">
        <v>140</v>
      </c>
      <c r="B15" s="209"/>
      <c r="C15" s="209">
        <f>-C14*(1-$E$2)</f>
        <v>-810000.00000000012</v>
      </c>
      <c r="D15" s="209">
        <f t="shared" ref="D15:G15" si="0">-D14*(1-$E$2)</f>
        <v>-918000.00000000012</v>
      </c>
      <c r="E15" s="209">
        <f t="shared" si="0"/>
        <v>-918000.00000000012</v>
      </c>
      <c r="F15" s="209">
        <f t="shared" si="0"/>
        <v>-972000.00000000012</v>
      </c>
      <c r="G15" s="209">
        <f t="shared" si="0"/>
        <v>-648000.00000000012</v>
      </c>
    </row>
    <row r="16" spans="1:8" x14ac:dyDescent="0.2">
      <c r="A16" s="208" t="s">
        <v>141</v>
      </c>
      <c r="B16" s="209"/>
      <c r="C16" s="209">
        <v>-250000</v>
      </c>
      <c r="D16" s="209">
        <f>C16*1.05</f>
        <v>-262500</v>
      </c>
      <c r="E16" s="209">
        <f t="shared" ref="E16:F16" si="1">D16*1.05</f>
        <v>-275625</v>
      </c>
      <c r="F16" s="209">
        <f t="shared" si="1"/>
        <v>-289406.25</v>
      </c>
      <c r="G16" s="209"/>
    </row>
    <row r="17" spans="1:7" x14ac:dyDescent="0.2">
      <c r="A17" s="208" t="s">
        <v>142</v>
      </c>
      <c r="B17" s="209"/>
      <c r="C17" s="209"/>
      <c r="D17" s="209"/>
      <c r="E17" s="209">
        <v>-300000</v>
      </c>
      <c r="F17" s="209"/>
      <c r="G17" s="209"/>
    </row>
    <row r="18" spans="1:7" x14ac:dyDescent="0.2">
      <c r="A18" s="208" t="s">
        <v>143</v>
      </c>
      <c r="B18" s="209"/>
      <c r="C18" s="209">
        <v>-150000</v>
      </c>
      <c r="D18" s="209">
        <v>-150000</v>
      </c>
      <c r="E18" s="209"/>
      <c r="F18" s="209"/>
      <c r="G18" s="209"/>
    </row>
    <row r="19" spans="1:7" x14ac:dyDescent="0.2">
      <c r="A19" s="210" t="s">
        <v>144</v>
      </c>
      <c r="B19" s="211"/>
      <c r="C19" s="211">
        <v>-150000</v>
      </c>
      <c r="D19" s="211">
        <v>-150000</v>
      </c>
      <c r="E19" s="211">
        <v>-150000</v>
      </c>
      <c r="F19" s="211">
        <v>-150000</v>
      </c>
      <c r="G19" s="211">
        <v>-150000</v>
      </c>
    </row>
    <row r="20" spans="1:7" x14ac:dyDescent="0.2">
      <c r="A20" s="208" t="s">
        <v>42</v>
      </c>
      <c r="B20" s="209"/>
      <c r="C20" s="209">
        <f>SUM(C14:C19)</f>
        <v>1340000</v>
      </c>
      <c r="D20" s="209">
        <f t="shared" ref="D20:G20" si="2">SUM(D14:D19)</f>
        <v>1579500</v>
      </c>
      <c r="E20" s="209">
        <f t="shared" si="2"/>
        <v>1416375</v>
      </c>
      <c r="F20" s="209">
        <f t="shared" si="2"/>
        <v>1828593.75</v>
      </c>
      <c r="G20" s="209">
        <f t="shared" si="2"/>
        <v>1362000</v>
      </c>
    </row>
    <row r="21" spans="1:7" x14ac:dyDescent="0.2">
      <c r="A21" s="208" t="s">
        <v>41</v>
      </c>
      <c r="B21" s="209"/>
      <c r="C21" s="209">
        <f>-$B$7*C20</f>
        <v>-294800</v>
      </c>
      <c r="D21" s="209">
        <f t="shared" ref="D21:G21" si="3">-$B$7*D20</f>
        <v>-347490</v>
      </c>
      <c r="E21" s="209">
        <f t="shared" si="3"/>
        <v>-311602.5</v>
      </c>
      <c r="F21" s="209">
        <f t="shared" si="3"/>
        <v>-402290.625</v>
      </c>
      <c r="G21" s="209">
        <f t="shared" si="3"/>
        <v>-299640</v>
      </c>
    </row>
    <row r="22" spans="1:7" x14ac:dyDescent="0.2">
      <c r="A22" s="208" t="s">
        <v>39</v>
      </c>
      <c r="B22" s="209">
        <f>-H4</f>
        <v>-255000</v>
      </c>
      <c r="C22" s="209"/>
      <c r="D22" s="209"/>
      <c r="E22" s="209"/>
      <c r="F22" s="209"/>
      <c r="G22" s="209">
        <f>-B22</f>
        <v>255000</v>
      </c>
    </row>
    <row r="23" spans="1:7" x14ac:dyDescent="0.2">
      <c r="A23" s="208" t="s">
        <v>14</v>
      </c>
      <c r="B23" s="209">
        <v>-4800000</v>
      </c>
      <c r="C23" s="209"/>
      <c r="D23" s="209"/>
      <c r="E23" s="209"/>
      <c r="F23" s="209"/>
      <c r="G23" s="209">
        <v>800000</v>
      </c>
    </row>
    <row r="24" spans="1:7" x14ac:dyDescent="0.2">
      <c r="A24" s="208" t="s">
        <v>145</v>
      </c>
      <c r="B24" s="209">
        <f>-G23*E8*B7/((1+B11)^G13*(B11+E8))</f>
        <v>-85559.030484243238</v>
      </c>
      <c r="C24" s="209"/>
      <c r="D24" s="209"/>
      <c r="E24" s="209"/>
      <c r="F24" s="209"/>
      <c r="G24" s="209"/>
    </row>
    <row r="25" spans="1:7" x14ac:dyDescent="0.2">
      <c r="A25" s="208" t="s">
        <v>83</v>
      </c>
      <c r="B25" s="209">
        <f>-B23*E8*B7/(B11+E8)</f>
        <v>754285.7142857142</v>
      </c>
      <c r="C25" s="209"/>
      <c r="D25" s="209"/>
      <c r="E25" s="209"/>
      <c r="F25" s="209"/>
      <c r="G25" s="209"/>
    </row>
    <row r="26" spans="1:7" x14ac:dyDescent="0.2">
      <c r="A26" s="212" t="s">
        <v>70</v>
      </c>
      <c r="B26" s="213">
        <f t="shared" ref="B26:G26" si="4">SUM(B20:B25)</f>
        <v>-4386273.3161985287</v>
      </c>
      <c r="C26" s="213">
        <f t="shared" si="4"/>
        <v>1045200</v>
      </c>
      <c r="D26" s="213">
        <f t="shared" si="4"/>
        <v>1232010</v>
      </c>
      <c r="E26" s="213">
        <f t="shared" si="4"/>
        <v>1104772.5</v>
      </c>
      <c r="F26" s="213">
        <f t="shared" si="4"/>
        <v>1426303.125</v>
      </c>
      <c r="G26" s="213">
        <f t="shared" si="4"/>
        <v>2117360</v>
      </c>
    </row>
    <row r="27" spans="1:7" x14ac:dyDescent="0.2">
      <c r="B27" s="58"/>
      <c r="C27" s="58"/>
      <c r="D27" s="58"/>
      <c r="E27" s="58"/>
      <c r="F27" s="58"/>
      <c r="G27" s="58"/>
    </row>
    <row r="28" spans="1:7" ht="15" x14ac:dyDescent="0.25">
      <c r="A28" s="143" t="s">
        <v>43</v>
      </c>
      <c r="B28" s="144">
        <f>NPV(B11,C26:G26)+B26</f>
        <v>1004173.5051549636</v>
      </c>
      <c r="C28" s="58"/>
      <c r="D28" s="58"/>
      <c r="E28" s="58"/>
      <c r="F28" s="58"/>
      <c r="G28" s="5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I42" sqref="I42"/>
    </sheetView>
  </sheetViews>
  <sheetFormatPr baseColWidth="10" defaultRowHeight="12.75" x14ac:dyDescent="0.2"/>
  <cols>
    <col min="1" max="1" width="38.42578125" customWidth="1"/>
  </cols>
  <sheetData>
    <row r="1" spans="1:2" x14ac:dyDescent="0.2">
      <c r="A1" s="194" t="s">
        <v>147</v>
      </c>
      <c r="B1" s="227">
        <v>8500000</v>
      </c>
    </row>
    <row r="2" spans="1:2" x14ac:dyDescent="0.2">
      <c r="A2" s="195" t="s">
        <v>97</v>
      </c>
      <c r="B2" s="78">
        <v>500000</v>
      </c>
    </row>
    <row r="3" spans="1:2" x14ac:dyDescent="0.2">
      <c r="A3" s="195" t="s">
        <v>61</v>
      </c>
      <c r="B3" s="78">
        <v>1000000</v>
      </c>
    </row>
    <row r="4" spans="1:2" x14ac:dyDescent="0.2">
      <c r="A4" s="195" t="s">
        <v>39</v>
      </c>
      <c r="B4" s="78">
        <v>1500000</v>
      </c>
    </row>
    <row r="5" spans="1:2" x14ac:dyDescent="0.2">
      <c r="A5" s="195" t="s">
        <v>148</v>
      </c>
      <c r="B5" s="78">
        <v>7000000</v>
      </c>
    </row>
    <row r="6" spans="1:2" x14ac:dyDescent="0.2">
      <c r="A6" s="195" t="s">
        <v>149</v>
      </c>
      <c r="B6" s="76">
        <v>0.04</v>
      </c>
    </row>
    <row r="7" spans="1:2" x14ac:dyDescent="0.2">
      <c r="A7" s="195" t="s">
        <v>150</v>
      </c>
      <c r="B7" s="78">
        <v>9000000</v>
      </c>
    </row>
    <row r="8" spans="1:2" x14ac:dyDescent="0.2">
      <c r="A8" s="195" t="str">
        <f>A6</f>
        <v>Økning</v>
      </c>
      <c r="B8" s="76">
        <v>0.1</v>
      </c>
    </row>
    <row r="9" spans="1:2" x14ac:dyDescent="0.2">
      <c r="A9" s="195" t="s">
        <v>151</v>
      </c>
      <c r="B9" s="78">
        <v>1250000</v>
      </c>
    </row>
    <row r="10" spans="1:2" x14ac:dyDescent="0.2">
      <c r="A10" s="195" t="s">
        <v>152</v>
      </c>
      <c r="B10" s="78">
        <v>2000000</v>
      </c>
    </row>
    <row r="11" spans="1:2" x14ac:dyDescent="0.2">
      <c r="A11" s="195" t="s">
        <v>52</v>
      </c>
      <c r="B11" s="76">
        <v>0.35</v>
      </c>
    </row>
    <row r="12" spans="1:2" x14ac:dyDescent="0.2">
      <c r="A12" s="195" t="s">
        <v>47</v>
      </c>
      <c r="B12" s="76">
        <f>1-B11</f>
        <v>0.65</v>
      </c>
    </row>
    <row r="13" spans="1:2" x14ac:dyDescent="0.2">
      <c r="A13" s="195" t="s">
        <v>15</v>
      </c>
      <c r="B13" s="228">
        <v>4.4999999999999998E-2</v>
      </c>
    </row>
    <row r="14" spans="1:2" x14ac:dyDescent="0.2">
      <c r="A14" s="195" t="s">
        <v>90</v>
      </c>
      <c r="B14" s="88">
        <v>2.35E-2</v>
      </c>
    </row>
    <row r="15" spans="1:2" x14ac:dyDescent="0.2">
      <c r="A15" s="195" t="s">
        <v>7</v>
      </c>
      <c r="B15" s="77">
        <v>1.25</v>
      </c>
    </row>
    <row r="16" spans="1:2" x14ac:dyDescent="0.2">
      <c r="A16" s="195" t="s">
        <v>41</v>
      </c>
      <c r="B16" s="76">
        <v>0.22</v>
      </c>
    </row>
    <row r="17" spans="1:7" x14ac:dyDescent="0.2">
      <c r="A17" s="195" t="s">
        <v>160</v>
      </c>
      <c r="B17" s="89">
        <v>0.1</v>
      </c>
    </row>
    <row r="18" spans="1:7" x14ac:dyDescent="0.2">
      <c r="A18" s="196" t="s">
        <v>88</v>
      </c>
      <c r="B18" s="90">
        <v>0.2</v>
      </c>
    </row>
    <row r="20" spans="1:7" x14ac:dyDescent="0.2">
      <c r="A20" s="194" t="s">
        <v>36</v>
      </c>
      <c r="B20" s="230">
        <v>4.2999999999999997E-2</v>
      </c>
    </row>
    <row r="21" spans="1:7" x14ac:dyDescent="0.2">
      <c r="A21" s="195" t="s">
        <v>13</v>
      </c>
      <c r="B21" s="226">
        <f>B14*(1-B16)+((B17-B14*(1-B16))*B15)</f>
        <v>0.12041750000000001</v>
      </c>
    </row>
    <row r="22" spans="1:7" x14ac:dyDescent="0.2">
      <c r="A22" s="195" t="s">
        <v>66</v>
      </c>
      <c r="B22" s="226">
        <f>B20*B11*(1-B16)+B12*B21</f>
        <v>9.0010375000000004E-2</v>
      </c>
    </row>
    <row r="23" spans="1:7" ht="15" x14ac:dyDescent="0.25">
      <c r="A23" s="229" t="s">
        <v>153</v>
      </c>
      <c r="B23" s="231">
        <v>0.09</v>
      </c>
    </row>
    <row r="25" spans="1:7" ht="15" x14ac:dyDescent="0.25">
      <c r="A25" s="235" t="s">
        <v>2</v>
      </c>
      <c r="B25" s="236">
        <v>0</v>
      </c>
      <c r="C25" s="238">
        <v>1</v>
      </c>
      <c r="D25" s="236">
        <v>2</v>
      </c>
      <c r="E25" s="236">
        <v>3</v>
      </c>
      <c r="F25" s="236">
        <v>4</v>
      </c>
      <c r="G25" s="236">
        <v>5</v>
      </c>
    </row>
    <row r="26" spans="1:7" x14ac:dyDescent="0.2">
      <c r="A26" s="92" t="s">
        <v>154</v>
      </c>
      <c r="B26" s="2"/>
      <c r="C26" s="239">
        <f>-B5</f>
        <v>-7000000</v>
      </c>
      <c r="D26" s="232">
        <f>$C$26*(1+$B$6)^C25</f>
        <v>-7280000</v>
      </c>
      <c r="E26" s="232">
        <f>$C$26*(1+$B$6)^D25</f>
        <v>-7571200.0000000009</v>
      </c>
      <c r="F26" s="232">
        <f>$C$26*(1+$B$6)^E25</f>
        <v>-7874048.0000000009</v>
      </c>
      <c r="G26" s="232">
        <f>$C$26*(1+$B$6)^F25</f>
        <v>-8189009.9200000018</v>
      </c>
    </row>
    <row r="27" spans="1:7" x14ac:dyDescent="0.2">
      <c r="A27" s="2" t="s">
        <v>142</v>
      </c>
      <c r="B27" s="2"/>
      <c r="C27" s="239"/>
      <c r="D27" s="232"/>
      <c r="E27" s="232">
        <f>-B9</f>
        <v>-1250000</v>
      </c>
      <c r="F27" s="232"/>
      <c r="G27" s="232"/>
    </row>
    <row r="28" spans="1:7" x14ac:dyDescent="0.2">
      <c r="A28" s="2" t="str">
        <f>A10</f>
        <v>Spesialister</v>
      </c>
      <c r="B28" s="2"/>
      <c r="C28" s="239">
        <f>-$B$10</f>
        <v>-2000000</v>
      </c>
      <c r="D28" s="232"/>
      <c r="E28" s="232"/>
      <c r="F28" s="232"/>
      <c r="G28" s="232"/>
    </row>
    <row r="29" spans="1:7" x14ac:dyDescent="0.2">
      <c r="A29" s="2" t="s">
        <v>141</v>
      </c>
      <c r="B29" s="2"/>
      <c r="C29" s="239">
        <f>-$B$2</f>
        <v>-500000</v>
      </c>
      <c r="D29" s="232">
        <f t="shared" ref="D29:G29" si="0">-$B$2</f>
        <v>-500000</v>
      </c>
      <c r="E29" s="232">
        <f t="shared" si="0"/>
        <v>-500000</v>
      </c>
      <c r="F29" s="232">
        <f t="shared" si="0"/>
        <v>-500000</v>
      </c>
      <c r="G29" s="232">
        <f t="shared" si="0"/>
        <v>-500000</v>
      </c>
    </row>
    <row r="30" spans="1:7" x14ac:dyDescent="0.2">
      <c r="A30" s="92" t="s">
        <v>155</v>
      </c>
      <c r="B30" s="232"/>
      <c r="C30" s="239">
        <f>SUM(C26:C29)</f>
        <v>-9500000</v>
      </c>
      <c r="D30" s="232">
        <f>SUM(D26:D29)</f>
        <v>-7780000</v>
      </c>
      <c r="E30" s="232">
        <f>SUM(E26:E29)</f>
        <v>-9321200</v>
      </c>
      <c r="F30" s="232">
        <f>SUM(F26:F29)</f>
        <v>-8374048.0000000009</v>
      </c>
      <c r="G30" s="232">
        <f>SUM(G26:G29)</f>
        <v>-8689009.9200000018</v>
      </c>
    </row>
    <row r="31" spans="1:7" x14ac:dyDescent="0.2">
      <c r="A31" s="92" t="s">
        <v>41</v>
      </c>
      <c r="B31" s="233"/>
      <c r="C31" s="240">
        <f>-C30*$B$16</f>
        <v>2090000</v>
      </c>
      <c r="D31" s="233">
        <f t="shared" ref="D31:G31" si="1">-D30*$B$16</f>
        <v>1711600</v>
      </c>
      <c r="E31" s="233">
        <f t="shared" si="1"/>
        <v>2050664</v>
      </c>
      <c r="F31" s="233">
        <f t="shared" si="1"/>
        <v>1842290.5600000003</v>
      </c>
      <c r="G31" s="233">
        <f t="shared" si="1"/>
        <v>1911582.1824000005</v>
      </c>
    </row>
    <row r="32" spans="1:7" x14ac:dyDescent="0.2">
      <c r="A32" s="92" t="s">
        <v>83</v>
      </c>
      <c r="B32" s="232">
        <f>B1*B18*B16/(B18+B23)</f>
        <v>1289655.1724137929</v>
      </c>
      <c r="C32" s="239"/>
      <c r="D32" s="232"/>
      <c r="E32" s="232"/>
      <c r="F32" s="232"/>
      <c r="G32" s="232"/>
    </row>
    <row r="33" spans="1:7" x14ac:dyDescent="0.2">
      <c r="A33" s="92" t="s">
        <v>145</v>
      </c>
      <c r="B33" s="51">
        <f>-B3*B18*B16/((1+B23)^G25*(B18+B23))</f>
        <v>-98610.279300438575</v>
      </c>
      <c r="C33" s="239"/>
      <c r="D33" s="232"/>
      <c r="E33" s="232"/>
      <c r="F33" s="232"/>
      <c r="G33" s="232"/>
    </row>
    <row r="34" spans="1:7" x14ac:dyDescent="0.2">
      <c r="A34" s="92" t="s">
        <v>14</v>
      </c>
      <c r="B34" s="51">
        <f>-B1</f>
        <v>-8500000</v>
      </c>
      <c r="C34" s="239"/>
      <c r="D34" s="232"/>
      <c r="E34" s="232"/>
      <c r="F34" s="232"/>
      <c r="G34" s="232">
        <f>B3</f>
        <v>1000000</v>
      </c>
    </row>
    <row r="35" spans="1:7" x14ac:dyDescent="0.2">
      <c r="A35" s="109" t="s">
        <v>39</v>
      </c>
      <c r="B35" s="94">
        <f>-B4</f>
        <v>-1500000</v>
      </c>
      <c r="C35" s="241"/>
      <c r="D35" s="234"/>
      <c r="E35" s="234"/>
      <c r="F35" s="234"/>
      <c r="G35" s="234">
        <f>-B35</f>
        <v>1500000</v>
      </c>
    </row>
    <row r="36" spans="1:7" x14ac:dyDescent="0.2">
      <c r="A36" s="212" t="s">
        <v>70</v>
      </c>
      <c r="B36" s="237">
        <f>SUM(B30:B35)</f>
        <v>-8808955.1068866458</v>
      </c>
      <c r="C36" s="237">
        <f t="shared" ref="C36:G36" si="2">SUM(C30:C35)</f>
        <v>-7410000</v>
      </c>
      <c r="D36" s="242">
        <f t="shared" si="2"/>
        <v>-6068400</v>
      </c>
      <c r="E36" s="242">
        <f t="shared" si="2"/>
        <v>-7270536</v>
      </c>
      <c r="F36" s="242">
        <f t="shared" si="2"/>
        <v>-6531757.4400000004</v>
      </c>
      <c r="G36" s="242">
        <f t="shared" si="2"/>
        <v>-4277427.7376000015</v>
      </c>
    </row>
    <row r="37" spans="1:7" x14ac:dyDescent="0.2">
      <c r="C37" s="225"/>
      <c r="D37" s="225"/>
      <c r="E37" s="225"/>
      <c r="F37" s="225"/>
      <c r="G37" s="225"/>
    </row>
    <row r="38" spans="1:7" x14ac:dyDescent="0.2">
      <c r="A38" s="247" t="s">
        <v>156</v>
      </c>
      <c r="B38" s="248">
        <f>NPV(B23,C36:G36)+B36</f>
        <v>-33736255.088377401</v>
      </c>
      <c r="C38" s="225"/>
      <c r="D38" s="225"/>
      <c r="E38" s="225"/>
      <c r="F38" s="225"/>
      <c r="G38" s="225"/>
    </row>
    <row r="39" spans="1:7" x14ac:dyDescent="0.2">
      <c r="C39" s="225"/>
      <c r="D39" s="225"/>
      <c r="E39" s="225"/>
      <c r="F39" s="225"/>
      <c r="G39" s="225"/>
    </row>
    <row r="40" spans="1:7" x14ac:dyDescent="0.2">
      <c r="C40" s="225"/>
      <c r="D40" s="225"/>
      <c r="E40" s="225"/>
      <c r="F40" s="225"/>
      <c r="G40" s="225"/>
    </row>
    <row r="41" spans="1:7" ht="15" x14ac:dyDescent="0.25">
      <c r="A41" s="245" t="s">
        <v>2</v>
      </c>
      <c r="B41" s="246">
        <v>0</v>
      </c>
      <c r="C41" s="246">
        <v>1</v>
      </c>
      <c r="D41" s="246">
        <v>2</v>
      </c>
      <c r="E41" s="246">
        <v>3</v>
      </c>
      <c r="F41" s="246">
        <v>4</v>
      </c>
      <c r="G41" s="246">
        <v>5</v>
      </c>
    </row>
    <row r="42" spans="1:7" x14ac:dyDescent="0.2">
      <c r="A42" s="243" t="s">
        <v>157</v>
      </c>
      <c r="B42" s="243"/>
      <c r="C42" s="244">
        <f>(-$B$7*(1-$B$16))*(1+$B$8)^B41</f>
        <v>-7020000</v>
      </c>
      <c r="D42" s="244">
        <f t="shared" ref="D42:G42" si="3">(-$B$7*(1-$B$16))*(1+$B$8)^C41</f>
        <v>-7722000.0000000009</v>
      </c>
      <c r="E42" s="244">
        <f t="shared" si="3"/>
        <v>-8494200.0000000019</v>
      </c>
      <c r="F42" s="244">
        <f t="shared" si="3"/>
        <v>-9343620.0000000037</v>
      </c>
      <c r="G42" s="244">
        <f t="shared" si="3"/>
        <v>-10277982.000000004</v>
      </c>
    </row>
    <row r="43" spans="1:7" x14ac:dyDescent="0.2">
      <c r="C43" s="225"/>
      <c r="D43" s="225"/>
      <c r="E43" s="225"/>
      <c r="F43" s="225"/>
      <c r="G43" s="225"/>
    </row>
    <row r="44" spans="1:7" x14ac:dyDescent="0.2">
      <c r="A44" s="247" t="s">
        <v>156</v>
      </c>
      <c r="B44" s="249">
        <f>NPV(B23,C42:G42)</f>
        <v>-32798139.857038565</v>
      </c>
    </row>
    <row r="46" spans="1:7" x14ac:dyDescent="0.2">
      <c r="A46" s="184" t="s">
        <v>158</v>
      </c>
      <c r="B46" s="250">
        <f>B38-B44</f>
        <v>-938115.23133883625</v>
      </c>
    </row>
    <row r="48" spans="1:7" x14ac:dyDescent="0.2">
      <c r="A48" t="s">
        <v>159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4" sqref="B4"/>
    </sheetView>
  </sheetViews>
  <sheetFormatPr baseColWidth="10" defaultColWidth="11.42578125" defaultRowHeight="12.75" x14ac:dyDescent="0.2"/>
  <cols>
    <col min="1" max="1" width="27.28515625" bestFit="1" customWidth="1"/>
  </cols>
  <sheetData>
    <row r="1" spans="1:2" x14ac:dyDescent="0.2">
      <c r="A1" s="3" t="s">
        <v>8</v>
      </c>
      <c r="B1" s="29">
        <v>0.03</v>
      </c>
    </row>
    <row r="2" spans="1:2" x14ac:dyDescent="0.2">
      <c r="A2" s="4" t="s">
        <v>9</v>
      </c>
      <c r="B2" s="26">
        <v>1.2</v>
      </c>
    </row>
    <row r="3" spans="1:2" x14ac:dyDescent="0.2">
      <c r="A3" s="4" t="s">
        <v>10</v>
      </c>
      <c r="B3" s="30">
        <v>0.1</v>
      </c>
    </row>
    <row r="4" spans="1:2" x14ac:dyDescent="0.2">
      <c r="A4" s="5" t="s">
        <v>11</v>
      </c>
      <c r="B4" s="31">
        <v>0.22</v>
      </c>
    </row>
    <row r="6" spans="1:2" x14ac:dyDescent="0.2">
      <c r="A6" s="9" t="s">
        <v>12</v>
      </c>
      <c r="B6" s="8">
        <f>B1*(1-B4)</f>
        <v>2.3400000000000001E-2</v>
      </c>
    </row>
    <row r="8" spans="1:2" x14ac:dyDescent="0.2">
      <c r="A8" s="9" t="s">
        <v>13</v>
      </c>
      <c r="B8" s="8">
        <f>B6+(B3-B6)*B2</f>
        <v>0.11532000000000001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9" sqref="D9"/>
    </sheetView>
  </sheetViews>
  <sheetFormatPr baseColWidth="10" defaultColWidth="11.42578125" defaultRowHeight="12.75" x14ac:dyDescent="0.2"/>
  <cols>
    <col min="1" max="1" width="22.140625" bestFit="1" customWidth="1"/>
  </cols>
  <sheetData>
    <row r="1" spans="1:2" x14ac:dyDescent="0.2">
      <c r="A1" s="33" t="s">
        <v>13</v>
      </c>
      <c r="B1" s="29">
        <v>0.12</v>
      </c>
    </row>
    <row r="2" spans="1:2" x14ac:dyDescent="0.2">
      <c r="A2" s="36" t="s">
        <v>15</v>
      </c>
      <c r="B2" s="30">
        <v>0.09</v>
      </c>
    </row>
    <row r="3" spans="1:2" x14ac:dyDescent="0.2">
      <c r="A3" s="36" t="s">
        <v>16</v>
      </c>
      <c r="B3" s="32">
        <v>2000000</v>
      </c>
    </row>
    <row r="4" spans="1:2" x14ac:dyDescent="0.2">
      <c r="A4" s="36" t="s">
        <v>17</v>
      </c>
      <c r="B4" s="32">
        <v>8000000</v>
      </c>
    </row>
    <row r="5" spans="1:2" x14ac:dyDescent="0.2">
      <c r="A5" s="36" t="s">
        <v>11</v>
      </c>
      <c r="B5" s="30">
        <v>0.22</v>
      </c>
    </row>
    <row r="6" spans="1:2" x14ac:dyDescent="0.2">
      <c r="A6" s="36" t="s">
        <v>19</v>
      </c>
      <c r="B6" s="37">
        <f>B4/(B3+B4)</f>
        <v>0.8</v>
      </c>
    </row>
    <row r="7" spans="1:2" x14ac:dyDescent="0.2">
      <c r="A7" s="34" t="s">
        <v>20</v>
      </c>
      <c r="B7" s="31">
        <f>1-B6</f>
        <v>0.19999999999999996</v>
      </c>
    </row>
    <row r="9" spans="1:2" x14ac:dyDescent="0.2">
      <c r="A9" s="9" t="s">
        <v>18</v>
      </c>
      <c r="B9" s="38">
        <f>B2*(1-B5)*B6+B1*B7</f>
        <v>8.0159999999999995E-2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3" sqref="E33:E34"/>
    </sheetView>
  </sheetViews>
  <sheetFormatPr baseColWidth="10" defaultRowHeight="12.75" x14ac:dyDescent="0.2"/>
  <cols>
    <col min="1" max="1" width="18.5703125" bestFit="1" customWidth="1"/>
    <col min="2" max="2" width="21.5703125" customWidth="1"/>
    <col min="4" max="4" width="14.42578125" bestFit="1" customWidth="1"/>
    <col min="5" max="5" width="44.7109375" bestFit="1" customWidth="1"/>
  </cols>
  <sheetData>
    <row r="1" spans="1:5" x14ac:dyDescent="0.2">
      <c r="A1" s="159" t="s">
        <v>118</v>
      </c>
      <c r="B1" s="159" t="s">
        <v>1</v>
      </c>
      <c r="C1" s="159" t="s">
        <v>7</v>
      </c>
    </row>
    <row r="2" spans="1:5" x14ac:dyDescent="0.2">
      <c r="A2" s="161" t="s">
        <v>119</v>
      </c>
      <c r="B2" s="162">
        <v>0.1</v>
      </c>
      <c r="C2" s="162">
        <v>0.5</v>
      </c>
    </row>
    <row r="3" spans="1:5" x14ac:dyDescent="0.2">
      <c r="A3" s="161" t="s">
        <v>120</v>
      </c>
      <c r="B3" s="162">
        <v>0.25</v>
      </c>
      <c r="C3" s="162">
        <v>2</v>
      </c>
    </row>
    <row r="6" spans="1:5" x14ac:dyDescent="0.2">
      <c r="A6" s="163" t="s">
        <v>30</v>
      </c>
      <c r="B6" s="160">
        <f>(B3-B2)/(C3-C2)</f>
        <v>9.9999999999999992E-2</v>
      </c>
    </row>
    <row r="7" spans="1:5" x14ac:dyDescent="0.2">
      <c r="A7" s="163" t="s">
        <v>90</v>
      </c>
      <c r="B7" s="160">
        <f>B6-C2*B6</f>
        <v>4.9999999999999996E-2</v>
      </c>
    </row>
    <row r="8" spans="1:5" x14ac:dyDescent="0.2">
      <c r="A8" s="163" t="s">
        <v>105</v>
      </c>
      <c r="B8" s="160">
        <f>B6+B7</f>
        <v>0.15</v>
      </c>
    </row>
    <row r="11" spans="1:5" x14ac:dyDescent="0.2">
      <c r="A11" s="159" t="s">
        <v>118</v>
      </c>
      <c r="B11" s="159" t="s">
        <v>4</v>
      </c>
      <c r="C11" s="159" t="s">
        <v>7</v>
      </c>
      <c r="D11" s="159" t="s">
        <v>124</v>
      </c>
      <c r="E11" s="159" t="s">
        <v>125</v>
      </c>
    </row>
    <row r="12" spans="1:5" x14ac:dyDescent="0.2">
      <c r="A12" s="164" t="s">
        <v>121</v>
      </c>
      <c r="B12" s="165">
        <v>0.14000000000000001</v>
      </c>
      <c r="C12" s="165">
        <v>0.7</v>
      </c>
      <c r="D12" s="167">
        <f>$B$7+C12*$B$6</f>
        <v>0.12</v>
      </c>
      <c r="E12" s="168" t="s">
        <v>126</v>
      </c>
    </row>
    <row r="13" spans="1:5" x14ac:dyDescent="0.2">
      <c r="A13" s="164" t="s">
        <v>122</v>
      </c>
      <c r="B13" s="165">
        <v>0.21</v>
      </c>
      <c r="C13" s="165">
        <v>1.6</v>
      </c>
      <c r="D13" s="167">
        <f t="shared" ref="D13:D14" si="0">$B$7+C13*$B$6</f>
        <v>0.21</v>
      </c>
      <c r="E13" s="168" t="s">
        <v>127</v>
      </c>
    </row>
    <row r="14" spans="1:5" x14ac:dyDescent="0.2">
      <c r="A14" s="164" t="s">
        <v>123</v>
      </c>
      <c r="B14" s="166">
        <v>0.16</v>
      </c>
      <c r="C14" s="165">
        <v>1.3</v>
      </c>
      <c r="D14" s="167">
        <f t="shared" si="0"/>
        <v>0.18</v>
      </c>
      <c r="E14" s="168" t="s">
        <v>128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2" sqref="B12"/>
    </sheetView>
  </sheetViews>
  <sheetFormatPr baseColWidth="10" defaultColWidth="11.42578125" defaultRowHeight="12.75" x14ac:dyDescent="0.2"/>
  <cols>
    <col min="1" max="1" width="26.140625" bestFit="1" customWidth="1"/>
    <col min="2" max="2" width="6.85546875" bestFit="1" customWidth="1"/>
    <col min="3" max="3" width="18" bestFit="1" customWidth="1"/>
    <col min="4" max="4" width="14.28515625" bestFit="1" customWidth="1"/>
    <col min="5" max="5" width="10.7109375" bestFit="1" customWidth="1"/>
  </cols>
  <sheetData>
    <row r="1" spans="1:5" x14ac:dyDescent="0.2">
      <c r="A1" s="169" t="s">
        <v>21</v>
      </c>
      <c r="B1" s="170" t="s">
        <v>22</v>
      </c>
      <c r="C1" s="170" t="s">
        <v>1</v>
      </c>
      <c r="D1" s="170" t="s">
        <v>23</v>
      </c>
      <c r="E1" s="170" t="s">
        <v>24</v>
      </c>
    </row>
    <row r="2" spans="1:5" x14ac:dyDescent="0.2">
      <c r="A2" s="11" t="s">
        <v>25</v>
      </c>
      <c r="B2" s="11">
        <v>0.7</v>
      </c>
      <c r="C2" s="41">
        <v>0.11</v>
      </c>
      <c r="D2" s="20">
        <f>$B$12+($B$13-$B$12)*B2</f>
        <v>0.1027</v>
      </c>
      <c r="E2" s="11" t="s">
        <v>32</v>
      </c>
    </row>
    <row r="3" spans="1:5" x14ac:dyDescent="0.2">
      <c r="A3" s="12" t="s">
        <v>26</v>
      </c>
      <c r="B3" s="12">
        <v>0.9</v>
      </c>
      <c r="C3" s="42">
        <v>0.125</v>
      </c>
      <c r="D3" s="13">
        <f>$B$12+($B$13-$B$12)*B3</f>
        <v>0.12090000000000001</v>
      </c>
      <c r="E3" s="12" t="s">
        <v>32</v>
      </c>
    </row>
    <row r="4" spans="1:5" x14ac:dyDescent="0.2">
      <c r="A4" s="12" t="s">
        <v>27</v>
      </c>
      <c r="B4" s="12">
        <v>1.4</v>
      </c>
      <c r="C4" s="42">
        <v>0.16</v>
      </c>
      <c r="D4" s="13">
        <f>$B$12+($B$13-$B$12)*B4</f>
        <v>0.16639999999999999</v>
      </c>
      <c r="E4" s="12" t="s">
        <v>33</v>
      </c>
    </row>
    <row r="5" spans="1:5" x14ac:dyDescent="0.2">
      <c r="A5" s="14" t="s">
        <v>28</v>
      </c>
      <c r="B5" s="44">
        <v>2</v>
      </c>
      <c r="C5" s="43">
        <v>0.2</v>
      </c>
      <c r="D5" s="15">
        <f>$B$12+($B$13-$B$12)*B5</f>
        <v>0.221</v>
      </c>
      <c r="E5" s="14" t="s">
        <v>33</v>
      </c>
    </row>
    <row r="7" spans="1:5" x14ac:dyDescent="0.2">
      <c r="A7" s="39" t="s">
        <v>29</v>
      </c>
      <c r="B7" s="29">
        <v>0.13</v>
      </c>
    </row>
    <row r="8" spans="1:5" x14ac:dyDescent="0.2">
      <c r="A8" s="40" t="s">
        <v>8</v>
      </c>
      <c r="B8" s="30">
        <v>0.05</v>
      </c>
    </row>
    <row r="9" spans="1:5" x14ac:dyDescent="0.2">
      <c r="A9" s="4" t="s">
        <v>30</v>
      </c>
      <c r="B9" s="30">
        <v>0.08</v>
      </c>
    </row>
    <row r="10" spans="1:5" x14ac:dyDescent="0.2">
      <c r="A10" s="5" t="s">
        <v>11</v>
      </c>
      <c r="B10" s="31">
        <v>0.22</v>
      </c>
    </row>
    <row r="12" spans="1:5" x14ac:dyDescent="0.2">
      <c r="A12" s="3" t="s">
        <v>12</v>
      </c>
      <c r="B12" s="45">
        <f>B8*(1-B10)</f>
        <v>3.9000000000000007E-2</v>
      </c>
    </row>
    <row r="13" spans="1:5" x14ac:dyDescent="0.2">
      <c r="A13" s="5" t="s">
        <v>31</v>
      </c>
      <c r="B13" s="46">
        <f>B9+B8</f>
        <v>0.13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33" sqref="F33"/>
    </sheetView>
  </sheetViews>
  <sheetFormatPr baseColWidth="10" defaultColWidth="11.42578125" defaultRowHeight="12.75" x14ac:dyDescent="0.2"/>
  <cols>
    <col min="1" max="1" width="27.28515625" bestFit="1" customWidth="1"/>
  </cols>
  <sheetData>
    <row r="1" spans="1:6" x14ac:dyDescent="0.2">
      <c r="A1" s="137" t="s">
        <v>16</v>
      </c>
      <c r="B1" s="47">
        <v>600000</v>
      </c>
    </row>
    <row r="2" spans="1:6" x14ac:dyDescent="0.2">
      <c r="A2" s="138" t="s">
        <v>34</v>
      </c>
      <c r="B2" s="32">
        <v>400000</v>
      </c>
    </row>
    <row r="3" spans="1:6" x14ac:dyDescent="0.2">
      <c r="A3" s="138" t="s">
        <v>8</v>
      </c>
      <c r="B3" s="27">
        <v>3.5999999999999997E-2</v>
      </c>
    </row>
    <row r="4" spans="1:6" x14ac:dyDescent="0.2">
      <c r="A4" s="138" t="s">
        <v>35</v>
      </c>
      <c r="B4" s="27">
        <v>0.05</v>
      </c>
    </row>
    <row r="5" spans="1:6" x14ac:dyDescent="0.2">
      <c r="A5" s="138" t="s">
        <v>36</v>
      </c>
      <c r="B5" s="27">
        <v>5.5E-2</v>
      </c>
    </row>
    <row r="6" spans="1:6" x14ac:dyDescent="0.2">
      <c r="A6" s="138" t="s">
        <v>9</v>
      </c>
      <c r="B6" s="48">
        <v>1.2</v>
      </c>
    </row>
    <row r="7" spans="1:6" x14ac:dyDescent="0.2">
      <c r="A7" s="138" t="s">
        <v>11</v>
      </c>
      <c r="B7" s="30">
        <v>0.22</v>
      </c>
    </row>
    <row r="8" spans="1:6" x14ac:dyDescent="0.2">
      <c r="A8" s="138" t="s">
        <v>40</v>
      </c>
      <c r="B8" s="30">
        <v>0.2</v>
      </c>
    </row>
    <row r="9" spans="1:6" x14ac:dyDescent="0.2">
      <c r="A9" s="138" t="s">
        <v>37</v>
      </c>
      <c r="B9" s="49">
        <f>B3*(1-B7)+B4*B6</f>
        <v>8.8079999999999992E-2</v>
      </c>
    </row>
    <row r="10" spans="1:6" x14ac:dyDescent="0.2">
      <c r="A10" s="138" t="s">
        <v>38</v>
      </c>
      <c r="B10" s="139">
        <f>B5*(1-B7)*B2/(B1+B2)+B9*(B1/(B1+B2))</f>
        <v>7.0007999999999987E-2</v>
      </c>
    </row>
    <row r="11" spans="1:6" x14ac:dyDescent="0.2">
      <c r="A11" s="140" t="s">
        <v>114</v>
      </c>
      <c r="B11" s="141">
        <v>7.0000000000000007E-2</v>
      </c>
    </row>
    <row r="13" spans="1:6" x14ac:dyDescent="0.2">
      <c r="A13" s="53" t="s">
        <v>2</v>
      </c>
      <c r="B13" s="10">
        <v>0</v>
      </c>
      <c r="C13" s="10">
        <v>1</v>
      </c>
      <c r="D13" s="10">
        <v>2</v>
      </c>
      <c r="E13" s="10">
        <v>3</v>
      </c>
      <c r="F13" s="10">
        <v>4</v>
      </c>
    </row>
    <row r="14" spans="1:6" x14ac:dyDescent="0.2">
      <c r="A14" t="s">
        <v>14</v>
      </c>
      <c r="B14" s="51">
        <v>-200000</v>
      </c>
      <c r="C14" s="2"/>
      <c r="D14" s="2"/>
      <c r="E14" s="2"/>
      <c r="F14" s="2"/>
    </row>
    <row r="15" spans="1:6" x14ac:dyDescent="0.2">
      <c r="A15" t="s">
        <v>39</v>
      </c>
      <c r="B15" s="51">
        <v>-50000</v>
      </c>
      <c r="C15" s="2"/>
      <c r="D15" s="2"/>
      <c r="E15" s="2"/>
      <c r="F15" s="51">
        <v>50000</v>
      </c>
    </row>
    <row r="16" spans="1:6" x14ac:dyDescent="0.2">
      <c r="A16" t="s">
        <v>42</v>
      </c>
      <c r="B16" s="2"/>
      <c r="C16" s="51">
        <v>100000</v>
      </c>
      <c r="D16" s="51">
        <v>100000</v>
      </c>
      <c r="E16" s="51">
        <v>100000</v>
      </c>
      <c r="F16" s="51">
        <v>100000</v>
      </c>
    </row>
    <row r="17" spans="1:6" x14ac:dyDescent="0.2">
      <c r="A17" t="s">
        <v>41</v>
      </c>
      <c r="B17" s="2"/>
      <c r="C17" s="52">
        <f>-$B$7*C16</f>
        <v>-22000</v>
      </c>
      <c r="D17" s="52">
        <f>-$B$7*D16</f>
        <v>-22000</v>
      </c>
      <c r="E17" s="52">
        <f>-$B$7*E16</f>
        <v>-22000</v>
      </c>
      <c r="F17" s="52">
        <f>-$B$7*F16</f>
        <v>-22000</v>
      </c>
    </row>
    <row r="18" spans="1:6" x14ac:dyDescent="0.2">
      <c r="A18" s="135" t="s">
        <v>113</v>
      </c>
      <c r="B18" s="52">
        <f>(-B14*B7*B8)/(B11+B8)</f>
        <v>32592.592592592591</v>
      </c>
      <c r="C18" s="2"/>
      <c r="D18" s="2"/>
      <c r="E18" s="2"/>
      <c r="F18" s="2"/>
    </row>
    <row r="19" spans="1:6" x14ac:dyDescent="0.2">
      <c r="A19" s="136" t="s">
        <v>70</v>
      </c>
      <c r="B19" s="50">
        <f>SUM(B14:B18)</f>
        <v>-217407.40740740742</v>
      </c>
      <c r="C19" s="50">
        <f>SUM(C14:C18)</f>
        <v>78000</v>
      </c>
      <c r="D19" s="50">
        <f>SUM(D14:D18)</f>
        <v>78000</v>
      </c>
      <c r="E19" s="50">
        <f>SUM(E14:E18)</f>
        <v>78000</v>
      </c>
      <c r="F19" s="50">
        <f>SUM(F14:F18)</f>
        <v>128000</v>
      </c>
    </row>
    <row r="21" spans="1:6" x14ac:dyDescent="0.2">
      <c r="A21" s="9" t="s">
        <v>43</v>
      </c>
      <c r="B21" s="54">
        <f>NPV(B10,C19:F19)+B19</f>
        <v>84933.918993850995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I18" sqref="I18"/>
    </sheetView>
  </sheetViews>
  <sheetFormatPr baseColWidth="10" defaultColWidth="9.140625" defaultRowHeight="12.75" x14ac:dyDescent="0.2"/>
  <cols>
    <col min="1" max="1" width="17.7109375" bestFit="1" customWidth="1"/>
    <col min="2" max="2" width="12.140625" bestFit="1" customWidth="1"/>
    <col min="3" max="3" width="9.7109375" bestFit="1" customWidth="1"/>
  </cols>
  <sheetData>
    <row r="1" spans="1:3" x14ac:dyDescent="0.2">
      <c r="A1" s="171" t="s">
        <v>52</v>
      </c>
      <c r="B1" s="175">
        <v>0.25</v>
      </c>
    </row>
    <row r="2" spans="1:3" x14ac:dyDescent="0.2">
      <c r="A2" s="172" t="s">
        <v>47</v>
      </c>
      <c r="B2" s="176">
        <f>1-B1</f>
        <v>0.75</v>
      </c>
    </row>
    <row r="3" spans="1:3" x14ac:dyDescent="0.2">
      <c r="A3" s="173"/>
      <c r="B3" s="83"/>
    </row>
    <row r="4" spans="1:3" x14ac:dyDescent="0.2">
      <c r="A4" s="172" t="s">
        <v>53</v>
      </c>
      <c r="B4" s="177">
        <v>6000000</v>
      </c>
    </row>
    <row r="5" spans="1:3" x14ac:dyDescent="0.2">
      <c r="A5" s="172" t="s">
        <v>52</v>
      </c>
      <c r="B5" s="176">
        <v>0.08</v>
      </c>
    </row>
    <row r="6" spans="1:3" x14ac:dyDescent="0.2">
      <c r="A6" s="173" t="s">
        <v>45</v>
      </c>
      <c r="B6" s="177">
        <v>900000</v>
      </c>
    </row>
    <row r="7" spans="1:3" ht="15" x14ac:dyDescent="0.25">
      <c r="A7" s="172" t="s">
        <v>47</v>
      </c>
      <c r="B7" s="178">
        <f>B4*B2</f>
        <v>4500000</v>
      </c>
    </row>
    <row r="8" spans="1:3" ht="15" x14ac:dyDescent="0.25">
      <c r="A8" s="174" t="s">
        <v>54</v>
      </c>
      <c r="B8" s="179">
        <f>B7/10</f>
        <v>450000</v>
      </c>
    </row>
    <row r="10" spans="1:3" ht="15" x14ac:dyDescent="0.25">
      <c r="A10" s="72" t="s">
        <v>45</v>
      </c>
      <c r="B10" s="181">
        <f>B6</f>
        <v>900000</v>
      </c>
    </row>
    <row r="11" spans="1:3" ht="15" x14ac:dyDescent="0.25">
      <c r="A11" s="180" t="s">
        <v>55</v>
      </c>
      <c r="B11" s="182">
        <f>-B4*B1*B5</f>
        <v>-120000</v>
      </c>
    </row>
    <row r="12" spans="1:3" ht="15" x14ac:dyDescent="0.25">
      <c r="A12" s="180" t="s">
        <v>44</v>
      </c>
      <c r="B12" s="182">
        <f>SUM(B10:B11)</f>
        <v>780000</v>
      </c>
    </row>
    <row r="13" spans="1:3" ht="15" x14ac:dyDescent="0.25">
      <c r="B13" s="59"/>
    </row>
    <row r="14" spans="1:3" ht="15" x14ac:dyDescent="0.25">
      <c r="A14" s="66" t="s">
        <v>46</v>
      </c>
      <c r="B14" s="67">
        <f>B12/B8</f>
        <v>1.7333333333333334</v>
      </c>
    </row>
    <row r="15" spans="1:3" ht="15" x14ac:dyDescent="0.25">
      <c r="B15" s="63"/>
    </row>
    <row r="16" spans="1:3" ht="15" x14ac:dyDescent="0.25">
      <c r="A16" s="186" t="s">
        <v>56</v>
      </c>
      <c r="B16" s="187">
        <v>3000000</v>
      </c>
      <c r="C16" s="1"/>
    </row>
    <row r="17" spans="1:3" ht="15" x14ac:dyDescent="0.25">
      <c r="A17" s="188" t="s">
        <v>52</v>
      </c>
      <c r="B17" s="189">
        <v>0.7</v>
      </c>
      <c r="C17" s="192">
        <v>0.1</v>
      </c>
    </row>
    <row r="18" spans="1:3" ht="15" x14ac:dyDescent="0.25">
      <c r="A18" s="190" t="s">
        <v>47</v>
      </c>
      <c r="B18" s="191">
        <f>1-B17</f>
        <v>0.30000000000000004</v>
      </c>
      <c r="C18" s="80"/>
    </row>
    <row r="19" spans="1:3" ht="15" x14ac:dyDescent="0.25">
      <c r="B19" s="59"/>
    </row>
    <row r="20" spans="1:3" ht="15" x14ac:dyDescent="0.25">
      <c r="A20" s="64"/>
      <c r="B20" s="183" t="s">
        <v>47</v>
      </c>
      <c r="C20" s="106" t="s">
        <v>48</v>
      </c>
    </row>
    <row r="21" spans="1:3" ht="15" x14ac:dyDescent="0.25">
      <c r="A21" s="1" t="s">
        <v>45</v>
      </c>
      <c r="B21" s="101">
        <v>1500000</v>
      </c>
      <c r="C21" s="51">
        <v>1500000</v>
      </c>
    </row>
    <row r="22" spans="1:3" ht="15" x14ac:dyDescent="0.25">
      <c r="A22" s="80" t="s">
        <v>49</v>
      </c>
      <c r="B22" s="102">
        <f>B11</f>
        <v>-120000</v>
      </c>
      <c r="C22" s="102">
        <f>-(B5*B4*B1+B16*B17*C17)</f>
        <v>-330000</v>
      </c>
    </row>
    <row r="23" spans="1:3" ht="15" x14ac:dyDescent="0.25">
      <c r="A23" s="80" t="s">
        <v>50</v>
      </c>
      <c r="B23" s="102">
        <f>SUM(B21:B22)</f>
        <v>1380000</v>
      </c>
      <c r="C23" s="102">
        <f>SUM(C21:C22)</f>
        <v>1170000</v>
      </c>
    </row>
    <row r="24" spans="1:3" ht="15" x14ac:dyDescent="0.25">
      <c r="A24" s="62"/>
      <c r="B24" s="59"/>
      <c r="C24" s="59"/>
    </row>
    <row r="25" spans="1:3" ht="15" x14ac:dyDescent="0.25">
      <c r="A25" s="184" t="s">
        <v>51</v>
      </c>
      <c r="B25" s="185">
        <v>750000</v>
      </c>
      <c r="C25" s="185">
        <v>540000</v>
      </c>
    </row>
    <row r="26" spans="1:3" ht="15" x14ac:dyDescent="0.25">
      <c r="B26" s="59"/>
    </row>
    <row r="27" spans="1:3" ht="15" x14ac:dyDescent="0.25">
      <c r="A27" s="143" t="s">
        <v>46</v>
      </c>
      <c r="B27" s="193">
        <f>B23/B25</f>
        <v>1.84</v>
      </c>
      <c r="C27" s="193">
        <f>C23/C25</f>
        <v>2.1666666666666665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23" sqref="B23"/>
    </sheetView>
  </sheetViews>
  <sheetFormatPr baseColWidth="10" defaultColWidth="9.140625" defaultRowHeight="12.75" x14ac:dyDescent="0.2"/>
  <cols>
    <col min="1" max="1" width="21.5703125" bestFit="1" customWidth="1"/>
    <col min="2" max="2" width="10.7109375" bestFit="1" customWidth="1"/>
    <col min="3" max="8" width="9.7109375" bestFit="1" customWidth="1"/>
  </cols>
  <sheetData>
    <row r="1" spans="1:2" x14ac:dyDescent="0.2">
      <c r="A1" s="72" t="s">
        <v>90</v>
      </c>
      <c r="B1" s="75">
        <v>0.04</v>
      </c>
    </row>
    <row r="2" spans="1:2" x14ac:dyDescent="0.2">
      <c r="A2" s="73" t="s">
        <v>105</v>
      </c>
      <c r="B2" s="76">
        <v>0.1</v>
      </c>
    </row>
    <row r="3" spans="1:2" x14ac:dyDescent="0.2">
      <c r="A3" s="73" t="s">
        <v>57</v>
      </c>
      <c r="B3" s="77">
        <v>0.1</v>
      </c>
    </row>
    <row r="4" spans="1:2" x14ac:dyDescent="0.2">
      <c r="A4" s="73" t="s">
        <v>9</v>
      </c>
      <c r="B4" s="77">
        <v>1.6</v>
      </c>
    </row>
    <row r="5" spans="1:2" x14ac:dyDescent="0.2">
      <c r="A5" s="73" t="s">
        <v>41</v>
      </c>
      <c r="B5" s="76">
        <v>0.22</v>
      </c>
    </row>
    <row r="6" spans="1:2" x14ac:dyDescent="0.2">
      <c r="A6" s="73" t="s">
        <v>58</v>
      </c>
      <c r="B6" s="76">
        <v>0.2</v>
      </c>
    </row>
    <row r="7" spans="1:2" x14ac:dyDescent="0.2">
      <c r="A7" s="73" t="s">
        <v>19</v>
      </c>
      <c r="B7" s="76">
        <v>0.3</v>
      </c>
    </row>
    <row r="8" spans="1:2" x14ac:dyDescent="0.2">
      <c r="A8" s="73" t="s">
        <v>59</v>
      </c>
      <c r="B8" s="76">
        <f>1-B7</f>
        <v>0.7</v>
      </c>
    </row>
    <row r="9" spans="1:2" x14ac:dyDescent="0.2">
      <c r="A9" s="73" t="s">
        <v>106</v>
      </c>
      <c r="B9" s="76">
        <v>0.05</v>
      </c>
    </row>
    <row r="10" spans="1:2" x14ac:dyDescent="0.2">
      <c r="A10" s="73" t="s">
        <v>107</v>
      </c>
      <c r="B10" s="76">
        <v>0.04</v>
      </c>
    </row>
    <row r="11" spans="1:2" x14ac:dyDescent="0.2">
      <c r="A11" s="73" t="s">
        <v>60</v>
      </c>
      <c r="B11" s="78">
        <v>15000000</v>
      </c>
    </row>
    <row r="12" spans="1:2" x14ac:dyDescent="0.2">
      <c r="A12" s="73" t="s">
        <v>61</v>
      </c>
      <c r="B12" s="78">
        <v>1000000</v>
      </c>
    </row>
    <row r="13" spans="1:2" x14ac:dyDescent="0.2">
      <c r="A13" s="73" t="s">
        <v>39</v>
      </c>
      <c r="B13" s="78">
        <v>400000</v>
      </c>
    </row>
    <row r="14" spans="1:2" x14ac:dyDescent="0.2">
      <c r="A14" s="73" t="s">
        <v>62</v>
      </c>
      <c r="B14" s="78">
        <v>6750000</v>
      </c>
    </row>
    <row r="15" spans="1:2" x14ac:dyDescent="0.2">
      <c r="A15" s="73" t="s">
        <v>63</v>
      </c>
      <c r="B15" s="78">
        <v>2000000</v>
      </c>
    </row>
    <row r="16" spans="1:2" x14ac:dyDescent="0.2">
      <c r="A16" s="74" t="s">
        <v>64</v>
      </c>
      <c r="B16" s="79">
        <v>500000</v>
      </c>
    </row>
    <row r="17" spans="1:8" x14ac:dyDescent="0.2">
      <c r="B17" s="58"/>
    </row>
    <row r="18" spans="1:8" x14ac:dyDescent="0.2">
      <c r="A18" s="82" t="s">
        <v>36</v>
      </c>
      <c r="B18" s="87">
        <f>B1+(B2-B1*(1-B5))*B3</f>
        <v>4.6880000000000005E-2</v>
      </c>
    </row>
    <row r="19" spans="1:8" x14ac:dyDescent="0.2">
      <c r="A19" s="83" t="s">
        <v>92</v>
      </c>
      <c r="B19" s="88">
        <f>B18*(1-B5)</f>
        <v>3.6566400000000006E-2</v>
      </c>
    </row>
    <row r="20" spans="1:8" x14ac:dyDescent="0.2">
      <c r="A20" s="83" t="s">
        <v>65</v>
      </c>
      <c r="B20" s="88">
        <f>B1*(1-B5)+((B2-B1*(1-B5))*B4)</f>
        <v>0.14128000000000002</v>
      </c>
    </row>
    <row r="21" spans="1:8" x14ac:dyDescent="0.2">
      <c r="A21" s="83" t="s">
        <v>66</v>
      </c>
      <c r="B21" s="89">
        <f>B19*B7+B8*B20</f>
        <v>0.10986592000000001</v>
      </c>
    </row>
    <row r="22" spans="1:8" x14ac:dyDescent="0.2">
      <c r="A22" s="84" t="s">
        <v>109</v>
      </c>
      <c r="B22" s="90">
        <v>0.11</v>
      </c>
    </row>
    <row r="24" spans="1:8" x14ac:dyDescent="0.2">
      <c r="A24" s="91" t="s">
        <v>2</v>
      </c>
      <c r="B24" s="93">
        <v>0</v>
      </c>
      <c r="C24" s="93">
        <v>1</v>
      </c>
      <c r="D24" s="93">
        <v>2</v>
      </c>
      <c r="E24" s="93">
        <v>3</v>
      </c>
      <c r="F24" s="93">
        <v>4</v>
      </c>
      <c r="G24" s="93">
        <v>5</v>
      </c>
      <c r="H24" s="93">
        <v>6</v>
      </c>
    </row>
    <row r="25" spans="1:8" x14ac:dyDescent="0.2">
      <c r="A25" s="2" t="s">
        <v>67</v>
      </c>
      <c r="B25" s="51"/>
      <c r="C25" s="51">
        <f>$B$14</f>
        <v>6750000</v>
      </c>
      <c r="D25" s="51">
        <f>$B$14*(1+$B$9)^C24</f>
        <v>7087500</v>
      </c>
      <c r="E25" s="51">
        <f>$B$14*(1+$B$9)^D24</f>
        <v>7441875</v>
      </c>
      <c r="F25" s="51">
        <f>$B$14*(1+$B$9)^E24</f>
        <v>7813968.7500000009</v>
      </c>
      <c r="G25" s="51">
        <f>F25</f>
        <v>7813968.7500000009</v>
      </c>
      <c r="H25" s="51">
        <f>G25</f>
        <v>7813968.7500000009</v>
      </c>
    </row>
    <row r="26" spans="1:8" x14ac:dyDescent="0.2">
      <c r="A26" s="2" t="s">
        <v>68</v>
      </c>
      <c r="B26" s="51"/>
      <c r="C26" s="51">
        <f>-$B$15</f>
        <v>-2000000</v>
      </c>
      <c r="D26" s="51">
        <f>-$B$15*(1+$B$10)^C24</f>
        <v>-2080000</v>
      </c>
      <c r="E26" s="51">
        <f>-$B$15*(1+$B$10)^D24</f>
        <v>-2163200.0000000005</v>
      </c>
      <c r="F26" s="51">
        <f>-$B$15*(1+$B$10)^E24</f>
        <v>-2249728</v>
      </c>
      <c r="G26" s="51">
        <f>-$B$15*(1+$B$10)^F24</f>
        <v>-2339717.1200000006</v>
      </c>
      <c r="H26" s="51">
        <f>-$B$15*(1+$B$10)^G24</f>
        <v>-2433305.8048000005</v>
      </c>
    </row>
    <row r="27" spans="1:8" x14ac:dyDescent="0.2">
      <c r="A27" s="80" t="s">
        <v>69</v>
      </c>
      <c r="B27" s="94"/>
      <c r="C27" s="94">
        <f t="shared" ref="C27:H27" si="0">-$B$16</f>
        <v>-500000</v>
      </c>
      <c r="D27" s="94">
        <f t="shared" si="0"/>
        <v>-500000</v>
      </c>
      <c r="E27" s="94">
        <f t="shared" si="0"/>
        <v>-500000</v>
      </c>
      <c r="F27" s="94">
        <f t="shared" si="0"/>
        <v>-500000</v>
      </c>
      <c r="G27" s="94">
        <f t="shared" si="0"/>
        <v>-500000</v>
      </c>
      <c r="H27" s="94">
        <f t="shared" si="0"/>
        <v>-500000</v>
      </c>
    </row>
    <row r="28" spans="1:8" x14ac:dyDescent="0.2">
      <c r="A28" s="26" t="s">
        <v>108</v>
      </c>
      <c r="B28" s="32"/>
      <c r="C28" s="32">
        <f t="shared" ref="C28:H28" si="1">SUM(C25:C27)</f>
        <v>4250000</v>
      </c>
      <c r="D28" s="32">
        <f t="shared" si="1"/>
        <v>4507500</v>
      </c>
      <c r="E28" s="32">
        <f t="shared" si="1"/>
        <v>4778675</v>
      </c>
      <c r="F28" s="32">
        <f t="shared" si="1"/>
        <v>5064240.7500000009</v>
      </c>
      <c r="G28" s="32">
        <f t="shared" si="1"/>
        <v>4974251.6300000008</v>
      </c>
      <c r="H28" s="32">
        <f t="shared" si="1"/>
        <v>4880662.9452</v>
      </c>
    </row>
    <row r="29" spans="1:8" x14ac:dyDescent="0.2">
      <c r="A29" s="92" t="s">
        <v>41</v>
      </c>
      <c r="B29" s="51"/>
      <c r="C29" s="51">
        <f>-$B$5*C28</f>
        <v>-935000</v>
      </c>
      <c r="D29" s="51">
        <f t="shared" ref="D29:H29" si="2">-$B$5*D28</f>
        <v>-991650</v>
      </c>
      <c r="E29" s="51">
        <f t="shared" si="2"/>
        <v>-1051308.5</v>
      </c>
      <c r="F29" s="51">
        <f t="shared" si="2"/>
        <v>-1114132.9650000003</v>
      </c>
      <c r="G29" s="51">
        <f t="shared" si="2"/>
        <v>-1094335.3586000002</v>
      </c>
      <c r="H29" s="51">
        <f t="shared" si="2"/>
        <v>-1073745.847944</v>
      </c>
    </row>
    <row r="30" spans="1:8" x14ac:dyDescent="0.2">
      <c r="A30" s="92" t="s">
        <v>39</v>
      </c>
      <c r="B30" s="51">
        <f>-B13</f>
        <v>-400000</v>
      </c>
      <c r="C30" s="51"/>
      <c r="D30" s="51"/>
      <c r="E30" s="51"/>
      <c r="F30" s="51"/>
      <c r="G30" s="51"/>
      <c r="H30" s="51">
        <f>B13</f>
        <v>400000</v>
      </c>
    </row>
    <row r="31" spans="1:8" x14ac:dyDescent="0.2">
      <c r="A31" s="92" t="s">
        <v>14</v>
      </c>
      <c r="B31" s="51">
        <f>-B11</f>
        <v>-15000000</v>
      </c>
      <c r="C31" s="51"/>
      <c r="D31" s="51"/>
      <c r="E31" s="51"/>
      <c r="F31" s="51"/>
      <c r="G31" s="51"/>
      <c r="H31" s="51">
        <f>B12</f>
        <v>1000000</v>
      </c>
    </row>
    <row r="32" spans="1:8" x14ac:dyDescent="0.2">
      <c r="A32" s="92" t="s">
        <v>110</v>
      </c>
      <c r="B32" s="51">
        <f>-B31*B5*B6/(B6+B22)</f>
        <v>2129032.2580645164</v>
      </c>
      <c r="C32" s="51"/>
      <c r="D32" s="51"/>
      <c r="E32" s="51"/>
      <c r="F32" s="51"/>
      <c r="G32" s="51"/>
      <c r="H32" s="51"/>
    </row>
    <row r="33" spans="1:8" x14ac:dyDescent="0.2">
      <c r="A33" s="92" t="s">
        <v>111</v>
      </c>
      <c r="B33" s="51">
        <f>-H31*B5*B6/((1+B22)^H24*(B22+B6))</f>
        <v>-75884.505767441384</v>
      </c>
      <c r="C33" s="51"/>
      <c r="D33" s="51"/>
      <c r="E33" s="51"/>
      <c r="F33" s="51"/>
      <c r="G33" s="51"/>
      <c r="H33" s="51"/>
    </row>
    <row r="34" spans="1:8" x14ac:dyDescent="0.2">
      <c r="A34" s="95" t="s">
        <v>70</v>
      </c>
      <c r="B34" s="96">
        <f>SUM(B28:B33)</f>
        <v>-13346852.247702926</v>
      </c>
      <c r="C34" s="96">
        <f t="shared" ref="C34:H34" si="3">SUM(C28:C32)</f>
        <v>3315000</v>
      </c>
      <c r="D34" s="96">
        <f t="shared" si="3"/>
        <v>3515850</v>
      </c>
      <c r="E34" s="96">
        <f t="shared" si="3"/>
        <v>3727366.5</v>
      </c>
      <c r="F34" s="96">
        <f t="shared" si="3"/>
        <v>3950107.7850000006</v>
      </c>
      <c r="G34" s="96">
        <f t="shared" si="3"/>
        <v>3879916.2714000009</v>
      </c>
      <c r="H34" s="96">
        <f t="shared" si="3"/>
        <v>5206917.0972560002</v>
      </c>
    </row>
    <row r="35" spans="1:8" x14ac:dyDescent="0.2">
      <c r="B35" s="58"/>
      <c r="C35" s="58"/>
      <c r="D35" s="58"/>
      <c r="E35" s="58"/>
      <c r="F35" s="58"/>
      <c r="G35" s="58"/>
      <c r="H35" s="58"/>
    </row>
    <row r="36" spans="1:8" x14ac:dyDescent="0.2">
      <c r="A36" s="97" t="s">
        <v>71</v>
      </c>
      <c r="B36" s="98">
        <f>NPV(B22,C34:H34)+B34</f>
        <v>2907025.5539856683</v>
      </c>
      <c r="C36" s="58"/>
      <c r="D36" s="58"/>
      <c r="E36" s="58"/>
      <c r="F36" s="58"/>
      <c r="G36" s="58"/>
      <c r="H36" s="5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zoomScaleNormal="100" workbookViewId="0">
      <selection activeCell="I24" sqref="I24"/>
    </sheetView>
  </sheetViews>
  <sheetFormatPr baseColWidth="10" defaultColWidth="9.140625" defaultRowHeight="12.75" x14ac:dyDescent="0.2"/>
  <cols>
    <col min="1" max="1" width="25" bestFit="1" customWidth="1"/>
    <col min="2" max="2" width="10.42578125" bestFit="1" customWidth="1"/>
    <col min="3" max="4" width="9.7109375" bestFit="1" customWidth="1"/>
    <col min="5" max="5" width="10.42578125" bestFit="1" customWidth="1"/>
    <col min="6" max="6" width="10.7109375" customWidth="1"/>
    <col min="7" max="7" width="12.85546875" customWidth="1"/>
  </cols>
  <sheetData>
    <row r="1" spans="1:3" ht="15" x14ac:dyDescent="0.25">
      <c r="A1" s="147" t="s">
        <v>88</v>
      </c>
      <c r="B1" s="151">
        <v>0.2</v>
      </c>
    </row>
    <row r="2" spans="1:3" ht="15" x14ac:dyDescent="0.25">
      <c r="A2" s="148" t="s">
        <v>11</v>
      </c>
      <c r="B2" s="152">
        <v>0.22</v>
      </c>
    </row>
    <row r="3" spans="1:3" ht="15" x14ac:dyDescent="0.25">
      <c r="A3" s="149" t="s">
        <v>36</v>
      </c>
      <c r="B3" s="156">
        <v>5.4699999999999999E-2</v>
      </c>
    </row>
    <row r="4" spans="1:3" ht="15" x14ac:dyDescent="0.25">
      <c r="A4" s="148" t="s">
        <v>89</v>
      </c>
      <c r="B4" s="154">
        <v>1.5</v>
      </c>
    </row>
    <row r="5" spans="1:3" ht="15" x14ac:dyDescent="0.25">
      <c r="A5" s="148" t="s">
        <v>90</v>
      </c>
      <c r="B5" s="153">
        <v>4.4999999999999998E-2</v>
      </c>
    </row>
    <row r="6" spans="1:3" ht="15" x14ac:dyDescent="0.25">
      <c r="A6" s="148" t="s">
        <v>91</v>
      </c>
      <c r="B6" s="153">
        <v>0.1</v>
      </c>
    </row>
    <row r="7" spans="1:3" x14ac:dyDescent="0.2">
      <c r="A7" s="77" t="s">
        <v>47</v>
      </c>
      <c r="B7" s="155">
        <v>150</v>
      </c>
      <c r="C7" s="68">
        <f>B7/(B7+B8)</f>
        <v>0.75</v>
      </c>
    </row>
    <row r="8" spans="1:3" x14ac:dyDescent="0.2">
      <c r="A8" s="77" t="s">
        <v>52</v>
      </c>
      <c r="B8" s="155">
        <v>50</v>
      </c>
      <c r="C8" s="68">
        <f>1-C7</f>
        <v>0.25</v>
      </c>
    </row>
    <row r="9" spans="1:3" ht="15" x14ac:dyDescent="0.25">
      <c r="A9" s="148" t="s">
        <v>13</v>
      </c>
      <c r="B9" s="156">
        <f>B5*(1-B2)+((B6-B5*(1-B2))*B4)</f>
        <v>0.13245000000000001</v>
      </c>
    </row>
    <row r="10" spans="1:3" ht="15" x14ac:dyDescent="0.25">
      <c r="A10" s="150" t="s">
        <v>92</v>
      </c>
      <c r="B10" s="157">
        <f>B3*(1-B2)</f>
        <v>4.2666000000000003E-2</v>
      </c>
    </row>
    <row r="11" spans="1:3" ht="15" x14ac:dyDescent="0.25">
      <c r="A11" s="59"/>
      <c r="B11" s="69"/>
    </row>
    <row r="12" spans="1:3" ht="15" x14ac:dyDescent="0.25">
      <c r="A12" s="201" t="s">
        <v>66</v>
      </c>
      <c r="B12" s="199">
        <f>B9*C7+B10*C8</f>
        <v>0.110004</v>
      </c>
    </row>
    <row r="13" spans="1:3" ht="15" x14ac:dyDescent="0.25">
      <c r="A13" s="158" t="s">
        <v>93</v>
      </c>
      <c r="B13" s="200">
        <v>0.11</v>
      </c>
    </row>
    <row r="15" spans="1:3" ht="15" x14ac:dyDescent="0.25">
      <c r="A15" s="146" t="s">
        <v>85</v>
      </c>
      <c r="B15" s="146">
        <v>400000</v>
      </c>
    </row>
    <row r="16" spans="1:3" ht="15" x14ac:dyDescent="0.25">
      <c r="A16" s="101" t="s">
        <v>86</v>
      </c>
      <c r="B16" s="101">
        <v>500000</v>
      </c>
    </row>
    <row r="17" spans="1:7" ht="15" x14ac:dyDescent="0.25">
      <c r="A17" s="102" t="s">
        <v>87</v>
      </c>
      <c r="B17" s="102">
        <v>-250000</v>
      </c>
    </row>
    <row r="18" spans="1:7" ht="15" x14ac:dyDescent="0.25">
      <c r="A18" s="158" t="s">
        <v>39</v>
      </c>
      <c r="B18" s="158">
        <f>SUM(B15:B17)</f>
        <v>650000</v>
      </c>
    </row>
    <row r="21" spans="1:7" ht="15" x14ac:dyDescent="0.25">
      <c r="B21" s="106" t="s">
        <v>72</v>
      </c>
      <c r="C21" s="106" t="s">
        <v>73</v>
      </c>
      <c r="D21" s="106" t="s">
        <v>74</v>
      </c>
    </row>
    <row r="22" spans="1:7" x14ac:dyDescent="0.2">
      <c r="A22" s="194" t="s">
        <v>75</v>
      </c>
      <c r="B22" s="197">
        <v>80000</v>
      </c>
      <c r="C22" s="195">
        <v>120</v>
      </c>
      <c r="D22" s="195">
        <v>80</v>
      </c>
    </row>
    <row r="23" spans="1:7" x14ac:dyDescent="0.2">
      <c r="A23" s="195" t="s">
        <v>76</v>
      </c>
      <c r="B23" s="197">
        <v>100000</v>
      </c>
      <c r="C23" s="195">
        <v>120</v>
      </c>
      <c r="D23" s="195">
        <v>80</v>
      </c>
    </row>
    <row r="24" spans="1:7" x14ac:dyDescent="0.2">
      <c r="A24" s="195" t="s">
        <v>77</v>
      </c>
      <c r="B24" s="197">
        <v>120000</v>
      </c>
      <c r="C24" s="195">
        <v>120</v>
      </c>
      <c r="D24" s="195">
        <v>80</v>
      </c>
    </row>
    <row r="25" spans="1:7" x14ac:dyDescent="0.2">
      <c r="A25" s="195" t="s">
        <v>78</v>
      </c>
      <c r="B25" s="197">
        <v>100000</v>
      </c>
      <c r="C25" s="195">
        <v>120</v>
      </c>
      <c r="D25" s="195">
        <v>90</v>
      </c>
    </row>
    <row r="26" spans="1:7" x14ac:dyDescent="0.2">
      <c r="A26" s="196" t="s">
        <v>79</v>
      </c>
      <c r="B26" s="198">
        <v>100000</v>
      </c>
      <c r="C26" s="196">
        <v>120</v>
      </c>
      <c r="D26" s="196">
        <v>100</v>
      </c>
    </row>
    <row r="29" spans="1:7" ht="15" x14ac:dyDescent="0.25">
      <c r="A29" s="104" t="s">
        <v>2</v>
      </c>
      <c r="B29" s="105">
        <v>0</v>
      </c>
      <c r="C29" s="106">
        <v>1</v>
      </c>
      <c r="D29" s="106">
        <v>2</v>
      </c>
      <c r="E29" s="106">
        <v>3</v>
      </c>
      <c r="F29" s="106">
        <v>4</v>
      </c>
      <c r="G29" s="106">
        <v>5</v>
      </c>
    </row>
    <row r="30" spans="1:7" ht="15" x14ac:dyDescent="0.25">
      <c r="A30" s="59" t="s">
        <v>80</v>
      </c>
      <c r="B30" s="101"/>
      <c r="C30" s="101">
        <f>B22*(C22-D22)</f>
        <v>3200000</v>
      </c>
      <c r="D30" s="101">
        <f>B23*(C23-D23)</f>
        <v>4000000</v>
      </c>
      <c r="E30" s="101">
        <f>B24*(C24-D24)</f>
        <v>4800000</v>
      </c>
      <c r="F30" s="101">
        <f>B25*(C25-D25)</f>
        <v>3000000</v>
      </c>
      <c r="G30" s="101">
        <f>B26*(C26-D26)</f>
        <v>2000000</v>
      </c>
    </row>
    <row r="31" spans="1:7" ht="15" x14ac:dyDescent="0.25">
      <c r="A31" s="59" t="s">
        <v>81</v>
      </c>
      <c r="B31" s="101"/>
      <c r="C31" s="101">
        <v>-500000</v>
      </c>
      <c r="D31" s="101">
        <v>-400000</v>
      </c>
      <c r="E31" s="101">
        <v>-400000</v>
      </c>
      <c r="F31" s="101">
        <v>-400000</v>
      </c>
      <c r="G31" s="101">
        <v>-400000</v>
      </c>
    </row>
    <row r="32" spans="1:7" ht="15" x14ac:dyDescent="0.25">
      <c r="A32" s="61" t="s">
        <v>82</v>
      </c>
      <c r="B32" s="102"/>
      <c r="C32" s="102">
        <v>-800000</v>
      </c>
      <c r="D32" s="102">
        <v>-800000</v>
      </c>
      <c r="E32" s="102">
        <v>-800000</v>
      </c>
      <c r="F32" s="102">
        <v>-800000</v>
      </c>
      <c r="G32" s="102">
        <v>-800000</v>
      </c>
    </row>
    <row r="33" spans="1:7" ht="15" x14ac:dyDescent="0.25">
      <c r="A33" s="99" t="s">
        <v>108</v>
      </c>
      <c r="B33" s="101"/>
      <c r="C33" s="101">
        <f>SUM(C30:C32)</f>
        <v>1900000</v>
      </c>
      <c r="D33" s="101">
        <f>SUM(D30:D32)</f>
        <v>2800000</v>
      </c>
      <c r="E33" s="101">
        <f>SUM(E30:E32)</f>
        <v>3600000</v>
      </c>
      <c r="F33" s="101">
        <f>SUM(F30:F32)</f>
        <v>1800000</v>
      </c>
      <c r="G33" s="101">
        <f>SUM(G30:G32)</f>
        <v>800000</v>
      </c>
    </row>
    <row r="34" spans="1:7" ht="15" x14ac:dyDescent="0.25">
      <c r="A34" s="59" t="s">
        <v>41</v>
      </c>
      <c r="B34" s="101"/>
      <c r="C34" s="101">
        <f>-$B$2*C33</f>
        <v>-418000</v>
      </c>
      <c r="D34" s="101">
        <f t="shared" ref="D34:G34" si="0">-$B$2*D33</f>
        <v>-616000</v>
      </c>
      <c r="E34" s="101">
        <f t="shared" si="0"/>
        <v>-792000</v>
      </c>
      <c r="F34" s="101">
        <f t="shared" si="0"/>
        <v>-396000</v>
      </c>
      <c r="G34" s="101">
        <f t="shared" si="0"/>
        <v>-176000</v>
      </c>
    </row>
    <row r="35" spans="1:7" ht="15" x14ac:dyDescent="0.25">
      <c r="A35" s="59" t="s">
        <v>83</v>
      </c>
      <c r="B35" s="101">
        <f>-B36*B1*B2/(B1+B13)</f>
        <v>851612.90322580643</v>
      </c>
      <c r="C35" s="101"/>
      <c r="D35" s="101"/>
      <c r="E35" s="101"/>
      <c r="F35" s="101"/>
      <c r="G35" s="101"/>
    </row>
    <row r="36" spans="1:7" ht="15" x14ac:dyDescent="0.25">
      <c r="A36" s="59" t="s">
        <v>14</v>
      </c>
      <c r="B36" s="101">
        <v>-6000000</v>
      </c>
      <c r="C36" s="101"/>
      <c r="D36" s="101"/>
      <c r="E36" s="101"/>
      <c r="F36" s="101"/>
      <c r="G36" s="101"/>
    </row>
    <row r="37" spans="1:7" ht="15" x14ac:dyDescent="0.25">
      <c r="A37" s="61" t="s">
        <v>39</v>
      </c>
      <c r="B37" s="102">
        <f>-B18</f>
        <v>-650000</v>
      </c>
      <c r="C37" s="102"/>
      <c r="D37" s="102"/>
      <c r="E37" s="102"/>
      <c r="F37" s="102"/>
      <c r="G37" s="102">
        <f>-B37</f>
        <v>650000</v>
      </c>
    </row>
    <row r="38" spans="1:7" ht="15" x14ac:dyDescent="0.25">
      <c r="A38" s="100" t="s">
        <v>70</v>
      </c>
      <c r="B38" s="103">
        <f t="shared" ref="B38:G38" si="1">SUM(B33:B37)</f>
        <v>-5798387.0967741935</v>
      </c>
      <c r="C38" s="103">
        <f t="shared" si="1"/>
        <v>1482000</v>
      </c>
      <c r="D38" s="103">
        <f t="shared" si="1"/>
        <v>2184000</v>
      </c>
      <c r="E38" s="103">
        <f t="shared" si="1"/>
        <v>2808000</v>
      </c>
      <c r="F38" s="103">
        <f t="shared" si="1"/>
        <v>1404000</v>
      </c>
      <c r="G38" s="103">
        <f t="shared" si="1"/>
        <v>1274000</v>
      </c>
    </row>
    <row r="39" spans="1:7" ht="15" x14ac:dyDescent="0.25">
      <c r="A39" s="59"/>
      <c r="B39" s="59"/>
      <c r="C39" s="59"/>
      <c r="D39" s="59"/>
      <c r="E39" s="59"/>
      <c r="F39" s="59"/>
      <c r="G39" s="59"/>
    </row>
    <row r="40" spans="1:7" ht="15" x14ac:dyDescent="0.25">
      <c r="A40" s="103" t="s">
        <v>43</v>
      </c>
      <c r="B40" s="107">
        <f>NPV(B13,C38:G38)+B38</f>
        <v>1043432.1109052086</v>
      </c>
      <c r="C40" s="59"/>
      <c r="D40" s="59"/>
      <c r="E40" s="59"/>
      <c r="F40" s="59"/>
      <c r="G40" s="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Opp 1</vt:lpstr>
      <vt:lpstr>Opp 2</vt:lpstr>
      <vt:lpstr>Opp 3</vt:lpstr>
      <vt:lpstr>Opp 4</vt:lpstr>
      <vt:lpstr>Opp 5</vt:lpstr>
      <vt:lpstr>Opp 6</vt:lpstr>
      <vt:lpstr>Opp 7</vt:lpstr>
      <vt:lpstr>Opp 8</vt:lpstr>
      <vt:lpstr>Opp 9</vt:lpstr>
      <vt:lpstr>Opp 10</vt:lpstr>
      <vt:lpstr>Opp 11</vt:lpstr>
      <vt:lpstr>Opp 12</vt:lpstr>
    </vt:vector>
  </TitlesOfParts>
  <Company>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Bredesen</dc:creator>
  <cp:lastModifiedBy>Ivar Bredesen</cp:lastModifiedBy>
  <dcterms:created xsi:type="dcterms:W3CDTF">1999-07-07T18:19:37Z</dcterms:created>
  <dcterms:modified xsi:type="dcterms:W3CDTF">2019-08-16T12:21:39Z</dcterms:modified>
</cp:coreProperties>
</file>