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E266DD15-17AB-45FF-B5B6-F505C8226785}" xr6:coauthVersionLast="47" xr6:coauthVersionMax="47" xr10:uidLastSave="{00000000-0000-0000-0000-000000000000}"/>
  <bookViews>
    <workbookView xWindow="-105" yWindow="0" windowWidth="19410" windowHeight="20985" activeTab="5" xr2:uid="{00000000-000D-0000-FFFF-FFFF00000000}"/>
  </bookViews>
  <sheets>
    <sheet name="Opp 1" sheetId="1" r:id="rId1"/>
    <sheet name="Opp 2" sheetId="2" r:id="rId2"/>
    <sheet name="Opp 3" sheetId="5" r:id="rId3"/>
    <sheet name="Opp 4" sheetId="3" r:id="rId4"/>
    <sheet name="Opp 5" sheetId="4" r:id="rId5"/>
    <sheet name="Opp 6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3" i="1"/>
  <c r="E2" i="1"/>
  <c r="B7" i="3"/>
  <c r="B6" i="3"/>
  <c r="B3" i="3"/>
  <c r="B2" i="3"/>
  <c r="B16" i="6"/>
  <c r="E10" i="6"/>
  <c r="A18" i="6" s="1"/>
  <c r="C10" i="6"/>
  <c r="E9" i="6"/>
  <c r="E3" i="6"/>
  <c r="E4" i="6" s="1"/>
  <c r="E5" i="6" s="1"/>
  <c r="E6" i="6" s="1"/>
  <c r="C3" i="6"/>
  <c r="E2" i="6"/>
  <c r="D3" i="4"/>
  <c r="D4" i="4" s="1"/>
  <c r="D5" i="4" s="1"/>
  <c r="C16" i="6" l="1"/>
  <c r="A17" i="6"/>
  <c r="E11" i="6"/>
  <c r="E12" i="6" s="1"/>
  <c r="B7" i="4"/>
  <c r="B11" i="4"/>
  <c r="E13" i="6" l="1"/>
  <c r="B28" i="6"/>
  <c r="B20" i="6"/>
  <c r="B21" i="6"/>
  <c r="B23" i="6"/>
  <c r="B22" i="6"/>
  <c r="B28" i="4"/>
  <c r="B12" i="4"/>
  <c r="B15" i="4"/>
  <c r="B8" i="4"/>
  <c r="B9" i="4" s="1"/>
  <c r="B24" i="6" l="1"/>
  <c r="B26" i="6" s="1"/>
  <c r="B29" i="6"/>
  <c r="B32" i="6" s="1"/>
  <c r="B33" i="6" s="1"/>
  <c r="B13" i="4"/>
  <c r="B16" i="4" s="1"/>
  <c r="B18" i="4"/>
  <c r="B29" i="4"/>
  <c r="B31" i="6" l="1"/>
  <c r="B19" i="4"/>
  <c r="B22" i="4" s="1"/>
  <c r="B23" i="4" s="1"/>
  <c r="B21" i="4" l="1"/>
  <c r="B19" i="3" l="1"/>
  <c r="B12" i="5"/>
  <c r="B4" i="5"/>
  <c r="D6" i="5" s="1"/>
  <c r="D7" i="5" s="1"/>
  <c r="D8" i="5" s="1"/>
  <c r="C17" i="3"/>
  <c r="B17" i="3"/>
  <c r="C3" i="3"/>
  <c r="C18" i="3"/>
  <c r="C19" i="3"/>
  <c r="C20" i="3"/>
  <c r="B26" i="3"/>
  <c r="B4" i="1"/>
  <c r="D6" i="1" s="1"/>
  <c r="D7" i="1" s="1"/>
  <c r="D8" i="1" s="1"/>
  <c r="C6" i="1"/>
  <c r="C7" i="1" s="1"/>
  <c r="B12" i="1"/>
  <c r="B4" i="2"/>
  <c r="C6" i="2" s="1"/>
  <c r="B12" i="2"/>
  <c r="D6" i="2"/>
  <c r="D7" i="2" s="1"/>
  <c r="D8" i="2" s="1"/>
  <c r="E2" i="2"/>
  <c r="E3" i="2"/>
  <c r="E4" i="2"/>
  <c r="C6" i="5" l="1"/>
  <c r="E6" i="1"/>
  <c r="E8" i="1" s="1"/>
  <c r="E7" i="1" s="1"/>
  <c r="E6" i="2"/>
  <c r="E8" i="2" s="1"/>
  <c r="E7" i="2" s="1"/>
  <c r="C7" i="3"/>
  <c r="B11" i="3" s="1"/>
  <c r="C9" i="2"/>
  <c r="C7" i="2"/>
  <c r="B14" i="2"/>
  <c r="B19" i="1"/>
  <c r="C8" i="1"/>
  <c r="B10" i="3"/>
  <c r="B12" i="3" s="1"/>
  <c r="C9" i="1"/>
  <c r="B17" i="1" s="1"/>
  <c r="B20" i="3"/>
  <c r="B18" i="3"/>
  <c r="B14" i="1"/>
  <c r="B14" i="5" l="1"/>
  <c r="C7" i="5"/>
  <c r="C9" i="5"/>
  <c r="E20" i="3"/>
  <c r="G20" i="3" s="1"/>
  <c r="E17" i="3"/>
  <c r="G17" i="3" s="1"/>
  <c r="E19" i="3"/>
  <c r="G19" i="3" s="1"/>
  <c r="C22" i="3"/>
  <c r="E18" i="3"/>
  <c r="G18" i="3" s="1"/>
  <c r="B13" i="3"/>
  <c r="C24" i="3" s="1"/>
  <c r="B23" i="3"/>
  <c r="B24" i="3"/>
  <c r="C8" i="2"/>
  <c r="B15" i="2"/>
  <c r="B16" i="2" s="1"/>
  <c r="B17" i="2"/>
  <c r="D17" i="3"/>
  <c r="F17" i="3" s="1"/>
  <c r="B22" i="3"/>
  <c r="D18" i="3"/>
  <c r="F18" i="3" s="1"/>
  <c r="D19" i="3"/>
  <c r="F19" i="3" s="1"/>
  <c r="D20" i="3"/>
  <c r="F20" i="3" s="1"/>
  <c r="B15" i="1"/>
  <c r="B16" i="1" s="1"/>
  <c r="B27" i="3" l="1"/>
  <c r="H20" i="3"/>
  <c r="H17" i="3"/>
  <c r="C23" i="3"/>
  <c r="H18" i="3"/>
  <c r="B17" i="5"/>
  <c r="C8" i="5"/>
  <c r="B15" i="5"/>
  <c r="B16" i="5" s="1"/>
  <c r="H19" i="3"/>
  <c r="H21" i="3" l="1"/>
  <c r="H22" i="3" s="1"/>
  <c r="B28" i="3" s="1"/>
  <c r="B29" i="3" s="1"/>
  <c r="B32" i="3" l="1"/>
  <c r="B33" i="3" s="1"/>
  <c r="B35" i="3" s="1"/>
  <c r="B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Ivar Bredesen</author>
  </authors>
  <commentList>
    <comment ref="B11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Andelene i hver aksje kan endres
</t>
        </r>
      </text>
    </comment>
  </commentList>
</comments>
</file>

<file path=xl/sharedStrings.xml><?xml version="1.0" encoding="utf-8"?>
<sst xmlns="http://schemas.openxmlformats.org/spreadsheetml/2006/main" count="135" uniqueCount="63">
  <si>
    <t>Konjunkturer</t>
  </si>
  <si>
    <t>Sannsynlighet</t>
  </si>
  <si>
    <t>Avkastning A</t>
  </si>
  <si>
    <t>Avkastning B</t>
  </si>
  <si>
    <t>Portefølje</t>
  </si>
  <si>
    <t>Høy</t>
  </si>
  <si>
    <t>Normal</t>
  </si>
  <si>
    <t>Lav</t>
  </si>
  <si>
    <t>Forventet avkastning</t>
  </si>
  <si>
    <t>Standardavvik</t>
  </si>
  <si>
    <t>Varians</t>
  </si>
  <si>
    <t>Kovarians</t>
  </si>
  <si>
    <t>Andel A</t>
  </si>
  <si>
    <t>Andel B</t>
  </si>
  <si>
    <t>Porteføljeavkastning</t>
  </si>
  <si>
    <t>Porteføljevarians</t>
  </si>
  <si>
    <t>Porteføljestandardavvik</t>
  </si>
  <si>
    <t>Korrelasjonskoeffisient</t>
  </si>
  <si>
    <t>Veid standardavvik</t>
  </si>
  <si>
    <t>Tilstand</t>
  </si>
  <si>
    <t>Avkastning PVS</t>
  </si>
  <si>
    <t>Avkastning DAI</t>
  </si>
  <si>
    <t>Andel PVS</t>
  </si>
  <si>
    <t>Andel DAI</t>
  </si>
  <si>
    <t>Aksje A</t>
  </si>
  <si>
    <t>Avkastning</t>
  </si>
  <si>
    <t>Kurs 135</t>
  </si>
  <si>
    <t>Kurs 90</t>
  </si>
  <si>
    <t>Aksje B</t>
  </si>
  <si>
    <t>Kurs 115</t>
  </si>
  <si>
    <t>Kurs 100</t>
  </si>
  <si>
    <t>Forventet A</t>
  </si>
  <si>
    <t>Forventet B</t>
  </si>
  <si>
    <t>Standardavvik A</t>
  </si>
  <si>
    <t>Standardavvik B</t>
  </si>
  <si>
    <t>Ra - E(Ra)</t>
  </si>
  <si>
    <t>Rb - E(Rb)</t>
  </si>
  <si>
    <t>Kovarians AB</t>
  </si>
  <si>
    <t xml:space="preserve">Forventet </t>
  </si>
  <si>
    <t>Korrelasjon AB</t>
  </si>
  <si>
    <t>Optimal andel A</t>
  </si>
  <si>
    <t>Optimal andel B</t>
  </si>
  <si>
    <t>Avkastning aksje A</t>
  </si>
  <si>
    <t>Avkastning aksje B</t>
  </si>
  <si>
    <t>Varians A</t>
  </si>
  <si>
    <t>Std avvik A</t>
  </si>
  <si>
    <t>Varians B</t>
  </si>
  <si>
    <t>Std avvik B</t>
  </si>
  <si>
    <t>Korrelasjon</t>
  </si>
  <si>
    <t>Forventet</t>
  </si>
  <si>
    <t>Std avvik</t>
  </si>
  <si>
    <t>Andel risikofritt</t>
  </si>
  <si>
    <t>Risikofri rente</t>
  </si>
  <si>
    <t>Kurs Aksje A</t>
  </si>
  <si>
    <t>Sann het</t>
  </si>
  <si>
    <t>Høy kurs</t>
  </si>
  <si>
    <t>Lav kurs</t>
  </si>
  <si>
    <t>Kurs Aksje B</t>
  </si>
  <si>
    <t>liten gevinst pga. høy korrelasjon</t>
  </si>
  <si>
    <t>a)</t>
  </si>
  <si>
    <t>c)</t>
  </si>
  <si>
    <t>d)</t>
  </si>
  <si>
    <t>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</si>
</sst>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"/>
    <numFmt numFmtId="165" formatCode="0.00000"/>
    <numFmt numFmtId="166" formatCode="0.000"/>
    <numFmt numFmtId="167" formatCode="0.0\ %"/>
    <numFmt numFmtId="168" formatCode="0.0000\ %"/>
    <numFmt numFmtId="169" formatCode="0.00000000"/>
    <numFmt numFmtId="170" formatCode="0.0000000"/>
  </numFmts>
  <fonts count="7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2" borderId="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0" fontId="0" fillId="4" borderId="2" xfId="1" applyNumberFormat="1" applyFont="1" applyFill="1" applyBorder="1"/>
    <xf numFmtId="0" fontId="0" fillId="4" borderId="3" xfId="0" applyFill="1" applyBorder="1"/>
    <xf numFmtId="10" fontId="0" fillId="4" borderId="1" xfId="1" applyNumberFormat="1" applyFont="1" applyFill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0" fontId="0" fillId="3" borderId="4" xfId="0" applyFill="1" applyBorder="1"/>
    <xf numFmtId="164" fontId="0" fillId="4" borderId="3" xfId="1" applyNumberFormat="1" applyFont="1" applyFill="1" applyBorder="1"/>
    <xf numFmtId="164" fontId="0" fillId="4" borderId="2" xfId="1" applyNumberFormat="1" applyFont="1" applyFill="1" applyBorder="1"/>
    <xf numFmtId="164" fontId="0" fillId="4" borderId="3" xfId="0" applyNumberFormat="1" applyFill="1" applyBorder="1"/>
    <xf numFmtId="0" fontId="3" fillId="0" borderId="0" xfId="0" applyFont="1"/>
    <xf numFmtId="9" fontId="3" fillId="0" borderId="0" xfId="1" applyFont="1"/>
    <xf numFmtId="0" fontId="3" fillId="6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9" fontId="3" fillId="5" borderId="2" xfId="1" applyFont="1" applyFill="1" applyBorder="1"/>
    <xf numFmtId="10" fontId="3" fillId="5" borderId="2" xfId="1" applyNumberFormat="1" applyFont="1" applyFill="1" applyBorder="1"/>
    <xf numFmtId="10" fontId="3" fillId="5" borderId="2" xfId="0" applyNumberFormat="1" applyFont="1" applyFill="1" applyBorder="1"/>
    <xf numFmtId="2" fontId="3" fillId="5" borderId="2" xfId="0" applyNumberFormat="1" applyFont="1" applyFill="1" applyBorder="1"/>
    <xf numFmtId="164" fontId="3" fillId="5" borderId="2" xfId="0" applyNumberFormat="1" applyFont="1" applyFill="1" applyBorder="1"/>
    <xf numFmtId="2" fontId="3" fillId="5" borderId="2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9" fontId="3" fillId="5" borderId="3" xfId="1" applyFont="1" applyFill="1" applyBorder="1"/>
    <xf numFmtId="10" fontId="3" fillId="5" borderId="3" xfId="1" applyNumberFormat="1" applyFont="1" applyFill="1" applyBorder="1"/>
    <xf numFmtId="10" fontId="3" fillId="5" borderId="3" xfId="0" applyNumberFormat="1" applyFont="1" applyFill="1" applyBorder="1"/>
    <xf numFmtId="2" fontId="3" fillId="5" borderId="3" xfId="0" applyNumberFormat="1" applyFont="1" applyFill="1" applyBorder="1"/>
    <xf numFmtId="164" fontId="3" fillId="5" borderId="3" xfId="0" applyNumberFormat="1" applyFont="1" applyFill="1" applyBorder="1"/>
    <xf numFmtId="0" fontId="3" fillId="4" borderId="5" xfId="0" applyFont="1" applyFill="1" applyBorder="1"/>
    <xf numFmtId="0" fontId="3" fillId="4" borderId="1" xfId="0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0" fontId="3" fillId="4" borderId="6" xfId="0" applyFont="1" applyFill="1" applyBorder="1"/>
    <xf numFmtId="10" fontId="3" fillId="4" borderId="2" xfId="1" applyNumberFormat="1" applyFont="1" applyFill="1" applyBorder="1"/>
    <xf numFmtId="10" fontId="3" fillId="4" borderId="2" xfId="0" applyNumberFormat="1" applyFont="1" applyFill="1" applyBorder="1"/>
    <xf numFmtId="0" fontId="3" fillId="3" borderId="3" xfId="0" applyFont="1" applyFill="1" applyBorder="1"/>
    <xf numFmtId="165" fontId="3" fillId="3" borderId="3" xfId="0" applyNumberFormat="1" applyFont="1" applyFill="1" applyBorder="1"/>
    <xf numFmtId="0" fontId="3" fillId="4" borderId="2" xfId="0" applyFont="1" applyFill="1" applyBorder="1"/>
    <xf numFmtId="0" fontId="3" fillId="4" borderId="7" xfId="0" applyFont="1" applyFill="1" applyBorder="1"/>
    <xf numFmtId="0" fontId="3" fillId="4" borderId="3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3" fontId="3" fillId="0" borderId="0" xfId="0" applyNumberFormat="1" applyFont="1"/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3" borderId="1" xfId="0" applyFont="1" applyFill="1" applyBorder="1"/>
    <xf numFmtId="0" fontId="1" fillId="3" borderId="3" xfId="0" applyFont="1" applyFill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10" fontId="3" fillId="4" borderId="1" xfId="1" applyNumberFormat="1" applyFont="1" applyFill="1" applyBorder="1"/>
    <xf numFmtId="168" fontId="3" fillId="4" borderId="3" xfId="1" applyNumberFormat="1" applyFont="1" applyFill="1" applyBorder="1"/>
    <xf numFmtId="0" fontId="0" fillId="0" borderId="0" xfId="0" applyAlignment="1">
      <alignment horizontal="center"/>
    </xf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8" borderId="1" xfId="0" applyFill="1" applyBorder="1"/>
    <xf numFmtId="10" fontId="0" fillId="8" borderId="1" xfId="1" applyNumberFormat="1" applyFont="1" applyFill="1" applyBorder="1"/>
    <xf numFmtId="0" fontId="0" fillId="8" borderId="2" xfId="0" applyFill="1" applyBorder="1"/>
    <xf numFmtId="0" fontId="0" fillId="8" borderId="3" xfId="0" applyFill="1" applyBorder="1"/>
    <xf numFmtId="10" fontId="0" fillId="8" borderId="3" xfId="1" applyNumberFormat="1" applyFont="1" applyFill="1" applyBorder="1"/>
    <xf numFmtId="0" fontId="0" fillId="9" borderId="1" xfId="0" applyFill="1" applyBorder="1"/>
    <xf numFmtId="10" fontId="0" fillId="9" borderId="1" xfId="1" applyNumberFormat="1" applyFont="1" applyFill="1" applyBorder="1"/>
    <xf numFmtId="0" fontId="0" fillId="9" borderId="2" xfId="0" applyFill="1" applyBorder="1"/>
    <xf numFmtId="0" fontId="0" fillId="9" borderId="3" xfId="0" applyFill="1" applyBorder="1"/>
    <xf numFmtId="10" fontId="0" fillId="9" borderId="3" xfId="1" applyNumberFormat="1" applyFont="1" applyFill="1" applyBorder="1"/>
    <xf numFmtId="0" fontId="0" fillId="8" borderId="0" xfId="0" applyFill="1"/>
    <xf numFmtId="169" fontId="0" fillId="8" borderId="1" xfId="0" applyNumberFormat="1" applyFill="1" applyBorder="1"/>
    <xf numFmtId="169" fontId="0" fillId="8" borderId="3" xfId="0" applyNumberFormat="1" applyFill="1" applyBorder="1"/>
    <xf numFmtId="0" fontId="0" fillId="8" borderId="0" xfId="0" applyFill="1" applyAlignment="1">
      <alignment horizontal="center"/>
    </xf>
    <xf numFmtId="0" fontId="0" fillId="12" borderId="1" xfId="0" applyFill="1" applyBorder="1"/>
    <xf numFmtId="0" fontId="0" fillId="12" borderId="3" xfId="0" applyFill="1" applyBorder="1"/>
    <xf numFmtId="10" fontId="0" fillId="12" borderId="1" xfId="1" applyNumberFormat="1" applyFont="1" applyFill="1" applyBorder="1"/>
    <xf numFmtId="164" fontId="0" fillId="12" borderId="2" xfId="1" applyNumberFormat="1" applyFont="1" applyFill="1" applyBorder="1"/>
    <xf numFmtId="10" fontId="0" fillId="12" borderId="2" xfId="1" applyNumberFormat="1" applyFont="1" applyFill="1" applyBorder="1"/>
    <xf numFmtId="166" fontId="0" fillId="12" borderId="3" xfId="0" applyNumberFormat="1" applyFill="1" applyBorder="1"/>
    <xf numFmtId="10" fontId="0" fillId="12" borderId="4" xfId="1" applyNumberFormat="1" applyFont="1" applyFill="1" applyBorder="1"/>
    <xf numFmtId="0" fontId="0" fillId="12" borderId="8" xfId="0" applyFont="1" applyFill="1" applyBorder="1"/>
    <xf numFmtId="0" fontId="0" fillId="12" borderId="9" xfId="0" applyFill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3" fillId="5" borderId="2" xfId="0" applyFont="1" applyFill="1" applyBorder="1"/>
    <xf numFmtId="0" fontId="3" fillId="5" borderId="3" xfId="0" applyFont="1" applyFill="1" applyBorder="1"/>
    <xf numFmtId="0" fontId="3" fillId="5" borderId="1" xfId="0" applyFont="1" applyFill="1" applyBorder="1"/>
    <xf numFmtId="0" fontId="3" fillId="3" borderId="2" xfId="0" applyFont="1" applyFill="1" applyBorder="1"/>
    <xf numFmtId="10" fontId="3" fillId="12" borderId="1" xfId="1" applyNumberFormat="1" applyFont="1" applyFill="1" applyBorder="1"/>
    <xf numFmtId="10" fontId="3" fillId="12" borderId="2" xfId="1" applyNumberFormat="1" applyFont="1" applyFill="1" applyBorder="1"/>
    <xf numFmtId="10" fontId="3" fillId="12" borderId="3" xfId="1" applyNumberFormat="1" applyFont="1" applyFill="1" applyBorder="1"/>
    <xf numFmtId="9" fontId="3" fillId="5" borderId="5" xfId="1" applyFont="1" applyFill="1" applyBorder="1"/>
    <xf numFmtId="9" fontId="3" fillId="5" borderId="7" xfId="1" applyFont="1" applyFill="1" applyBorder="1"/>
    <xf numFmtId="165" fontId="3" fillId="12" borderId="2" xfId="0" applyNumberFormat="1" applyFont="1" applyFill="1" applyBorder="1"/>
    <xf numFmtId="0" fontId="5" fillId="12" borderId="4" xfId="0" applyFont="1" applyFill="1" applyBorder="1" applyAlignment="1">
      <alignment horizontal="center"/>
    </xf>
    <xf numFmtId="0" fontId="0" fillId="12" borderId="2" xfId="0" applyFill="1" applyBorder="1"/>
    <xf numFmtId="10" fontId="0" fillId="12" borderId="3" xfId="1" applyNumberFormat="1" applyFont="1" applyFill="1" applyBorder="1"/>
    <xf numFmtId="9" fontId="0" fillId="12" borderId="3" xfId="0" applyNumberFormat="1" applyFill="1" applyBorder="1"/>
    <xf numFmtId="0" fontId="6" fillId="0" borderId="0" xfId="0" applyFont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/>
    </xf>
    <xf numFmtId="10" fontId="0" fillId="11" borderId="2" xfId="1" applyNumberFormat="1" applyFont="1" applyFill="1" applyBorder="1"/>
    <xf numFmtId="10" fontId="5" fillId="11" borderId="2" xfId="1" applyNumberFormat="1" applyFont="1" applyFill="1" applyBorder="1"/>
    <xf numFmtId="0" fontId="0" fillId="11" borderId="2" xfId="0" applyFill="1" applyBorder="1"/>
    <xf numFmtId="10" fontId="5" fillId="11" borderId="3" xfId="1" applyNumberFormat="1" applyFont="1" applyFill="1" applyBorder="1"/>
    <xf numFmtId="10" fontId="5" fillId="12" borderId="2" xfId="1" applyNumberFormat="1" applyFont="1" applyFill="1" applyBorder="1"/>
    <xf numFmtId="10" fontId="5" fillId="12" borderId="3" xfId="1" applyNumberFormat="1" applyFont="1" applyFill="1" applyBorder="1"/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10" fontId="0" fillId="0" borderId="4" xfId="0" applyNumberFormat="1" applyBorder="1" applyAlignment="1">
      <alignment horizontal="center" vertical="center"/>
    </xf>
    <xf numFmtId="10" fontId="0" fillId="0" borderId="1" xfId="0" applyNumberFormat="1" applyBorder="1"/>
    <xf numFmtId="10" fontId="0" fillId="0" borderId="3" xfId="0" applyNumberFormat="1" applyBorder="1"/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70" fontId="0" fillId="9" borderId="3" xfId="0" applyNumberFormat="1" applyFill="1" applyBorder="1"/>
    <xf numFmtId="0" fontId="0" fillId="8" borderId="4" xfId="0" applyFill="1" applyBorder="1"/>
    <xf numFmtId="170" fontId="0" fillId="11" borderId="1" xfId="0" applyNumberFormat="1" applyFill="1" applyBorder="1"/>
    <xf numFmtId="170" fontId="0" fillId="11" borderId="2" xfId="0" applyNumberFormat="1" applyFill="1" applyBorder="1"/>
    <xf numFmtId="166" fontId="0" fillId="9" borderId="4" xfId="0" applyNumberFormat="1" applyFill="1" applyBorder="1"/>
    <xf numFmtId="0" fontId="0" fillId="11" borderId="1" xfId="0" applyFill="1" applyBorder="1"/>
    <xf numFmtId="0" fontId="0" fillId="11" borderId="3" xfId="0" applyFill="1" applyBorder="1"/>
    <xf numFmtId="2" fontId="0" fillId="8" borderId="1" xfId="0" applyNumberFormat="1" applyFill="1" applyBorder="1"/>
    <xf numFmtId="2" fontId="0" fillId="8" borderId="3" xfId="0" applyNumberFormat="1" applyFill="1" applyBorder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zoomScale="130" zoomScaleNormal="130" workbookViewId="0">
      <selection activeCell="E17" sqref="E17"/>
    </sheetView>
  </sheetViews>
  <sheetFormatPr baseColWidth="10" defaultColWidth="11.42578125" defaultRowHeight="12.75" x14ac:dyDescent="0.2"/>
  <cols>
    <col min="1" max="1" width="21" customWidth="1"/>
    <col min="2" max="2" width="12.7109375" bestFit="1" customWidth="1"/>
    <col min="3" max="4" width="11.85546875" bestFit="1" customWidth="1"/>
  </cols>
  <sheetData>
    <row r="1" spans="1: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 x14ac:dyDescent="0.2">
      <c r="A2" s="2" t="s">
        <v>5</v>
      </c>
      <c r="B2" s="7">
        <v>0.2</v>
      </c>
      <c r="C2" s="8">
        <v>0.2</v>
      </c>
      <c r="D2" s="8">
        <v>0.09</v>
      </c>
      <c r="E2" s="19">
        <f>C2*$B$11+D2*B12</f>
        <v>0.14500000000000002</v>
      </c>
    </row>
    <row r="3" spans="1:5" x14ac:dyDescent="0.2">
      <c r="A3" s="3" t="s">
        <v>6</v>
      </c>
      <c r="B3" s="5">
        <v>0.5</v>
      </c>
      <c r="C3" s="9">
        <v>0.16</v>
      </c>
      <c r="D3" s="11">
        <v>7.0000000000000007E-2</v>
      </c>
      <c r="E3" s="20">
        <f>C3*B11+D3*B12</f>
        <v>0.115</v>
      </c>
    </row>
    <row r="4" spans="1:5" x14ac:dyDescent="0.2">
      <c r="A4" s="4" t="s">
        <v>7</v>
      </c>
      <c r="B4" s="6">
        <f>1-B2-B3</f>
        <v>0.30000000000000004</v>
      </c>
      <c r="C4" s="10">
        <v>-0.04</v>
      </c>
      <c r="D4" s="10">
        <v>0.06</v>
      </c>
      <c r="E4" s="21">
        <f>C4*B11+D4*B12</f>
        <v>9.9999999999999985E-3</v>
      </c>
    </row>
    <row r="6" spans="1:5" x14ac:dyDescent="0.2">
      <c r="A6" s="13" t="s">
        <v>8</v>
      </c>
      <c r="C6" s="18">
        <f>B2*C2+B3*C3+B4*C4</f>
        <v>0.10800000000000001</v>
      </c>
      <c r="D6" s="18">
        <f>D2*B2+B3*D3+B4*D4</f>
        <v>7.1000000000000008E-2</v>
      </c>
      <c r="E6" s="18">
        <f>B2*E2+B3*E3+B4*E4</f>
        <v>8.950000000000001E-2</v>
      </c>
    </row>
    <row r="7" spans="1:5" x14ac:dyDescent="0.2">
      <c r="A7" s="14" t="s">
        <v>9</v>
      </c>
      <c r="C7" s="16">
        <f>((B2*(C2-C6)^2+B3*(C3-C6)^2+B4*(C4-C6)^2))^0.5</f>
        <v>9.8061205377050112E-2</v>
      </c>
      <c r="D7" s="16">
        <f>((B2*(D2-D6)^2+B3*(D3-D6)^2+B4*(D4-D6)^2))^0.5</f>
        <v>1.0440306508910549E-2</v>
      </c>
      <c r="E7" s="16">
        <f>E8^0.5</f>
        <v>5.3265842713694125E-2</v>
      </c>
    </row>
    <row r="8" spans="1:5" x14ac:dyDescent="0.2">
      <c r="A8" s="14" t="s">
        <v>10</v>
      </c>
      <c r="C8" s="24">
        <f>C7^2</f>
        <v>9.6160000000000013E-3</v>
      </c>
      <c r="D8" s="24">
        <f>D7^2</f>
        <v>1.0899999999999998E-4</v>
      </c>
      <c r="E8" s="25">
        <f>(E2-E6)^2*B2+(E3-E6)^2*B3+(E4-E6)^2*B4</f>
        <v>2.8372500000000012E-3</v>
      </c>
    </row>
    <row r="9" spans="1:5" x14ac:dyDescent="0.2">
      <c r="A9" s="15" t="s">
        <v>11</v>
      </c>
      <c r="C9" s="23">
        <f>B2*(C2-C6)*(D2-D6)+B3*(C3-C6)*(D3-D6)+B4*(C4-C6)*(D4-D6)</f>
        <v>8.1200000000000033E-4</v>
      </c>
      <c r="D9" s="17"/>
    </row>
    <row r="11" spans="1:5" x14ac:dyDescent="0.2">
      <c r="A11" s="13" t="s">
        <v>12</v>
      </c>
      <c r="B11" s="87">
        <v>0.5</v>
      </c>
    </row>
    <row r="12" spans="1:5" x14ac:dyDescent="0.2">
      <c r="A12" s="15" t="s">
        <v>13</v>
      </c>
      <c r="B12" s="88">
        <f>1-B11</f>
        <v>0.5</v>
      </c>
    </row>
    <row r="14" spans="1:5" x14ac:dyDescent="0.2">
      <c r="A14" s="13" t="s">
        <v>14</v>
      </c>
      <c r="B14" s="89">
        <f>C6*B11+D6*B12</f>
        <v>8.950000000000001E-2</v>
      </c>
    </row>
    <row r="15" spans="1:5" x14ac:dyDescent="0.2">
      <c r="A15" s="14" t="s">
        <v>15</v>
      </c>
      <c r="B15" s="90">
        <f>C7^2*B11^2+2*C9*B11*B12+D7^2*B12^2</f>
        <v>2.8372500000000004E-3</v>
      </c>
    </row>
    <row r="16" spans="1:5" x14ac:dyDescent="0.2">
      <c r="A16" s="14" t="s">
        <v>16</v>
      </c>
      <c r="B16" s="91">
        <f>B15^0.5</f>
        <v>5.3265842713694111E-2</v>
      </c>
    </row>
    <row r="17" spans="1:2" x14ac:dyDescent="0.2">
      <c r="A17" s="15" t="s">
        <v>17</v>
      </c>
      <c r="B17" s="92">
        <f>C9/(C7*D7)</f>
        <v>0.79313214701886403</v>
      </c>
    </row>
    <row r="19" spans="1:2" x14ac:dyDescent="0.2">
      <c r="A19" s="22" t="s">
        <v>18</v>
      </c>
      <c r="B19" s="93">
        <f>B11*C7+B12*D7</f>
        <v>5.425075594298033E-2</v>
      </c>
    </row>
    <row r="20" spans="1:2" x14ac:dyDescent="0.2">
      <c r="B20" s="1"/>
    </row>
    <row r="21" spans="1:2" x14ac:dyDescent="0.2">
      <c r="A21" s="94" t="s">
        <v>58</v>
      </c>
      <c r="B21" s="95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opLeftCell="A19" zoomScale="130" zoomScaleNormal="130" workbookViewId="0">
      <selection activeCell="E20" sqref="E20"/>
    </sheetView>
  </sheetViews>
  <sheetFormatPr baseColWidth="10" defaultColWidth="11.42578125" defaultRowHeight="12.75" x14ac:dyDescent="0.2"/>
  <cols>
    <col min="1" max="1" width="19.7109375" bestFit="1" customWidth="1"/>
    <col min="2" max="2" width="12.7109375" bestFit="1" customWidth="1"/>
    <col min="3" max="4" width="11.85546875" bestFit="1" customWidth="1"/>
  </cols>
  <sheetData>
    <row r="1" spans="1: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 x14ac:dyDescent="0.2">
      <c r="A2" s="2" t="s">
        <v>5</v>
      </c>
      <c r="B2" s="7">
        <v>0.25</v>
      </c>
      <c r="C2" s="8">
        <v>0.1</v>
      </c>
      <c r="D2" s="8">
        <v>0.15</v>
      </c>
      <c r="E2" s="19">
        <f>AVERAGE(C2:D2)</f>
        <v>0.125</v>
      </c>
    </row>
    <row r="3" spans="1:5" x14ac:dyDescent="0.2">
      <c r="A3" s="3" t="s">
        <v>6</v>
      </c>
      <c r="B3" s="5">
        <v>0.5</v>
      </c>
      <c r="C3" s="9">
        <v>0.2</v>
      </c>
      <c r="D3" s="11">
        <v>0.55000000000000004</v>
      </c>
      <c r="E3" s="20">
        <f>AVERAGE(C3:D3)</f>
        <v>0.375</v>
      </c>
    </row>
    <row r="4" spans="1:5" x14ac:dyDescent="0.2">
      <c r="A4" s="4" t="s">
        <v>7</v>
      </c>
      <c r="B4" s="6">
        <f>1-B2-B3</f>
        <v>0.25</v>
      </c>
      <c r="C4" s="10">
        <v>0.3</v>
      </c>
      <c r="D4" s="10">
        <v>-0.1</v>
      </c>
      <c r="E4" s="21">
        <f>AVERAGE(C4:D4)</f>
        <v>9.9999999999999992E-2</v>
      </c>
    </row>
    <row r="6" spans="1:5" x14ac:dyDescent="0.2">
      <c r="A6" s="13" t="s">
        <v>8</v>
      </c>
      <c r="C6" s="18">
        <f>B2*C2+B3*C3+B4*C4</f>
        <v>0.2</v>
      </c>
      <c r="D6" s="18">
        <f>D2*B2+B3*D3+B4*D4</f>
        <v>0.28749999999999998</v>
      </c>
      <c r="E6" s="18">
        <f>B2*E2+B3*E3+B4*E4</f>
        <v>0.24374999999999999</v>
      </c>
    </row>
    <row r="7" spans="1:5" x14ac:dyDescent="0.2">
      <c r="A7" s="14" t="s">
        <v>9</v>
      </c>
      <c r="C7" s="16">
        <f>((B2*(C2-C6)^2+B3*(C3-C6)^2+B4*(C4-C6)^2))^0.5</f>
        <v>7.0710678118654752E-2</v>
      </c>
      <c r="D7" s="16">
        <f>((B2*(D2-D6)^2+B3*(D3-D6)^2+B4*(D4-D6)^2))^0.5</f>
        <v>0.27698149757700424</v>
      </c>
      <c r="E7" s="16">
        <f>E8^0.5</f>
        <v>0.13154728237405741</v>
      </c>
    </row>
    <row r="8" spans="1:5" x14ac:dyDescent="0.2">
      <c r="A8" s="14" t="s">
        <v>10</v>
      </c>
      <c r="C8" s="24">
        <f>C7^2</f>
        <v>5.0000000000000001E-3</v>
      </c>
      <c r="D8" s="24">
        <f>D7^2</f>
        <v>7.6718750000000002E-2</v>
      </c>
      <c r="E8" s="25">
        <f>(E2-E6)^2*B2+(E3-E6)^2*B3+(E4-E6)^2*B4</f>
        <v>1.7304687499999999E-2</v>
      </c>
    </row>
    <row r="9" spans="1:5" x14ac:dyDescent="0.2">
      <c r="A9" s="15" t="s">
        <v>11</v>
      </c>
      <c r="C9" s="23">
        <f>B2*(C2-C6)*(D2-D6)+B3*(C3-C6)*(D3-D6)+B4*(C4-C6)*(D4-D6)</f>
        <v>-6.2499999999999969E-3</v>
      </c>
      <c r="D9" s="17"/>
    </row>
    <row r="11" spans="1:5" x14ac:dyDescent="0.2">
      <c r="A11" s="13" t="s">
        <v>12</v>
      </c>
      <c r="B11" s="87">
        <v>0.5</v>
      </c>
    </row>
    <row r="12" spans="1:5" x14ac:dyDescent="0.2">
      <c r="A12" s="15" t="s">
        <v>13</v>
      </c>
      <c r="B12" s="88">
        <f>1-B11</f>
        <v>0.5</v>
      </c>
    </row>
    <row r="14" spans="1:5" x14ac:dyDescent="0.2">
      <c r="A14" s="13" t="s">
        <v>14</v>
      </c>
      <c r="B14" s="89">
        <f>C6*B11+D6*B12</f>
        <v>0.24374999999999999</v>
      </c>
    </row>
    <row r="15" spans="1:5" x14ac:dyDescent="0.2">
      <c r="A15" s="14" t="s">
        <v>15</v>
      </c>
      <c r="B15" s="90">
        <f>C7^2*B11^2+2*C9*B11*B12+D7^2*B12^2</f>
        <v>1.7304687500000002E-2</v>
      </c>
    </row>
    <row r="16" spans="1:5" x14ac:dyDescent="0.2">
      <c r="A16" s="14" t="s">
        <v>16</v>
      </c>
      <c r="B16" s="91">
        <f>B15^0.5</f>
        <v>0.13154728237405744</v>
      </c>
    </row>
    <row r="17" spans="1:2" x14ac:dyDescent="0.2">
      <c r="A17" s="15" t="s">
        <v>17</v>
      </c>
      <c r="B17" s="92">
        <f>C9/(C7*D7)</f>
        <v>-0.31911282313630118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92F1-DC61-4859-9C1E-BE45272F698A}">
  <dimension ref="A1:D17"/>
  <sheetViews>
    <sheetView zoomScale="130" zoomScaleNormal="130" workbookViewId="0">
      <selection activeCell="D22" sqref="D22"/>
    </sheetView>
  </sheetViews>
  <sheetFormatPr baseColWidth="10" defaultColWidth="11.42578125" defaultRowHeight="12.75" x14ac:dyDescent="0.2"/>
  <cols>
    <col min="1" max="1" width="19.85546875" bestFit="1" customWidth="1"/>
    <col min="2" max="2" width="13.7109375" customWidth="1"/>
    <col min="3" max="3" width="16.28515625" customWidth="1"/>
    <col min="4" max="4" width="15.42578125" customWidth="1"/>
  </cols>
  <sheetData>
    <row r="1" spans="1:4" x14ac:dyDescent="0.2">
      <c r="A1" s="58" t="s">
        <v>19</v>
      </c>
      <c r="B1" s="62" t="s">
        <v>1</v>
      </c>
      <c r="C1" s="58" t="s">
        <v>20</v>
      </c>
      <c r="D1" s="58" t="s">
        <v>21</v>
      </c>
    </row>
    <row r="2" spans="1:4" x14ac:dyDescent="0.2">
      <c r="A2" s="59">
        <v>1</v>
      </c>
      <c r="B2" s="7">
        <v>0.25</v>
      </c>
      <c r="C2" s="8">
        <v>0.2</v>
      </c>
      <c r="D2" s="8">
        <v>0.2</v>
      </c>
    </row>
    <row r="3" spans="1:4" x14ac:dyDescent="0.2">
      <c r="A3" s="60">
        <v>2</v>
      </c>
      <c r="B3" s="5">
        <v>0.5</v>
      </c>
      <c r="C3" s="9">
        <v>0.3</v>
      </c>
      <c r="D3" s="11">
        <v>0.1</v>
      </c>
    </row>
    <row r="4" spans="1:4" x14ac:dyDescent="0.2">
      <c r="A4" s="61">
        <v>3</v>
      </c>
      <c r="B4" s="6">
        <f>1-B2-B3</f>
        <v>0.25</v>
      </c>
      <c r="C4" s="10">
        <v>0.35</v>
      </c>
      <c r="D4" s="10">
        <v>0.05</v>
      </c>
    </row>
    <row r="6" spans="1:4" x14ac:dyDescent="0.2">
      <c r="A6" s="13" t="s">
        <v>8</v>
      </c>
      <c r="C6" s="18">
        <f>B2*C2+B3*C3+B4*C4</f>
        <v>0.28749999999999998</v>
      </c>
      <c r="D6" s="18">
        <f>D2*B2+B3*D3+B4*D4</f>
        <v>0.1125</v>
      </c>
    </row>
    <row r="7" spans="1:4" x14ac:dyDescent="0.2">
      <c r="A7" s="14" t="s">
        <v>9</v>
      </c>
      <c r="C7" s="16">
        <f>((B2*(C2-C6)^2+B3*(C3-C6)^2+B4*(C4-C6)^2))^0.5</f>
        <v>5.4486236794258409E-2</v>
      </c>
      <c r="D7" s="16">
        <f>((B2*(D2-D6)^2+B3*(D3-D6)^2+B4*(D4-D6)^2))^0.5</f>
        <v>5.4486236794258423E-2</v>
      </c>
    </row>
    <row r="8" spans="1:4" x14ac:dyDescent="0.2">
      <c r="A8" s="14" t="s">
        <v>10</v>
      </c>
      <c r="C8" s="24">
        <f>C7^2</f>
        <v>2.9687499999999987E-3</v>
      </c>
      <c r="D8" s="24">
        <f>D7^2</f>
        <v>2.9687500000000005E-3</v>
      </c>
    </row>
    <row r="9" spans="1:4" x14ac:dyDescent="0.2">
      <c r="A9" s="15" t="s">
        <v>11</v>
      </c>
      <c r="C9" s="23">
        <f>B2*(C2-C6)*(D2-D6)+B3*(C3-C6)*(D3-D6)+B4*(C4-C6)*(D4-D6)</f>
        <v>-2.9687499999999996E-3</v>
      </c>
      <c r="D9" s="17"/>
    </row>
    <row r="11" spans="1:4" x14ac:dyDescent="0.2">
      <c r="A11" s="63" t="s">
        <v>22</v>
      </c>
      <c r="B11" s="87">
        <v>0.5</v>
      </c>
    </row>
    <row r="12" spans="1:4" x14ac:dyDescent="0.2">
      <c r="A12" s="64" t="s">
        <v>23</v>
      </c>
      <c r="B12" s="88">
        <f>1-B11</f>
        <v>0.5</v>
      </c>
    </row>
    <row r="14" spans="1:4" x14ac:dyDescent="0.2">
      <c r="A14" s="13" t="s">
        <v>14</v>
      </c>
      <c r="B14" s="89">
        <f>C6*B11+D6*B12</f>
        <v>0.19999999999999998</v>
      </c>
    </row>
    <row r="15" spans="1:4" x14ac:dyDescent="0.2">
      <c r="A15" s="14" t="s">
        <v>15</v>
      </c>
      <c r="B15" s="90">
        <f>C7^2*B11^2+2*C9*B11*B12+D7^2*B12^2</f>
        <v>0</v>
      </c>
    </row>
    <row r="16" spans="1:4" x14ac:dyDescent="0.2">
      <c r="A16" s="14" t="s">
        <v>16</v>
      </c>
      <c r="B16" s="91">
        <f>B15^0.5</f>
        <v>0</v>
      </c>
    </row>
    <row r="17" spans="1:2" x14ac:dyDescent="0.2">
      <c r="A17" s="15" t="s">
        <v>17</v>
      </c>
      <c r="B17" s="92">
        <f>C9/(C7*D7)</f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zoomScale="120" zoomScaleNormal="120" workbookViewId="0">
      <selection activeCell="E39" sqref="E39"/>
    </sheetView>
  </sheetViews>
  <sheetFormatPr baseColWidth="10" defaultColWidth="11.42578125" defaultRowHeight="12.75" x14ac:dyDescent="0.2"/>
  <cols>
    <col min="1" max="1" width="14.85546875" bestFit="1" customWidth="1"/>
  </cols>
  <sheetData>
    <row r="1" spans="1:8" x14ac:dyDescent="0.2">
      <c r="A1" s="96" t="s">
        <v>24</v>
      </c>
      <c r="B1" s="97" t="s">
        <v>25</v>
      </c>
      <c r="C1" s="97" t="s">
        <v>1</v>
      </c>
      <c r="D1" s="26"/>
      <c r="E1" s="26"/>
      <c r="F1" s="26"/>
      <c r="G1" s="26"/>
      <c r="H1" s="26"/>
    </row>
    <row r="2" spans="1:8" x14ac:dyDescent="0.2">
      <c r="A2" s="52" t="s">
        <v>26</v>
      </c>
      <c r="B2" s="31">
        <f>135/100-1</f>
        <v>0.35000000000000009</v>
      </c>
      <c r="C2" s="98">
        <v>0.6</v>
      </c>
      <c r="D2" s="26"/>
      <c r="E2" s="26"/>
      <c r="F2" s="26"/>
      <c r="G2" s="26"/>
      <c r="H2" s="26"/>
    </row>
    <row r="3" spans="1:8" x14ac:dyDescent="0.2">
      <c r="A3" s="54" t="s">
        <v>27</v>
      </c>
      <c r="B3" s="38">
        <f>90/100-1</f>
        <v>-9.9999999999999978E-2</v>
      </c>
      <c r="C3" s="99">
        <f>1-C2</f>
        <v>0.4</v>
      </c>
      <c r="D3" s="26"/>
      <c r="E3" s="26"/>
      <c r="F3" s="26"/>
      <c r="G3" s="26"/>
      <c r="H3" s="26"/>
    </row>
    <row r="4" spans="1:8" x14ac:dyDescent="0.2">
      <c r="A4" s="26"/>
      <c r="B4" s="27"/>
      <c r="C4" s="26"/>
      <c r="D4" s="26"/>
      <c r="E4" s="26"/>
      <c r="F4" s="26"/>
      <c r="G4" s="26"/>
      <c r="H4" s="26"/>
    </row>
    <row r="5" spans="1:8" x14ac:dyDescent="0.2">
      <c r="A5" s="96" t="s">
        <v>28</v>
      </c>
      <c r="B5" s="27"/>
      <c r="C5" s="26"/>
      <c r="D5" s="26"/>
      <c r="E5" s="26"/>
      <c r="F5" s="26"/>
      <c r="G5" s="26"/>
      <c r="H5" s="26"/>
    </row>
    <row r="6" spans="1:8" x14ac:dyDescent="0.2">
      <c r="A6" s="52" t="s">
        <v>29</v>
      </c>
      <c r="B6" s="105">
        <f>115/100-1</f>
        <v>0.14999999999999991</v>
      </c>
      <c r="C6" s="100">
        <v>0.6</v>
      </c>
      <c r="D6" s="26"/>
      <c r="E6" s="26"/>
      <c r="F6" s="26"/>
      <c r="G6" s="26"/>
      <c r="H6" s="26"/>
    </row>
    <row r="7" spans="1:8" x14ac:dyDescent="0.2">
      <c r="A7" s="54" t="s">
        <v>30</v>
      </c>
      <c r="B7" s="106">
        <f>100/100-1</f>
        <v>0</v>
      </c>
      <c r="C7" s="99">
        <f>1-C6</f>
        <v>0.4</v>
      </c>
      <c r="D7" s="26"/>
      <c r="E7" s="26"/>
      <c r="F7" s="26"/>
      <c r="G7" s="26"/>
      <c r="H7" s="26"/>
    </row>
    <row r="8" spans="1:8" x14ac:dyDescent="0.2">
      <c r="A8" s="26"/>
      <c r="B8" s="26"/>
      <c r="C8" s="26"/>
      <c r="D8" s="26"/>
      <c r="E8" s="26"/>
      <c r="F8" s="26"/>
      <c r="G8" s="26"/>
      <c r="H8" s="26"/>
    </row>
    <row r="9" spans="1:8" x14ac:dyDescent="0.2">
      <c r="A9" s="26"/>
      <c r="B9" s="26"/>
      <c r="C9" s="26"/>
      <c r="D9" s="26"/>
      <c r="E9" s="26"/>
      <c r="F9" s="26"/>
      <c r="G9" s="26"/>
      <c r="H9" s="26"/>
    </row>
    <row r="10" spans="1:8" x14ac:dyDescent="0.2">
      <c r="A10" s="45" t="s">
        <v>31</v>
      </c>
      <c r="B10" s="102">
        <f>B2*C2+B3*C3</f>
        <v>0.17000000000000004</v>
      </c>
      <c r="C10" s="26"/>
      <c r="D10" s="26"/>
      <c r="E10" s="26"/>
      <c r="F10" s="26"/>
      <c r="G10" s="26"/>
      <c r="H10" s="26"/>
    </row>
    <row r="11" spans="1:8" x14ac:dyDescent="0.2">
      <c r="A11" s="101" t="s">
        <v>32</v>
      </c>
      <c r="B11" s="103">
        <f>B6*C6+B7*C7</f>
        <v>8.9999999999999941E-2</v>
      </c>
      <c r="C11" s="26"/>
      <c r="D11" s="26"/>
      <c r="E11" s="26"/>
      <c r="F11" s="26"/>
      <c r="G11" s="26"/>
      <c r="H11" s="26"/>
    </row>
    <row r="12" spans="1:8" x14ac:dyDescent="0.2">
      <c r="A12" s="101" t="s">
        <v>33</v>
      </c>
      <c r="B12" s="103">
        <f>((B2-B10)^2*C2+(B3-B10)^ 2*C3)^0.5</f>
        <v>0.22045407685048607</v>
      </c>
      <c r="C12" s="26"/>
      <c r="D12" s="26"/>
      <c r="E12" s="26"/>
      <c r="F12" s="26"/>
      <c r="G12" s="26"/>
      <c r="H12" s="26"/>
    </row>
    <row r="13" spans="1:8" x14ac:dyDescent="0.2">
      <c r="A13" s="50" t="s">
        <v>34</v>
      </c>
      <c r="B13" s="104">
        <f>((B6-B11)^2*C6+(B7-B11)^2*C7)^0.5</f>
        <v>7.3484692283495301E-2</v>
      </c>
      <c r="C13" s="26"/>
      <c r="D13" s="26"/>
      <c r="E13" s="26"/>
      <c r="F13" s="26"/>
      <c r="G13" s="26"/>
      <c r="H13" s="26"/>
    </row>
    <row r="14" spans="1:8" x14ac:dyDescent="0.2">
      <c r="A14" s="26"/>
      <c r="B14" s="26"/>
      <c r="C14" s="26"/>
      <c r="D14" s="26"/>
      <c r="E14" s="26"/>
      <c r="F14" s="26"/>
      <c r="G14" s="26"/>
      <c r="H14" s="26"/>
    </row>
    <row r="15" spans="1:8" x14ac:dyDescent="0.2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8"/>
    </row>
    <row r="16" spans="1:8" x14ac:dyDescent="0.2">
      <c r="A16" s="29" t="s">
        <v>1</v>
      </c>
      <c r="B16" s="30" t="s">
        <v>2</v>
      </c>
      <c r="C16" s="30" t="s">
        <v>3</v>
      </c>
      <c r="D16" s="30" t="s">
        <v>31</v>
      </c>
      <c r="E16" s="30" t="s">
        <v>32</v>
      </c>
      <c r="F16" s="30" t="s">
        <v>35</v>
      </c>
      <c r="G16" s="30" t="s">
        <v>36</v>
      </c>
      <c r="H16" s="30"/>
    </row>
    <row r="17" spans="1:8" x14ac:dyDescent="0.2">
      <c r="A17" s="36">
        <v>0.3</v>
      </c>
      <c r="B17" s="31">
        <f>B2</f>
        <v>0.35000000000000009</v>
      </c>
      <c r="C17" s="31">
        <f>B6</f>
        <v>0.14999999999999991</v>
      </c>
      <c r="D17" s="32">
        <f>$B$10</f>
        <v>0.17000000000000004</v>
      </c>
      <c r="E17" s="33">
        <f>$B$11</f>
        <v>8.9999999999999941E-2</v>
      </c>
      <c r="F17" s="34">
        <f t="shared" ref="F17:G20" si="0">B17-D17</f>
        <v>0.18000000000000005</v>
      </c>
      <c r="G17" s="34">
        <f t="shared" si="0"/>
        <v>5.999999999999997E-2</v>
      </c>
      <c r="H17" s="35">
        <f>F17*G17*A17</f>
        <v>3.239999999999999E-3</v>
      </c>
    </row>
    <row r="18" spans="1:8" x14ac:dyDescent="0.2">
      <c r="A18" s="36">
        <v>0.3</v>
      </c>
      <c r="B18" s="31">
        <f>B2</f>
        <v>0.35000000000000009</v>
      </c>
      <c r="C18" s="31">
        <f>B7</f>
        <v>0</v>
      </c>
      <c r="D18" s="32">
        <f>$B$10</f>
        <v>0.17000000000000004</v>
      </c>
      <c r="E18" s="33">
        <f>$B$11</f>
        <v>8.9999999999999941E-2</v>
      </c>
      <c r="F18" s="34">
        <f t="shared" si="0"/>
        <v>0.18000000000000005</v>
      </c>
      <c r="G18" s="34">
        <f t="shared" si="0"/>
        <v>-8.9999999999999941E-2</v>
      </c>
      <c r="H18" s="35">
        <f>F18*G18*A18</f>
        <v>-4.8599999999999971E-3</v>
      </c>
    </row>
    <row r="19" spans="1:8" x14ac:dyDescent="0.2">
      <c r="A19" s="36">
        <v>0.3</v>
      </c>
      <c r="B19" s="31">
        <f>B3</f>
        <v>-9.9999999999999978E-2</v>
      </c>
      <c r="C19" s="31">
        <f>B6</f>
        <v>0.14999999999999991</v>
      </c>
      <c r="D19" s="32">
        <f>$B$10</f>
        <v>0.17000000000000004</v>
      </c>
      <c r="E19" s="33">
        <f>$B$11</f>
        <v>8.9999999999999941E-2</v>
      </c>
      <c r="F19" s="34">
        <f t="shared" si="0"/>
        <v>-0.27</v>
      </c>
      <c r="G19" s="34">
        <f t="shared" si="0"/>
        <v>5.999999999999997E-2</v>
      </c>
      <c r="H19" s="35">
        <f>F19*G19*A19</f>
        <v>-4.8599999999999971E-3</v>
      </c>
    </row>
    <row r="20" spans="1:8" x14ac:dyDescent="0.2">
      <c r="A20" s="37">
        <v>0.1</v>
      </c>
      <c r="B20" s="38">
        <f>B3</f>
        <v>-9.9999999999999978E-2</v>
      </c>
      <c r="C20" s="38">
        <f>B7</f>
        <v>0</v>
      </c>
      <c r="D20" s="39">
        <f>$B$10</f>
        <v>0.17000000000000004</v>
      </c>
      <c r="E20" s="40">
        <f>$B$11</f>
        <v>8.9999999999999941E-2</v>
      </c>
      <c r="F20" s="41">
        <f t="shared" si="0"/>
        <v>-0.27</v>
      </c>
      <c r="G20" s="41">
        <f t="shared" si="0"/>
        <v>-8.9999999999999941E-2</v>
      </c>
      <c r="H20" s="42">
        <f>F20*G20*A20</f>
        <v>2.4299999999999986E-3</v>
      </c>
    </row>
    <row r="21" spans="1:8" x14ac:dyDescent="0.2">
      <c r="A21" s="43"/>
      <c r="B21" s="44"/>
      <c r="C21" s="44"/>
      <c r="D21" s="26"/>
      <c r="E21" s="26"/>
      <c r="F21" s="26"/>
      <c r="G21" s="45" t="s">
        <v>37</v>
      </c>
      <c r="H21" s="46">
        <f>SUM(H17:H20)</f>
        <v>-4.0499999999999963E-3</v>
      </c>
    </row>
    <row r="22" spans="1:8" x14ac:dyDescent="0.2">
      <c r="A22" s="47" t="s">
        <v>38</v>
      </c>
      <c r="B22" s="48">
        <f>B10</f>
        <v>0.17000000000000004</v>
      </c>
      <c r="C22" s="49">
        <f>B11</f>
        <v>8.9999999999999941E-2</v>
      </c>
      <c r="D22" s="26"/>
      <c r="E22" s="26"/>
      <c r="F22" s="26"/>
      <c r="G22" s="50" t="s">
        <v>39</v>
      </c>
      <c r="H22" s="51">
        <f>H21/(B24*C24)</f>
        <v>-0.24999999999999989</v>
      </c>
    </row>
    <row r="23" spans="1:8" x14ac:dyDescent="0.2">
      <c r="A23" s="47" t="s">
        <v>10</v>
      </c>
      <c r="B23" s="52">
        <f>B12^2</f>
        <v>4.8600000000000018E-2</v>
      </c>
      <c r="C23" s="52">
        <f>B13^2</f>
        <v>5.3999999999999942E-3</v>
      </c>
      <c r="D23" s="26"/>
      <c r="E23" s="26"/>
      <c r="F23" s="26"/>
      <c r="G23" s="26"/>
      <c r="H23" s="26"/>
    </row>
    <row r="24" spans="1:8" x14ac:dyDescent="0.2">
      <c r="A24" s="47" t="s">
        <v>9</v>
      </c>
      <c r="B24" s="48">
        <f>B12</f>
        <v>0.22045407685048607</v>
      </c>
      <c r="C24" s="48">
        <f>B13</f>
        <v>7.3484692283495301E-2</v>
      </c>
      <c r="D24" s="26"/>
      <c r="E24" s="26"/>
      <c r="F24" s="26"/>
      <c r="G24" s="26"/>
      <c r="H24" s="26"/>
    </row>
    <row r="25" spans="1:8" x14ac:dyDescent="0.2">
      <c r="A25" s="47" t="s">
        <v>12</v>
      </c>
      <c r="B25" s="52">
        <v>0.35</v>
      </c>
      <c r="C25" s="52"/>
      <c r="D25" s="26"/>
      <c r="E25" s="26"/>
      <c r="F25" s="26"/>
      <c r="G25" s="26"/>
      <c r="H25" s="26"/>
    </row>
    <row r="26" spans="1:8" x14ac:dyDescent="0.2">
      <c r="A26" s="53" t="s">
        <v>13</v>
      </c>
      <c r="B26" s="54">
        <f>1-B25</f>
        <v>0.65</v>
      </c>
      <c r="C26" s="54"/>
      <c r="D26" s="26"/>
      <c r="E26" s="26"/>
      <c r="F26" s="26"/>
      <c r="G26" s="26"/>
      <c r="H26" s="26"/>
    </row>
    <row r="27" spans="1:8" x14ac:dyDescent="0.2">
      <c r="A27" s="55" t="s">
        <v>14</v>
      </c>
      <c r="B27" s="103">
        <f>B22*B25+C22*B26</f>
        <v>0.11799999999999997</v>
      </c>
      <c r="C27" s="26"/>
      <c r="D27" s="26"/>
      <c r="E27" s="26"/>
      <c r="F27" s="26"/>
      <c r="G27" s="26"/>
      <c r="H27" s="26"/>
    </row>
    <row r="28" spans="1:8" x14ac:dyDescent="0.2">
      <c r="A28" s="55" t="s">
        <v>15</v>
      </c>
      <c r="B28" s="107">
        <f>B25^2*B23+B26^2*C23+2*B25*B26*B24*C24*H22</f>
        <v>6.3922500000000012E-3</v>
      </c>
      <c r="C28" s="26"/>
      <c r="D28" s="26"/>
      <c r="E28" s="26"/>
      <c r="F28" s="26"/>
      <c r="G28" s="26"/>
      <c r="H28" s="26"/>
    </row>
    <row r="29" spans="1:8" x14ac:dyDescent="0.2">
      <c r="A29" s="56" t="s">
        <v>9</v>
      </c>
      <c r="B29" s="104">
        <f>B28^0.5</f>
        <v>7.995154782741859E-2</v>
      </c>
      <c r="C29" s="26"/>
      <c r="D29" s="26"/>
      <c r="E29" s="26"/>
      <c r="F29" s="26"/>
      <c r="G29" s="26"/>
      <c r="H29" s="26"/>
    </row>
    <row r="30" spans="1:8" x14ac:dyDescent="0.2">
      <c r="A30" s="26"/>
      <c r="B30" s="26"/>
      <c r="C30" s="26"/>
      <c r="D30" s="26"/>
      <c r="E30" s="26"/>
      <c r="F30" s="26"/>
      <c r="G30" s="26"/>
      <c r="H30" s="26"/>
    </row>
    <row r="31" spans="1:8" x14ac:dyDescent="0.2">
      <c r="A31" s="26"/>
      <c r="B31" s="26"/>
      <c r="C31" s="26"/>
      <c r="D31" s="26"/>
      <c r="E31" s="26"/>
      <c r="F31" s="26"/>
      <c r="G31" s="26"/>
      <c r="H31" s="26"/>
    </row>
    <row r="32" spans="1:8" x14ac:dyDescent="0.2">
      <c r="A32" s="45" t="s">
        <v>40</v>
      </c>
      <c r="B32" s="65">
        <f>(C23-H21)/(B23+C23-2*H21)</f>
        <v>0.15217391304347808</v>
      </c>
      <c r="C32" s="26"/>
      <c r="D32" s="26"/>
      <c r="E32" s="57"/>
      <c r="F32" s="26"/>
      <c r="G32" s="26"/>
      <c r="H32" s="26"/>
    </row>
    <row r="33" spans="1:8" x14ac:dyDescent="0.2">
      <c r="A33" s="50" t="s">
        <v>41</v>
      </c>
      <c r="B33" s="66">
        <f>1-B32</f>
        <v>0.84782608695652195</v>
      </c>
      <c r="C33" s="26"/>
      <c r="D33" s="26"/>
      <c r="E33" s="26"/>
      <c r="F33" s="26"/>
      <c r="G33" s="26"/>
      <c r="H33" s="26"/>
    </row>
    <row r="34" spans="1:8" x14ac:dyDescent="0.2">
      <c r="A34" s="26"/>
      <c r="B34" s="26"/>
      <c r="C34" s="26"/>
      <c r="D34" s="26"/>
      <c r="E34" s="26"/>
      <c r="F34" s="26"/>
      <c r="G34" s="26"/>
      <c r="H34" s="26"/>
    </row>
    <row r="35" spans="1:8" x14ac:dyDescent="0.2">
      <c r="A35" s="45" t="s">
        <v>14</v>
      </c>
      <c r="B35" s="67">
        <f>B32*B22+C22*B33</f>
        <v>0.10217391304347821</v>
      </c>
      <c r="C35" s="26"/>
      <c r="D35" s="26"/>
      <c r="E35" s="26"/>
      <c r="F35" s="26"/>
      <c r="G35" s="26"/>
      <c r="H35" s="26"/>
    </row>
    <row r="36" spans="1:8" x14ac:dyDescent="0.2">
      <c r="A36" s="50" t="s">
        <v>9</v>
      </c>
      <c r="B36" s="68">
        <f>(B32^2*B23+B33^2*C23+2*B32*B33*H21)^0.5</f>
        <v>6.2944074556221155E-2</v>
      </c>
      <c r="C36" s="26"/>
      <c r="D36" s="26"/>
      <c r="E36" s="26"/>
      <c r="F36" s="26"/>
      <c r="G36" s="26"/>
      <c r="H36" s="26"/>
    </row>
  </sheetData>
  <phoneticPr fontId="3" type="noConversion"/>
  <pageMargins left="0.75" right="0.75" top="1" bottom="1" header="0.5" footer="0.5"/>
  <headerFooter alignWithMargins="0"/>
  <ignoredErrors>
    <ignoredError sqref="B23:C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"/>
  <sheetViews>
    <sheetView workbookViewId="0">
      <selection activeCell="I18" sqref="I18"/>
    </sheetView>
  </sheetViews>
  <sheetFormatPr baseColWidth="10" defaultColWidth="9.140625" defaultRowHeight="12.75" x14ac:dyDescent="0.2"/>
  <cols>
    <col min="1" max="1" width="19.85546875" bestFit="1" customWidth="1"/>
    <col min="2" max="2" width="17.5703125" bestFit="1" customWidth="1"/>
    <col min="3" max="3" width="17.42578125" bestFit="1" customWidth="1"/>
    <col min="4" max="4" width="13.42578125" bestFit="1" customWidth="1"/>
  </cols>
  <sheetData>
    <row r="1" spans="1:4" ht="15" x14ac:dyDescent="0.25">
      <c r="A1" s="108" t="s">
        <v>19</v>
      </c>
      <c r="B1" s="108" t="s">
        <v>42</v>
      </c>
      <c r="C1" s="108" t="s">
        <v>43</v>
      </c>
      <c r="D1" s="108" t="s">
        <v>1</v>
      </c>
    </row>
    <row r="2" spans="1:4" x14ac:dyDescent="0.2">
      <c r="A2" s="60">
        <v>1</v>
      </c>
      <c r="B2" s="60">
        <v>0.08</v>
      </c>
      <c r="C2" s="60">
        <v>0.14000000000000001</v>
      </c>
      <c r="D2" s="60">
        <v>0.25</v>
      </c>
    </row>
    <row r="3" spans="1:4" x14ac:dyDescent="0.2">
      <c r="A3" s="60">
        <v>2</v>
      </c>
      <c r="B3" s="60">
        <v>0.05</v>
      </c>
      <c r="C3" s="60">
        <v>0.17</v>
      </c>
      <c r="D3" s="60">
        <f>D2</f>
        <v>0.25</v>
      </c>
    </row>
    <row r="4" spans="1:4" x14ac:dyDescent="0.2">
      <c r="A4" s="60">
        <v>3</v>
      </c>
      <c r="B4" s="60">
        <v>0.08</v>
      </c>
      <c r="C4" s="60">
        <v>0.14000000000000001</v>
      </c>
      <c r="D4" s="60">
        <f>D3</f>
        <v>0.25</v>
      </c>
    </row>
    <row r="5" spans="1:4" x14ac:dyDescent="0.2">
      <c r="A5" s="61">
        <v>4</v>
      </c>
      <c r="B5" s="61">
        <v>0.12</v>
      </c>
      <c r="C5" s="6">
        <v>0.1</v>
      </c>
      <c r="D5" s="61">
        <f>D4</f>
        <v>0.25</v>
      </c>
    </row>
    <row r="6" spans="1:4" x14ac:dyDescent="0.2">
      <c r="A6" s="69"/>
      <c r="B6" s="69"/>
      <c r="C6" s="69"/>
      <c r="D6" s="69"/>
    </row>
    <row r="7" spans="1:4" x14ac:dyDescent="0.2">
      <c r="A7" s="70" t="s">
        <v>31</v>
      </c>
      <c r="B7" s="89">
        <f>B2*D2+B3*D3+B4*D4+B5*D5</f>
        <v>8.2500000000000004E-2</v>
      </c>
      <c r="D7" s="112" t="s">
        <v>59</v>
      </c>
    </row>
    <row r="8" spans="1:4" x14ac:dyDescent="0.2">
      <c r="A8" s="71" t="s">
        <v>44</v>
      </c>
      <c r="B8" s="109">
        <f>(B2-B7)^2*D2+(B3-B7)^2*D3+(B4-B7)^2*D4+(B5-B7)^2*D5</f>
        <v>6.1874999999999983E-4</v>
      </c>
      <c r="D8" s="112"/>
    </row>
    <row r="9" spans="1:4" x14ac:dyDescent="0.2">
      <c r="A9" s="72" t="s">
        <v>45</v>
      </c>
      <c r="B9" s="110">
        <f>B8^0.5</f>
        <v>2.4874685927665497E-2</v>
      </c>
      <c r="D9" s="112"/>
    </row>
    <row r="10" spans="1:4" x14ac:dyDescent="0.2">
      <c r="D10" s="112"/>
    </row>
    <row r="11" spans="1:4" x14ac:dyDescent="0.2">
      <c r="A11" s="73" t="s">
        <v>32</v>
      </c>
      <c r="B11" s="74">
        <f>C2*D2+C3*D3+C4*D4+C5*D5</f>
        <v>0.13750000000000001</v>
      </c>
      <c r="D11" s="112" t="s">
        <v>59</v>
      </c>
    </row>
    <row r="12" spans="1:4" x14ac:dyDescent="0.2">
      <c r="A12" s="75" t="s">
        <v>46</v>
      </c>
      <c r="B12" s="75">
        <f>(C2-B11)^2*D2+(C3-B11)^2*D3+(C4-B11)^2*D4+(C5-B11)^2*D5</f>
        <v>6.1875000000000016E-4</v>
      </c>
      <c r="D12" s="112"/>
    </row>
    <row r="13" spans="1:4" x14ac:dyDescent="0.2">
      <c r="A13" s="76" t="s">
        <v>47</v>
      </c>
      <c r="B13" s="77">
        <f>B12^0.5</f>
        <v>2.4874685927665501E-2</v>
      </c>
      <c r="D13" s="112"/>
    </row>
    <row r="14" spans="1:4" x14ac:dyDescent="0.2">
      <c r="D14" s="112"/>
    </row>
    <row r="15" spans="1:4" x14ac:dyDescent="0.2">
      <c r="A15" s="73" t="s">
        <v>11</v>
      </c>
      <c r="B15" s="84">
        <f>(B2-B7)*(C2-B11)*D2+(B3-B7)*(C3-B11)*D3+(B4-B7)*(C4-B11)*D4+(B5-B7)*(C5-B11)*D5</f>
        <v>-6.1874999999999994E-4</v>
      </c>
      <c r="D15" s="112"/>
    </row>
    <row r="16" spans="1:4" x14ac:dyDescent="0.2">
      <c r="A16" s="76" t="s">
        <v>48</v>
      </c>
      <c r="B16" s="85">
        <f>B15/(B9*B13)</f>
        <v>-1</v>
      </c>
      <c r="D16" s="112"/>
    </row>
    <row r="17" spans="1:4" x14ac:dyDescent="0.2">
      <c r="D17" s="112"/>
    </row>
    <row r="18" spans="1:4" x14ac:dyDescent="0.2">
      <c r="A18" s="70" t="s">
        <v>40</v>
      </c>
      <c r="B18" s="87">
        <f>(B12-B15)/(B8+B12-2*B15)</f>
        <v>0.50000000000000011</v>
      </c>
      <c r="D18" s="112" t="s">
        <v>60</v>
      </c>
    </row>
    <row r="19" spans="1:4" x14ac:dyDescent="0.2">
      <c r="A19" s="72" t="s">
        <v>41</v>
      </c>
      <c r="B19" s="88">
        <f>1-B18</f>
        <v>0.49999999999999989</v>
      </c>
      <c r="D19" s="112"/>
    </row>
    <row r="20" spans="1:4" x14ac:dyDescent="0.2">
      <c r="D20" s="112"/>
    </row>
    <row r="21" spans="1:4" x14ac:dyDescent="0.2">
      <c r="A21" s="78" t="s">
        <v>49</v>
      </c>
      <c r="B21" s="79">
        <f>B18*B7+B19*B11</f>
        <v>0.11</v>
      </c>
      <c r="D21" s="112" t="s">
        <v>61</v>
      </c>
    </row>
    <row r="22" spans="1:4" x14ac:dyDescent="0.2">
      <c r="A22" s="80" t="s">
        <v>10</v>
      </c>
      <c r="B22" s="80">
        <f>B18^2*B8+B19^2*B12+2*B18*B19*B15</f>
        <v>0</v>
      </c>
      <c r="D22" s="112"/>
    </row>
    <row r="23" spans="1:4" x14ac:dyDescent="0.2">
      <c r="A23" s="81" t="s">
        <v>50</v>
      </c>
      <c r="B23" s="82">
        <f>B22^0.5</f>
        <v>0</v>
      </c>
      <c r="D23" s="112"/>
    </row>
    <row r="24" spans="1:4" x14ac:dyDescent="0.2">
      <c r="D24" s="112"/>
    </row>
    <row r="25" spans="1:4" x14ac:dyDescent="0.2">
      <c r="A25" s="78" t="s">
        <v>51</v>
      </c>
      <c r="B25" s="87">
        <v>0.5</v>
      </c>
      <c r="D25" s="112"/>
    </row>
    <row r="26" spans="1:4" x14ac:dyDescent="0.2">
      <c r="A26" s="81" t="s">
        <v>52</v>
      </c>
      <c r="B26" s="111">
        <v>0.03</v>
      </c>
      <c r="D26" s="112"/>
    </row>
    <row r="27" spans="1:4" x14ac:dyDescent="0.2">
      <c r="D27" s="112"/>
    </row>
    <row r="28" spans="1:4" x14ac:dyDescent="0.2">
      <c r="A28" s="78" t="s">
        <v>49</v>
      </c>
      <c r="B28" s="89">
        <f>(1-B25)*B11+B25*B26</f>
        <v>8.3750000000000005E-2</v>
      </c>
      <c r="D28" s="112" t="s">
        <v>62</v>
      </c>
    </row>
    <row r="29" spans="1:4" x14ac:dyDescent="0.2">
      <c r="A29" s="81" t="s">
        <v>9</v>
      </c>
      <c r="B29" s="110">
        <f>(1-B28)*B13</f>
        <v>2.2791430981223514E-2</v>
      </c>
      <c r="D29" s="1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A2CD-AE5B-4E99-B733-E328DE9C6BF1}">
  <dimension ref="A1:E33"/>
  <sheetViews>
    <sheetView tabSelected="1" zoomScale="130" zoomScaleNormal="130" workbookViewId="0">
      <selection activeCell="F19" sqref="F19"/>
    </sheetView>
  </sheetViews>
  <sheetFormatPr baseColWidth="10" defaultColWidth="11.42578125" defaultRowHeight="12.75" x14ac:dyDescent="0.2"/>
  <cols>
    <col min="1" max="1" width="14.5703125" customWidth="1"/>
  </cols>
  <sheetData>
    <row r="1" spans="1:5" ht="15" x14ac:dyDescent="0.25">
      <c r="A1" s="113" t="s">
        <v>53</v>
      </c>
      <c r="B1" s="83">
        <v>100</v>
      </c>
      <c r="C1" s="86" t="s">
        <v>54</v>
      </c>
      <c r="D1" s="83"/>
      <c r="E1" s="114" t="s">
        <v>25</v>
      </c>
    </row>
    <row r="2" spans="1:5" x14ac:dyDescent="0.2">
      <c r="A2" s="109" t="s">
        <v>55</v>
      </c>
      <c r="B2">
        <v>140</v>
      </c>
      <c r="C2">
        <v>0.6</v>
      </c>
      <c r="E2" s="115">
        <f>B2/B1-1</f>
        <v>0.39999999999999991</v>
      </c>
    </row>
    <row r="3" spans="1:5" x14ac:dyDescent="0.2">
      <c r="A3" s="109" t="s">
        <v>56</v>
      </c>
      <c r="B3">
        <v>80</v>
      </c>
      <c r="C3">
        <f>1-C2</f>
        <v>0.4</v>
      </c>
      <c r="E3" s="115">
        <f>B3/B1-1</f>
        <v>-0.19999999999999996</v>
      </c>
    </row>
    <row r="4" spans="1:5" ht="15" x14ac:dyDescent="0.25">
      <c r="A4" s="109" t="s">
        <v>49</v>
      </c>
      <c r="E4" s="116">
        <f>C2*E2+C3*E3</f>
        <v>0.15999999999999995</v>
      </c>
    </row>
    <row r="5" spans="1:5" x14ac:dyDescent="0.2">
      <c r="A5" s="109" t="s">
        <v>10</v>
      </c>
      <c r="E5" s="117">
        <f>(E2-E4)^2*C2+(E3-E4)^2*C3</f>
        <v>8.6399999999999949E-2</v>
      </c>
    </row>
    <row r="6" spans="1:5" ht="15" x14ac:dyDescent="0.25">
      <c r="A6" s="88" t="s">
        <v>9</v>
      </c>
      <c r="E6" s="118">
        <f>SQRT(E5)</f>
        <v>0.29393876913398126</v>
      </c>
    </row>
    <row r="8" spans="1:5" ht="15" x14ac:dyDescent="0.25">
      <c r="A8" s="113" t="s">
        <v>57</v>
      </c>
      <c r="B8" s="83">
        <v>100</v>
      </c>
      <c r="C8" s="86" t="s">
        <v>54</v>
      </c>
      <c r="D8" s="83"/>
      <c r="E8" s="114" t="s">
        <v>25</v>
      </c>
    </row>
    <row r="9" spans="1:5" x14ac:dyDescent="0.2">
      <c r="A9" s="109" t="s">
        <v>55</v>
      </c>
      <c r="B9">
        <v>130</v>
      </c>
      <c r="C9">
        <v>0.6</v>
      </c>
      <c r="E9" s="91">
        <f>B9/B8-1</f>
        <v>0.30000000000000004</v>
      </c>
    </row>
    <row r="10" spans="1:5" x14ac:dyDescent="0.2">
      <c r="A10" s="109" t="s">
        <v>56</v>
      </c>
      <c r="B10">
        <v>90</v>
      </c>
      <c r="C10">
        <f>1-C9</f>
        <v>0.4</v>
      </c>
      <c r="E10" s="91">
        <f>B10/B8-1</f>
        <v>-9.9999999999999978E-2</v>
      </c>
    </row>
    <row r="11" spans="1:5" ht="15" x14ac:dyDescent="0.25">
      <c r="A11" s="109" t="s">
        <v>49</v>
      </c>
      <c r="E11" s="119">
        <f>C9*E9+C10*E10</f>
        <v>0.14000000000000001</v>
      </c>
    </row>
    <row r="12" spans="1:5" x14ac:dyDescent="0.2">
      <c r="A12" s="109" t="s">
        <v>10</v>
      </c>
      <c r="E12" s="109">
        <f>(E9-E11)^2*C9+(E10-E11)^2*C10</f>
        <v>3.8400000000000004E-2</v>
      </c>
    </row>
    <row r="13" spans="1:5" ht="15" x14ac:dyDescent="0.25">
      <c r="A13" s="88" t="s">
        <v>9</v>
      </c>
      <c r="E13" s="120">
        <f>SQRT(E12)</f>
        <v>0.19595917942265426</v>
      </c>
    </row>
    <row r="15" spans="1:5" x14ac:dyDescent="0.2">
      <c r="B15" s="121" t="s">
        <v>24</v>
      </c>
      <c r="C15" s="122"/>
    </row>
    <row r="16" spans="1:5" x14ac:dyDescent="0.2">
      <c r="B16" s="123">
        <f>E2</f>
        <v>0.39999999999999991</v>
      </c>
      <c r="C16" s="123">
        <f>E3</f>
        <v>-0.19999999999999996</v>
      </c>
    </row>
    <row r="17" spans="1:3" x14ac:dyDescent="0.2">
      <c r="A17" s="124">
        <f>E9</f>
        <v>0.30000000000000004</v>
      </c>
      <c r="B17" s="128">
        <v>0.36</v>
      </c>
      <c r="C17" s="126">
        <v>0.24</v>
      </c>
    </row>
    <row r="18" spans="1:3" x14ac:dyDescent="0.2">
      <c r="A18" s="125">
        <f>E10</f>
        <v>-9.9999999999999978E-2</v>
      </c>
      <c r="B18" s="129">
        <v>0.24</v>
      </c>
      <c r="C18" s="127">
        <v>0.16</v>
      </c>
    </row>
    <row r="20" spans="1:3" x14ac:dyDescent="0.2">
      <c r="A20" s="131" t="s">
        <v>11</v>
      </c>
      <c r="B20" s="132">
        <f>(B16-E4)*(A17-E11)*B17</f>
        <v>1.3824000000000001E-2</v>
      </c>
    </row>
    <row r="21" spans="1:3" x14ac:dyDescent="0.2">
      <c r="B21" s="133">
        <f>(C16-E4)*(A17-E11)*C17</f>
        <v>-1.3823999999999998E-2</v>
      </c>
    </row>
    <row r="22" spans="1:3" x14ac:dyDescent="0.2">
      <c r="B22" s="117">
        <f>(B16-E4)*(A18-E11)*B18</f>
        <v>-1.3823999999999998E-2</v>
      </c>
    </row>
    <row r="23" spans="1:3" x14ac:dyDescent="0.2">
      <c r="B23" s="117">
        <f>(C16-E4)*(A18-E11)*C18</f>
        <v>1.3823999999999994E-2</v>
      </c>
    </row>
    <row r="24" spans="1:3" x14ac:dyDescent="0.2">
      <c r="B24" s="130">
        <f>SUM(B20:B23)</f>
        <v>0</v>
      </c>
    </row>
    <row r="26" spans="1:3" x14ac:dyDescent="0.2">
      <c r="A26" s="131" t="s">
        <v>48</v>
      </c>
      <c r="B26" s="134">
        <f>B24/(E6*E13)</f>
        <v>0</v>
      </c>
    </row>
    <row r="28" spans="1:3" x14ac:dyDescent="0.2">
      <c r="A28" s="135" t="s">
        <v>40</v>
      </c>
      <c r="B28" s="137">
        <f>E12/(E5+E12)</f>
        <v>0.30769230769230782</v>
      </c>
    </row>
    <row r="29" spans="1:3" x14ac:dyDescent="0.2">
      <c r="A29" s="136" t="s">
        <v>41</v>
      </c>
      <c r="B29" s="138">
        <f>1-B28</f>
        <v>0.69230769230769218</v>
      </c>
    </row>
    <row r="31" spans="1:3" x14ac:dyDescent="0.2">
      <c r="A31" s="78" t="s">
        <v>49</v>
      </c>
      <c r="B31" s="74">
        <f>B28*E4+E11*B29</f>
        <v>0.14615384615384616</v>
      </c>
    </row>
    <row r="32" spans="1:3" x14ac:dyDescent="0.2">
      <c r="A32" s="80" t="s">
        <v>10</v>
      </c>
      <c r="B32" s="75">
        <f>B28^2*E5+B29^2*E12+2*B28*B29*B24</f>
        <v>2.6584615384615384E-2</v>
      </c>
    </row>
    <row r="33" spans="1:2" x14ac:dyDescent="0.2">
      <c r="A33" s="81" t="s">
        <v>9</v>
      </c>
      <c r="B33" s="77">
        <f>SQRT(B32)</f>
        <v>0.16304789291682178</v>
      </c>
    </row>
  </sheetData>
  <mergeCells count="1"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 1</vt:lpstr>
      <vt:lpstr>Opp 2</vt:lpstr>
      <vt:lpstr>Opp 3</vt:lpstr>
      <vt:lpstr>Opp 4</vt:lpstr>
      <vt:lpstr>Opp 5</vt:lpstr>
      <vt:lpstr>Opp 6</vt:lpstr>
    </vt:vector>
  </TitlesOfParts>
  <Manager/>
  <Company>NKS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1999-07-07T18:19:37Z</dcterms:created>
  <dcterms:modified xsi:type="dcterms:W3CDTF">2023-06-23T08:01:58Z</dcterms:modified>
  <cp:category/>
  <cp:contentStatus/>
</cp:coreProperties>
</file>