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Documents\Mine dokumenter\Lærebok finans\7. utgave\Excel løsninger\"/>
    </mc:Choice>
  </mc:AlternateContent>
  <xr:revisionPtr revIDLastSave="0" documentId="8_{C8065FC3-08F3-44C1-962B-4F56E32C1171}" xr6:coauthVersionLast="47" xr6:coauthVersionMax="47" xr10:uidLastSave="{00000000-0000-0000-0000-000000000000}"/>
  <bookViews>
    <workbookView xWindow="-105" yWindow="0" windowWidth="19410" windowHeight="20985" activeTab="5" xr2:uid="{00000000-000D-0000-FFFF-FFFF00000000}"/>
  </bookViews>
  <sheets>
    <sheet name="Opp 1" sheetId="1" r:id="rId1"/>
    <sheet name="Opp 2" sheetId="2" r:id="rId2"/>
    <sheet name="Opp 3" sheetId="3" r:id="rId3"/>
    <sheet name="Opp 5" sheetId="4" r:id="rId4"/>
    <sheet name="Opp 6-data" sheetId="5" r:id="rId5"/>
    <sheet name="Opp 6 - resultater" sheetId="6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  <c r="D12" i="4" s="1"/>
  <c r="B13" i="4"/>
  <c r="D13" i="4" s="1"/>
  <c r="B14" i="4"/>
  <c r="D14" i="4" s="1"/>
  <c r="B15" i="4"/>
  <c r="D15" i="4" s="1"/>
  <c r="B16" i="4"/>
  <c r="D16" i="4" s="1"/>
  <c r="B3" i="1"/>
  <c r="B9" i="1"/>
  <c r="G9" i="1" s="1"/>
  <c r="D11" i="1"/>
  <c r="D14" i="1" s="1"/>
  <c r="E11" i="1"/>
  <c r="E12" i="1" s="1"/>
  <c r="E14" i="1" s="1"/>
  <c r="F11" i="1"/>
  <c r="G11" i="1"/>
  <c r="C11" i="1"/>
  <c r="C12" i="1"/>
  <c r="C14" i="1"/>
  <c r="G12" i="1"/>
  <c r="G10" i="1"/>
  <c r="D12" i="1"/>
  <c r="F12" i="1"/>
  <c r="F14" i="1"/>
  <c r="C52" i="2"/>
  <c r="C55" i="2" s="1"/>
  <c r="C49" i="2"/>
  <c r="C41" i="2"/>
  <c r="C44" i="2" s="1"/>
  <c r="C42" i="2"/>
  <c r="B43" i="2"/>
  <c r="B44" i="2"/>
  <c r="C45" i="2" s="1"/>
  <c r="D31" i="2"/>
  <c r="D35" i="2"/>
  <c r="D20" i="2"/>
  <c r="D23" i="2" s="1"/>
  <c r="D25" i="2" s="1"/>
  <c r="D7" i="2"/>
  <c r="D9" i="2" s="1"/>
  <c r="B36" i="3"/>
  <c r="B33" i="3"/>
  <c r="B37" i="3" s="1"/>
  <c r="B38" i="3" s="1"/>
  <c r="B39" i="3"/>
  <c r="B47" i="3"/>
  <c r="B42" i="3"/>
  <c r="B44" i="3" s="1"/>
  <c r="F4" i="3"/>
  <c r="B26" i="3"/>
  <c r="B17" i="3"/>
  <c r="D10" i="2" l="1"/>
  <c r="D11" i="2" s="1"/>
  <c r="D15" i="2" s="1"/>
  <c r="D17" i="4"/>
  <c r="G14" i="1"/>
  <c r="D37" i="2"/>
  <c r="B40" i="3"/>
  <c r="B46" i="3" s="1"/>
  <c r="B48" i="3" s="1"/>
  <c r="B50" i="3" s="1"/>
  <c r="C46" i="2"/>
  <c r="C48" i="2" s="1"/>
  <c r="C50" i="2" s="1"/>
  <c r="C57" i="2" s="1"/>
  <c r="B14" i="1"/>
  <c r="B16" i="1" l="1"/>
  <c r="B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Ivar Bredesen</author>
  </authors>
  <commentList>
    <comment ref="B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Celle B2 og B4 kan endres for å svare på a og b. Målsøkeren kan også brukes
</t>
        </r>
      </text>
    </comment>
  </commentList>
</comments>
</file>

<file path=xl/sharedStrings.xml><?xml version="1.0" encoding="utf-8"?>
<sst xmlns="http://schemas.openxmlformats.org/spreadsheetml/2006/main" count="159" uniqueCount="142">
  <si>
    <t>Driftsinntekter</t>
  </si>
  <si>
    <t>Kundekredittid (dager)</t>
  </si>
  <si>
    <t>Kundefordringer</t>
  </si>
  <si>
    <t>Dekningsgrad</t>
  </si>
  <si>
    <t>Avkastningskrav</t>
  </si>
  <si>
    <t>År</t>
  </si>
  <si>
    <t>Anleggsmidler</t>
  </si>
  <si>
    <t>Andre omløpsmidler</t>
  </si>
  <si>
    <t>Variable kostnader (60 % av oms)</t>
  </si>
  <si>
    <t>Faste kostnader</t>
  </si>
  <si>
    <t>Kontantstrøm</t>
  </si>
  <si>
    <t>Internrente</t>
  </si>
  <si>
    <t>Nåverdi</t>
  </si>
  <si>
    <t>Resultatregnskap:</t>
  </si>
  <si>
    <t>Omsetning</t>
  </si>
  <si>
    <t>Solgte varers kostnad</t>
  </si>
  <si>
    <t>Administrasjonskostnader</t>
  </si>
  <si>
    <t>Avskrivninger</t>
  </si>
  <si>
    <t>Tap på krav</t>
  </si>
  <si>
    <t>Driftsresultat</t>
  </si>
  <si>
    <t>Rentekostnader</t>
  </si>
  <si>
    <t>Årsoverskudd</t>
  </si>
  <si>
    <t>Skattekostnad</t>
  </si>
  <si>
    <t>Resultat etter skatt</t>
  </si>
  <si>
    <t>Disponering</t>
  </si>
  <si>
    <t>Dividende</t>
  </si>
  <si>
    <t>Fonds</t>
  </si>
  <si>
    <t>Balanse:</t>
  </si>
  <si>
    <t>Kasse/bank</t>
  </si>
  <si>
    <t>Varelager</t>
  </si>
  <si>
    <t>Sum omløpsmidler</t>
  </si>
  <si>
    <t>Sum eiendeler</t>
  </si>
  <si>
    <t>Kreditorer</t>
  </si>
  <si>
    <t>Andre kreditorer</t>
  </si>
  <si>
    <t>Annen kortsiktig gjeld</t>
  </si>
  <si>
    <t>Utbyttegjeld</t>
  </si>
  <si>
    <t>Sum kortsiktig gjeld</t>
  </si>
  <si>
    <t>Pantegjeld (15 % rente)</t>
  </si>
  <si>
    <t>Aksjekapital</t>
  </si>
  <si>
    <t>Sum gjeld og egenkapital</t>
  </si>
  <si>
    <t>Økning</t>
  </si>
  <si>
    <t>Reduksjon</t>
  </si>
  <si>
    <t>Anleggsmidler - nytt utstyr</t>
  </si>
  <si>
    <t>Endring kunder</t>
  </si>
  <si>
    <t>Endring varelager</t>
  </si>
  <si>
    <t>Endring kreditorer</t>
  </si>
  <si>
    <t>Sum</t>
  </si>
  <si>
    <t>Redusert kapitalbehov</t>
  </si>
  <si>
    <t>Redusert rentekostnad</t>
  </si>
  <si>
    <t>Redusert tap på krav</t>
  </si>
  <si>
    <t>Sum besparelser</t>
  </si>
  <si>
    <t>Tapt dekningsbidrag</t>
  </si>
  <si>
    <t>Avskrivning</t>
  </si>
  <si>
    <t>Netto besparelse</t>
  </si>
  <si>
    <t>Gjennomsnitt</t>
  </si>
  <si>
    <t>Salgsinntekter</t>
  </si>
  <si>
    <t>Overskudd før skatt</t>
  </si>
  <si>
    <t>Balanselikviditet</t>
  </si>
  <si>
    <t>Kasselikviditet</t>
  </si>
  <si>
    <t>Gjeldsandel</t>
  </si>
  <si>
    <t>Tap på krav i % av omsetning</t>
  </si>
  <si>
    <t>Omløpsmidler</t>
  </si>
  <si>
    <t xml:space="preserve">   Varelager</t>
  </si>
  <si>
    <t xml:space="preserve">   Kundefordringer</t>
  </si>
  <si>
    <t xml:space="preserve">   Kontanter</t>
  </si>
  <si>
    <t>Langsiktig gjeld/egenkapital</t>
  </si>
  <si>
    <t xml:space="preserve">   Aksjekapital</t>
  </si>
  <si>
    <t xml:space="preserve">   Langsiktig lån</t>
  </si>
  <si>
    <t>Kortsiktig gjeld</t>
  </si>
  <si>
    <t xml:space="preserve">   Kassekreditt</t>
  </si>
  <si>
    <t xml:space="preserve">   Annen kortsiktig gjeld</t>
  </si>
  <si>
    <t>Kontantrabatt</t>
  </si>
  <si>
    <t>Betalingsfrist (dager)</t>
  </si>
  <si>
    <t>Kredittid (dager)</t>
  </si>
  <si>
    <t>Faktisk kredittid (dager)</t>
  </si>
  <si>
    <t>Andel som benytter kontantrabatt</t>
  </si>
  <si>
    <t>Andel som betaler på kreditt</t>
  </si>
  <si>
    <t>Kassekredittrente</t>
  </si>
  <si>
    <t>Kundefordringer (14 dager)</t>
  </si>
  <si>
    <t>Kundefordringer (110 dager)</t>
  </si>
  <si>
    <t>Sum kundefordringer</t>
  </si>
  <si>
    <t>Kundefordringer tidligere</t>
  </si>
  <si>
    <t>Endring kundefordringer</t>
  </si>
  <si>
    <t>Økte adm. kostnader</t>
  </si>
  <si>
    <t>Sum kostnadsøkning</t>
  </si>
  <si>
    <t>Sparte rentekostnader</t>
  </si>
  <si>
    <t>Reduserte tap på krav</t>
  </si>
  <si>
    <t>Sum gevinster</t>
  </si>
  <si>
    <t>Netto resultatøkning</t>
  </si>
  <si>
    <t>Totale eiendeler</t>
  </si>
  <si>
    <t>Markedsverdi egenkapital</t>
  </si>
  <si>
    <t>Total gjeld</t>
  </si>
  <si>
    <t>Arbeidskapital</t>
  </si>
  <si>
    <t>Verdi</t>
  </si>
  <si>
    <t>Vekt</t>
  </si>
  <si>
    <t>Arbeidskapital/totale eiendeler</t>
  </si>
  <si>
    <t>Tilbakeholdt overskudd/totale eiendeler</t>
  </si>
  <si>
    <t>Driftsresultat/totale eiendeler</t>
  </si>
  <si>
    <t>Markedsverdi egenkapital/total gjeld</t>
  </si>
  <si>
    <t>Omsetning/totale eiendeler</t>
  </si>
  <si>
    <t>Z-verdi</t>
  </si>
  <si>
    <t>Bedrift</t>
  </si>
  <si>
    <t>Totalrentabilitet</t>
  </si>
  <si>
    <t>Status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</si>
  <si>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</si>
  <si>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</si>
  <si>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</si>
  <si>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</si>
  <si>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</si>
  <si>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</si>
  <si>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</si>
  <si>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</si>
  <si>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</si>
  <si>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</si>
  <si>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</si>
  <si>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</si>
  <si>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</si>
  <si>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</si>
  <si>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</si>
  <si>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</si>
  <si>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</si>
  <si>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</si>
  <si>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</si>
  <si>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</si>
  <si>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</si>
  <si>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</si>
  <si>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</si>
  <si>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</si>
  <si>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</si>
  <si>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</si>
  <si>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</si>
  <si>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</si>
  <si>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</si>
  <si>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</si>
  <si>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</si>
  <si>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</si>
  <si>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</si>
  <si>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</si>
  <si>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Intercept</t>
  </si>
  <si>
    <t>X Variable 1</t>
  </si>
  <si>
    <t>Balanseregnskap 2022</t>
  </si>
  <si>
    <t>Opptjent egenkapital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</si>
</sst>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0.0\ %"/>
    <numFmt numFmtId="167" formatCode="0.0"/>
    <numFmt numFmtId="169" formatCode="0.0000"/>
  </numFmts>
  <fonts count="7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0" borderId="0" xfId="0" applyNumberFormat="1"/>
    <xf numFmtId="3" fontId="0" fillId="3" borderId="1" xfId="0" applyNumberFormat="1" applyFill="1" applyBorder="1"/>
    <xf numFmtId="0" fontId="0" fillId="4" borderId="1" xfId="0" applyFill="1" applyBorder="1"/>
    <xf numFmtId="3" fontId="0" fillId="4" borderId="1" xfId="0" applyNumberFormat="1" applyFill="1" applyBorder="1"/>
    <xf numFmtId="3" fontId="0" fillId="0" borderId="2" xfId="0" applyNumberFormat="1" applyBorder="1"/>
    <xf numFmtId="165" fontId="0" fillId="0" borderId="2" xfId="1" applyNumberFormat="1" applyFont="1" applyBorder="1"/>
    <xf numFmtId="0" fontId="0" fillId="0" borderId="2" xfId="0" applyBorder="1"/>
    <xf numFmtId="0" fontId="0" fillId="2" borderId="3" xfId="0" applyFill="1" applyBorder="1"/>
    <xf numFmtId="0" fontId="0" fillId="4" borderId="3" xfId="0" applyFill="1" applyBorder="1"/>
    <xf numFmtId="0" fontId="0" fillId="0" borderId="4" xfId="0" applyBorder="1"/>
    <xf numFmtId="0" fontId="0" fillId="0" borderId="5" xfId="0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166" fontId="0" fillId="6" borderId="4" xfId="0" applyNumberFormat="1" applyFill="1" applyBorder="1"/>
    <xf numFmtId="3" fontId="0" fillId="6" borderId="5" xfId="0" applyNumberFormat="1" applyFill="1" applyBorder="1"/>
    <xf numFmtId="0" fontId="0" fillId="5" borderId="2" xfId="0" applyFill="1" applyBorder="1"/>
    <xf numFmtId="3" fontId="0" fillId="6" borderId="4" xfId="0" applyNumberFormat="1" applyFill="1" applyBorder="1"/>
    <xf numFmtId="0" fontId="0" fillId="6" borderId="2" xfId="0" applyFill="1" applyBorder="1"/>
    <xf numFmtId="165" fontId="0" fillId="6" borderId="2" xfId="1" applyNumberFormat="1" applyFont="1" applyFill="1" applyBorder="1"/>
    <xf numFmtId="9" fontId="0" fillId="6" borderId="2" xfId="0" applyNumberFormat="1" applyFill="1" applyBorder="1"/>
    <xf numFmtId="9" fontId="0" fillId="6" borderId="5" xfId="0" applyNumberFormat="1" applyFill="1" applyBorder="1"/>
    <xf numFmtId="0" fontId="3" fillId="2" borderId="3" xfId="0" applyFont="1" applyFill="1" applyBorder="1"/>
    <xf numFmtId="0" fontId="0" fillId="2" borderId="8" xfId="0" applyFill="1" applyBorder="1"/>
    <xf numFmtId="0" fontId="0" fillId="0" borderId="9" xfId="0" applyBorder="1"/>
    <xf numFmtId="0" fontId="0" fillId="4" borderId="8" xfId="0" applyFill="1" applyBorder="1"/>
    <xf numFmtId="165" fontId="0" fillId="4" borderId="1" xfId="1" applyNumberFormat="1" applyFont="1" applyFill="1" applyBorder="1"/>
    <xf numFmtId="0" fontId="3" fillId="2" borderId="0" xfId="0" applyFont="1" applyFill="1"/>
    <xf numFmtId="0" fontId="0" fillId="2" borderId="0" xfId="0" applyFill="1"/>
    <xf numFmtId="0" fontId="0" fillId="2" borderId="2" xfId="0" applyFill="1" applyBorder="1"/>
    <xf numFmtId="0" fontId="0" fillId="6" borderId="3" xfId="0" applyFill="1" applyBorder="1"/>
    <xf numFmtId="0" fontId="0" fillId="6" borderId="8" xfId="0" applyFill="1" applyBorder="1"/>
    <xf numFmtId="3" fontId="0" fillId="6" borderId="1" xfId="0" applyNumberFormat="1" applyFill="1" applyBorder="1"/>
    <xf numFmtId="3" fontId="0" fillId="0" borderId="5" xfId="0" applyNumberFormat="1" applyBorder="1"/>
    <xf numFmtId="3" fontId="0" fillId="3" borderId="5" xfId="0" applyNumberFormat="1" applyFill="1" applyBorder="1"/>
    <xf numFmtId="0" fontId="0" fillId="0" borderId="6" xfId="0" applyBorder="1"/>
    <xf numFmtId="3" fontId="0" fillId="0" borderId="4" xfId="0" applyNumberFormat="1" applyBorder="1"/>
    <xf numFmtId="0" fontId="0" fillId="0" borderId="10" xfId="0" applyBorder="1"/>
    <xf numFmtId="0" fontId="0" fillId="0" borderId="7" xfId="0" applyBorder="1"/>
    <xf numFmtId="0" fontId="0" fillId="3" borderId="3" xfId="0" applyFill="1" applyBorder="1"/>
    <xf numFmtId="0" fontId="0" fillId="3" borderId="1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6" borderId="11" xfId="0" applyFill="1" applyBorder="1"/>
    <xf numFmtId="0" fontId="0" fillId="4" borderId="9" xfId="0" applyFill="1" applyBorder="1"/>
    <xf numFmtId="3" fontId="0" fillId="4" borderId="5" xfId="0" applyNumberFormat="1" applyFill="1" applyBorder="1"/>
    <xf numFmtId="0" fontId="0" fillId="2" borderId="12" xfId="0" applyFill="1" applyBorder="1"/>
    <xf numFmtId="0" fontId="0" fillId="6" borderId="1" xfId="0" applyFill="1" applyBorder="1"/>
    <xf numFmtId="10" fontId="0" fillId="2" borderId="1" xfId="0" applyNumberFormat="1" applyFill="1" applyBorder="1" applyAlignment="1">
      <alignment horizontal="center"/>
    </xf>
    <xf numFmtId="0" fontId="0" fillId="6" borderId="5" xfId="0" applyFill="1" applyBorder="1"/>
    <xf numFmtId="165" fontId="0" fillId="4" borderId="1" xfId="0" applyNumberFormat="1" applyFill="1" applyBorder="1"/>
    <xf numFmtId="0" fontId="0" fillId="4" borderId="4" xfId="0" applyFill="1" applyBorder="1"/>
    <xf numFmtId="0" fontId="0" fillId="4" borderId="2" xfId="0" applyFill="1" applyBorder="1"/>
    <xf numFmtId="0" fontId="3" fillId="2" borderId="1" xfId="0" applyFont="1" applyFill="1" applyBorder="1" applyAlignment="1">
      <alignment horizontal="center"/>
    </xf>
    <xf numFmtId="0" fontId="0" fillId="4" borderId="6" xfId="0" applyFill="1" applyBorder="1"/>
    <xf numFmtId="0" fontId="0" fillId="4" borderId="10" xfId="0" applyFill="1" applyBorder="1"/>
    <xf numFmtId="0" fontId="0" fillId="4" borderId="7" xfId="0" applyFill="1" applyBorder="1"/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69" fontId="0" fillId="6" borderId="4" xfId="0" applyNumberFormat="1" applyFill="1" applyBorder="1"/>
    <xf numFmtId="0" fontId="0" fillId="6" borderId="4" xfId="0" applyFill="1" applyBorder="1"/>
    <xf numFmtId="169" fontId="0" fillId="6" borderId="2" xfId="0" applyNumberFormat="1" applyFill="1" applyBorder="1"/>
    <xf numFmtId="169" fontId="0" fillId="6" borderId="5" xfId="0" applyNumberFormat="1" applyFill="1" applyBorder="1"/>
    <xf numFmtId="169" fontId="0" fillId="4" borderId="12" xfId="0" applyNumberFormat="1" applyFill="1" applyBorder="1"/>
    <xf numFmtId="169" fontId="0" fillId="4" borderId="14" xfId="0" applyNumberFormat="1" applyFill="1" applyBorder="1"/>
    <xf numFmtId="169" fontId="0" fillId="4" borderId="13" xfId="0" applyNumberFormat="1" applyFill="1" applyBorder="1"/>
    <xf numFmtId="0" fontId="0" fillId="0" borderId="15" xfId="0" applyBorder="1"/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Continuous"/>
    </xf>
    <xf numFmtId="164" fontId="0" fillId="2" borderId="4" xfId="1" applyFont="1" applyFill="1" applyBorder="1" applyAlignment="1">
      <alignment horizontal="center"/>
    </xf>
    <xf numFmtId="0" fontId="0" fillId="8" borderId="0" xfId="0" applyFill="1"/>
    <xf numFmtId="0" fontId="0" fillId="8" borderId="9" xfId="0" applyFill="1" applyBorder="1"/>
    <xf numFmtId="165" fontId="0" fillId="8" borderId="2" xfId="1" applyNumberFormat="1" applyFont="1" applyFill="1" applyBorder="1"/>
    <xf numFmtId="165" fontId="0" fillId="8" borderId="5" xfId="1" applyNumberFormat="1" applyFont="1" applyFill="1" applyBorder="1"/>
    <xf numFmtId="165" fontId="0" fillId="9" borderId="2" xfId="1" applyNumberFormat="1" applyFont="1" applyFill="1" applyBorder="1"/>
    <xf numFmtId="165" fontId="0" fillId="9" borderId="5" xfId="1" applyNumberFormat="1" applyFont="1" applyFill="1" applyBorder="1"/>
    <xf numFmtId="0" fontId="0" fillId="8" borderId="6" xfId="0" applyFill="1" applyBorder="1"/>
    <xf numFmtId="0" fontId="0" fillId="8" borderId="17" xfId="0" applyFill="1" applyBorder="1"/>
    <xf numFmtId="0" fontId="0" fillId="8" borderId="12" xfId="0" applyFill="1" applyBorder="1"/>
    <xf numFmtId="0" fontId="0" fillId="8" borderId="10" xfId="0" applyFill="1" applyBorder="1"/>
    <xf numFmtId="0" fontId="0" fillId="8" borderId="0" xfId="0" applyFill="1" applyBorder="1"/>
    <xf numFmtId="0" fontId="0" fillId="8" borderId="14" xfId="0" applyFill="1" applyBorder="1"/>
    <xf numFmtId="0" fontId="0" fillId="8" borderId="7" xfId="0" applyFill="1" applyBorder="1"/>
    <xf numFmtId="0" fontId="0" fillId="8" borderId="13" xfId="0" applyFill="1" applyBorder="1"/>
    <xf numFmtId="0" fontId="0" fillId="9" borderId="2" xfId="0" applyFill="1" applyBorder="1"/>
    <xf numFmtId="3" fontId="0" fillId="9" borderId="2" xfId="0" applyNumberFormat="1" applyFill="1" applyBorder="1"/>
    <xf numFmtId="0" fontId="0" fillId="9" borderId="4" xfId="0" applyFill="1" applyBorder="1"/>
    <xf numFmtId="3" fontId="0" fillId="9" borderId="5" xfId="0" applyNumberFormat="1" applyFill="1" applyBorder="1"/>
    <xf numFmtId="0" fontId="1" fillId="2" borderId="6" xfId="0" applyFont="1" applyFill="1" applyBorder="1"/>
    <xf numFmtId="0" fontId="0" fillId="9" borderId="5" xfId="0" applyFill="1" applyBorder="1"/>
    <xf numFmtId="3" fontId="0" fillId="8" borderId="4" xfId="0" applyNumberFormat="1" applyFill="1" applyBorder="1"/>
    <xf numFmtId="0" fontId="0" fillId="8" borderId="4" xfId="0" applyFill="1" applyBorder="1"/>
    <xf numFmtId="3" fontId="0" fillId="8" borderId="2" xfId="0" applyNumberFormat="1" applyFill="1" applyBorder="1"/>
    <xf numFmtId="0" fontId="0" fillId="8" borderId="2" xfId="0" applyFill="1" applyBorder="1"/>
    <xf numFmtId="167" fontId="0" fillId="8" borderId="2" xfId="0" applyNumberFormat="1" applyFill="1" applyBorder="1"/>
    <xf numFmtId="10" fontId="0" fillId="8" borderId="2" xfId="0" applyNumberFormat="1" applyFill="1" applyBorder="1"/>
    <xf numFmtId="9" fontId="0" fillId="8" borderId="2" xfId="0" applyNumberFormat="1" applyFill="1" applyBorder="1"/>
    <xf numFmtId="0" fontId="0" fillId="8" borderId="5" xfId="0" applyFill="1" applyBorder="1"/>
    <xf numFmtId="3" fontId="0" fillId="9" borderId="11" xfId="0" applyNumberFormat="1" applyFill="1" applyBorder="1"/>
    <xf numFmtId="0" fontId="0" fillId="9" borderId="1" xfId="0" applyFill="1" applyBorder="1"/>
    <xf numFmtId="9" fontId="0" fillId="8" borderId="4" xfId="0" applyNumberFormat="1" applyFill="1" applyBorder="1"/>
    <xf numFmtId="165" fontId="0" fillId="8" borderId="2" xfId="0" applyNumberFormat="1" applyFill="1" applyBorder="1"/>
    <xf numFmtId="3" fontId="0" fillId="8" borderId="5" xfId="0" applyNumberFormat="1" applyFill="1" applyBorder="1"/>
    <xf numFmtId="165" fontId="0" fillId="8" borderId="1" xfId="0" applyNumberFormat="1" applyFill="1" applyBorder="1"/>
    <xf numFmtId="3" fontId="0" fillId="6" borderId="4" xfId="0" applyNumberFormat="1" applyFill="1" applyBorder="1" applyAlignment="1">
      <alignment horizontal="right"/>
    </xf>
    <xf numFmtId="0" fontId="1" fillId="4" borderId="5" xfId="0" applyFont="1" applyFill="1" applyBorder="1"/>
    <xf numFmtId="169" fontId="0" fillId="8" borderId="1" xfId="0" applyNumberFormat="1" applyFill="1" applyBorder="1"/>
    <xf numFmtId="165" fontId="0" fillId="6" borderId="2" xfId="1" applyNumberFormat="1" applyFont="1" applyFill="1" applyBorder="1" applyAlignment="1">
      <alignment horizontal="right"/>
    </xf>
    <xf numFmtId="165" fontId="0" fillId="6" borderId="5" xfId="1" applyNumberFormat="1" applyFont="1" applyFill="1" applyBorder="1" applyAlignment="1">
      <alignment horizontal="right"/>
    </xf>
    <xf numFmtId="0" fontId="0" fillId="9" borderId="4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workbookViewId="0">
      <selection activeCell="G33" sqref="G33"/>
    </sheetView>
  </sheetViews>
  <sheetFormatPr baseColWidth="10" defaultColWidth="11.42578125" defaultRowHeight="12.75" x14ac:dyDescent="0.2"/>
  <cols>
    <col min="1" max="1" width="29.28515625" bestFit="1" customWidth="1"/>
    <col min="2" max="2" width="11.42578125" customWidth="1"/>
    <col min="3" max="3" width="10.85546875" customWidth="1"/>
  </cols>
  <sheetData>
    <row r="1" spans="1:7" x14ac:dyDescent="0.2">
      <c r="A1" s="14" t="s">
        <v>0</v>
      </c>
      <c r="B1" s="21">
        <v>1800000</v>
      </c>
    </row>
    <row r="2" spans="1:7" x14ac:dyDescent="0.2">
      <c r="A2" s="20" t="s">
        <v>1</v>
      </c>
      <c r="B2" s="22">
        <v>30</v>
      </c>
    </row>
    <row r="3" spans="1:7" x14ac:dyDescent="0.2">
      <c r="A3" s="20" t="s">
        <v>2</v>
      </c>
      <c r="B3" s="23">
        <f>B1*B2/360</f>
        <v>150000</v>
      </c>
    </row>
    <row r="4" spans="1:7" x14ac:dyDescent="0.2">
      <c r="A4" s="20" t="s">
        <v>3</v>
      </c>
      <c r="B4" s="24">
        <v>0.4</v>
      </c>
    </row>
    <row r="5" spans="1:7" x14ac:dyDescent="0.2">
      <c r="A5" s="15" t="s">
        <v>4</v>
      </c>
      <c r="B5" s="25">
        <v>0.2</v>
      </c>
    </row>
    <row r="7" spans="1:7" x14ac:dyDescent="0.2">
      <c r="A7" s="10" t="s">
        <v>5</v>
      </c>
      <c r="B7" s="2">
        <v>0</v>
      </c>
      <c r="C7" s="2">
        <v>1</v>
      </c>
      <c r="D7" s="2">
        <v>2</v>
      </c>
      <c r="E7" s="2">
        <v>3</v>
      </c>
      <c r="F7" s="2">
        <v>4</v>
      </c>
      <c r="G7" s="2">
        <v>5</v>
      </c>
    </row>
    <row r="8" spans="1:7" x14ac:dyDescent="0.2">
      <c r="A8" t="s">
        <v>6</v>
      </c>
      <c r="B8" s="7">
        <v>-750000</v>
      </c>
      <c r="C8" s="9"/>
      <c r="D8" s="9"/>
      <c r="E8" s="9"/>
      <c r="F8" s="9"/>
      <c r="G8" s="7">
        <v>100000</v>
      </c>
    </row>
    <row r="9" spans="1:7" x14ac:dyDescent="0.2">
      <c r="A9" t="s">
        <v>2</v>
      </c>
      <c r="B9" s="7">
        <f>-B3</f>
        <v>-150000</v>
      </c>
      <c r="C9" s="9"/>
      <c r="D9" s="9"/>
      <c r="E9" s="9"/>
      <c r="F9" s="9"/>
      <c r="G9" s="7">
        <f>-B9</f>
        <v>150000</v>
      </c>
    </row>
    <row r="10" spans="1:7" x14ac:dyDescent="0.2">
      <c r="A10" t="s">
        <v>7</v>
      </c>
      <c r="B10" s="7">
        <v>-150000</v>
      </c>
      <c r="C10" s="9"/>
      <c r="D10" s="9"/>
      <c r="E10" s="9"/>
      <c r="F10" s="9"/>
      <c r="G10" s="7">
        <f>-B10</f>
        <v>150000</v>
      </c>
    </row>
    <row r="11" spans="1:7" x14ac:dyDescent="0.2">
      <c r="A11" t="s">
        <v>0</v>
      </c>
      <c r="B11" s="9"/>
      <c r="C11" s="7">
        <f>$B$1</f>
        <v>1800000</v>
      </c>
      <c r="D11" s="7">
        <f>$B$1</f>
        <v>1800000</v>
      </c>
      <c r="E11" s="7">
        <f>$B$1</f>
        <v>1800000</v>
      </c>
      <c r="F11" s="7">
        <f>$B$1</f>
        <v>1800000</v>
      </c>
      <c r="G11" s="7">
        <f>$B$1</f>
        <v>1800000</v>
      </c>
    </row>
    <row r="12" spans="1:7" x14ac:dyDescent="0.2">
      <c r="A12" t="s">
        <v>8</v>
      </c>
      <c r="B12" s="9"/>
      <c r="C12" s="8">
        <f>-C11*(1-$B$4)</f>
        <v>-1080000</v>
      </c>
      <c r="D12" s="8">
        <f>-D11*(1-$B$4)</f>
        <v>-1080000</v>
      </c>
      <c r="E12" s="8">
        <f>-E11*(1-$B$4)</f>
        <v>-1080000</v>
      </c>
      <c r="F12" s="8">
        <f>-F11*(1-$B$4)</f>
        <v>-1080000</v>
      </c>
      <c r="G12" s="8">
        <f>-G11*(1-$B$4)</f>
        <v>-1080000</v>
      </c>
    </row>
    <row r="13" spans="1:7" x14ac:dyDescent="0.2">
      <c r="A13" t="s">
        <v>9</v>
      </c>
      <c r="B13" s="9"/>
      <c r="C13" s="8">
        <v>-378000</v>
      </c>
      <c r="D13" s="8">
        <v>-378000</v>
      </c>
      <c r="E13" s="8">
        <v>-378000</v>
      </c>
      <c r="F13" s="8">
        <v>-378000</v>
      </c>
      <c r="G13" s="8">
        <v>-378000</v>
      </c>
    </row>
    <row r="14" spans="1:7" x14ac:dyDescent="0.2">
      <c r="A14" s="11" t="s">
        <v>10</v>
      </c>
      <c r="B14" s="6">
        <f>SUM(B8:B12)</f>
        <v>-1050000</v>
      </c>
      <c r="C14" s="6">
        <f>SUM(C8:C13)</f>
        <v>342000</v>
      </c>
      <c r="D14" s="6">
        <f>SUM(D8:D13)</f>
        <v>342000</v>
      </c>
      <c r="E14" s="6">
        <f>SUM(E8:E13)</f>
        <v>342000</v>
      </c>
      <c r="F14" s="6">
        <f>SUM(F8:F13)</f>
        <v>342000</v>
      </c>
      <c r="G14" s="6">
        <f>SUM(G8:G13)</f>
        <v>742000</v>
      </c>
    </row>
    <row r="16" spans="1:7" x14ac:dyDescent="0.2">
      <c r="A16" s="16" t="s">
        <v>11</v>
      </c>
      <c r="B16" s="18">
        <f>IRR(B14:G14)</f>
        <v>0.25033452707719084</v>
      </c>
    </row>
    <row r="17" spans="1:2" x14ac:dyDescent="0.2">
      <c r="A17" s="17" t="s">
        <v>12</v>
      </c>
      <c r="B17" s="19">
        <f>NPV(B5,C14:G14)+B14</f>
        <v>133540.38065843633</v>
      </c>
    </row>
  </sheetData>
  <phoneticPr fontId="4" type="noConversion"/>
  <pageMargins left="0.75" right="0.75" top="1" bottom="1" header="0.5" footer="0.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7"/>
  <sheetViews>
    <sheetView topLeftCell="A7" workbookViewId="0">
      <selection activeCell="I22" sqref="I22"/>
    </sheetView>
  </sheetViews>
  <sheetFormatPr baseColWidth="10" defaultColWidth="11.42578125" defaultRowHeight="12.75" x14ac:dyDescent="0.2"/>
  <cols>
    <col min="1" max="1" width="22.7109375" bestFit="1" customWidth="1"/>
  </cols>
  <sheetData>
    <row r="1" spans="1:4" x14ac:dyDescent="0.2">
      <c r="A1" s="26" t="s">
        <v>13</v>
      </c>
      <c r="B1" s="27"/>
      <c r="C1" s="27"/>
      <c r="D1" s="1"/>
    </row>
    <row r="2" spans="1:4" x14ac:dyDescent="0.2">
      <c r="A2" s="75" t="s">
        <v>14</v>
      </c>
      <c r="B2" s="75"/>
      <c r="C2" s="75"/>
      <c r="D2" s="79">
        <v>36000000</v>
      </c>
    </row>
    <row r="3" spans="1:4" x14ac:dyDescent="0.2">
      <c r="A3" s="75" t="s">
        <v>15</v>
      </c>
      <c r="B3" s="75"/>
      <c r="C3" s="75"/>
      <c r="D3" s="79">
        <v>28440000</v>
      </c>
    </row>
    <row r="4" spans="1:4" x14ac:dyDescent="0.2">
      <c r="A4" s="75" t="s">
        <v>16</v>
      </c>
      <c r="B4" s="75"/>
      <c r="C4" s="75"/>
      <c r="D4" s="79">
        <v>4500000</v>
      </c>
    </row>
    <row r="5" spans="1:4" x14ac:dyDescent="0.2">
      <c r="A5" s="75" t="s">
        <v>17</v>
      </c>
      <c r="B5" s="75"/>
      <c r="C5" s="75"/>
      <c r="D5" s="79">
        <v>130000</v>
      </c>
    </row>
    <row r="6" spans="1:4" x14ac:dyDescent="0.2">
      <c r="A6" s="76" t="s">
        <v>18</v>
      </c>
      <c r="B6" s="76"/>
      <c r="C6" s="76"/>
      <c r="D6" s="80">
        <v>1355000</v>
      </c>
    </row>
    <row r="7" spans="1:4" x14ac:dyDescent="0.2">
      <c r="A7" s="75" t="s">
        <v>19</v>
      </c>
      <c r="B7" s="75"/>
      <c r="C7" s="75"/>
      <c r="D7" s="79">
        <f>D2-D3-D4-D5-D6</f>
        <v>1575000</v>
      </c>
    </row>
    <row r="8" spans="1:4" x14ac:dyDescent="0.2">
      <c r="A8" s="75" t="s">
        <v>20</v>
      </c>
      <c r="B8" s="75"/>
      <c r="C8" s="75"/>
      <c r="D8" s="79">
        <v>345000</v>
      </c>
    </row>
    <row r="9" spans="1:4" x14ac:dyDescent="0.2">
      <c r="A9" s="75" t="s">
        <v>21</v>
      </c>
      <c r="B9" s="75"/>
      <c r="C9" s="75"/>
      <c r="D9" s="79">
        <f>D7-D8</f>
        <v>1230000</v>
      </c>
    </row>
    <row r="10" spans="1:4" x14ac:dyDescent="0.2">
      <c r="A10" s="76" t="s">
        <v>22</v>
      </c>
      <c r="B10" s="76"/>
      <c r="C10" s="76"/>
      <c r="D10" s="80">
        <f>0.28*D9</f>
        <v>344400.00000000006</v>
      </c>
    </row>
    <row r="11" spans="1:4" x14ac:dyDescent="0.2">
      <c r="A11" s="11" t="s">
        <v>23</v>
      </c>
      <c r="B11" s="29"/>
      <c r="C11" s="29"/>
      <c r="D11" s="30">
        <f>D9-D10</f>
        <v>885600</v>
      </c>
    </row>
    <row r="12" spans="1:4" x14ac:dyDescent="0.2">
      <c r="D12" s="9"/>
    </row>
    <row r="13" spans="1:4" x14ac:dyDescent="0.2">
      <c r="A13" s="81" t="s">
        <v>24</v>
      </c>
      <c r="B13" s="82"/>
      <c r="C13" s="83"/>
      <c r="D13" s="91"/>
    </row>
    <row r="14" spans="1:4" x14ac:dyDescent="0.2">
      <c r="A14" s="84" t="s">
        <v>25</v>
      </c>
      <c r="B14" s="85"/>
      <c r="C14" s="86"/>
      <c r="D14" s="90">
        <v>270000</v>
      </c>
    </row>
    <row r="15" spans="1:4" x14ac:dyDescent="0.2">
      <c r="A15" s="87" t="s">
        <v>26</v>
      </c>
      <c r="B15" s="76"/>
      <c r="C15" s="88"/>
      <c r="D15" s="92">
        <f>D11-D14</f>
        <v>615600</v>
      </c>
    </row>
    <row r="16" spans="1:4" x14ac:dyDescent="0.2">
      <c r="D16" s="7"/>
    </row>
    <row r="17" spans="1:4" x14ac:dyDescent="0.2">
      <c r="A17" s="31" t="s">
        <v>27</v>
      </c>
      <c r="B17" s="32"/>
      <c r="C17" s="32"/>
      <c r="D17" s="33"/>
    </row>
    <row r="18" spans="1:4" x14ac:dyDescent="0.2">
      <c r="A18" s="34" t="s">
        <v>6</v>
      </c>
      <c r="B18" s="35"/>
      <c r="C18" s="35"/>
      <c r="D18" s="36">
        <v>3800000</v>
      </c>
    </row>
    <row r="19" spans="1:4" x14ac:dyDescent="0.2">
      <c r="D19" s="7"/>
    </row>
    <row r="20" spans="1:4" x14ac:dyDescent="0.2">
      <c r="A20" t="s">
        <v>28</v>
      </c>
      <c r="D20" s="7">
        <f>600000+86100</f>
        <v>686100</v>
      </c>
    </row>
    <row r="21" spans="1:4" x14ac:dyDescent="0.2">
      <c r="A21" t="s">
        <v>29</v>
      </c>
      <c r="D21" s="7">
        <v>4500000</v>
      </c>
    </row>
    <row r="22" spans="1:4" x14ac:dyDescent="0.2">
      <c r="A22" s="28" t="s">
        <v>2</v>
      </c>
      <c r="B22" s="28"/>
      <c r="C22" s="28"/>
      <c r="D22" s="37">
        <v>5250000</v>
      </c>
    </row>
    <row r="23" spans="1:4" x14ac:dyDescent="0.2">
      <c r="A23" s="35" t="s">
        <v>30</v>
      </c>
      <c r="B23" s="35"/>
      <c r="C23" s="35"/>
      <c r="D23" s="36">
        <f>SUM(D20:D22)</f>
        <v>10436100</v>
      </c>
    </row>
    <row r="24" spans="1:4" x14ac:dyDescent="0.2">
      <c r="D24" s="9"/>
    </row>
    <row r="25" spans="1:4" x14ac:dyDescent="0.2">
      <c r="A25" s="49" t="s">
        <v>31</v>
      </c>
      <c r="B25" s="49"/>
      <c r="C25" s="49"/>
      <c r="D25" s="50">
        <f>D18+D23</f>
        <v>14236100</v>
      </c>
    </row>
    <row r="26" spans="1:4" x14ac:dyDescent="0.2">
      <c r="D26" s="9"/>
    </row>
    <row r="27" spans="1:4" x14ac:dyDescent="0.2">
      <c r="A27" t="s">
        <v>32</v>
      </c>
      <c r="D27" s="7">
        <v>7000000</v>
      </c>
    </row>
    <row r="28" spans="1:4" x14ac:dyDescent="0.2">
      <c r="A28" t="s">
        <v>33</v>
      </c>
      <c r="D28" s="7">
        <v>200000</v>
      </c>
    </row>
    <row r="29" spans="1:4" x14ac:dyDescent="0.2">
      <c r="A29" t="s">
        <v>34</v>
      </c>
      <c r="D29" s="7">
        <v>639600</v>
      </c>
    </row>
    <row r="30" spans="1:4" x14ac:dyDescent="0.2">
      <c r="A30" s="28" t="s">
        <v>35</v>
      </c>
      <c r="B30" s="28"/>
      <c r="C30" s="28"/>
      <c r="D30" s="37">
        <v>270000</v>
      </c>
    </row>
    <row r="31" spans="1:4" x14ac:dyDescent="0.2">
      <c r="A31" s="34" t="s">
        <v>36</v>
      </c>
      <c r="B31" s="35"/>
      <c r="C31" s="35"/>
      <c r="D31" s="36">
        <f>SUM(D27:D30)</f>
        <v>8109600</v>
      </c>
    </row>
    <row r="32" spans="1:4" x14ac:dyDescent="0.2">
      <c r="D32" s="9"/>
    </row>
    <row r="33" spans="1:4" x14ac:dyDescent="0.2">
      <c r="A33" t="s">
        <v>37</v>
      </c>
      <c r="D33" s="7">
        <v>2300000</v>
      </c>
    </row>
    <row r="34" spans="1:4" x14ac:dyDescent="0.2">
      <c r="A34" t="s">
        <v>38</v>
      </c>
      <c r="D34" s="7">
        <v>750000</v>
      </c>
    </row>
    <row r="35" spans="1:4" x14ac:dyDescent="0.2">
      <c r="A35" t="s">
        <v>26</v>
      </c>
      <c r="D35" s="7">
        <f>2990400+86100</f>
        <v>3076500</v>
      </c>
    </row>
    <row r="36" spans="1:4" x14ac:dyDescent="0.2">
      <c r="D36" s="9"/>
    </row>
    <row r="37" spans="1:4" x14ac:dyDescent="0.2">
      <c r="A37" s="34" t="s">
        <v>39</v>
      </c>
      <c r="B37" s="35"/>
      <c r="C37" s="35"/>
      <c r="D37" s="36">
        <f>D31+D33+D34+D35</f>
        <v>14236100</v>
      </c>
    </row>
    <row r="39" spans="1:4" x14ac:dyDescent="0.2">
      <c r="B39" s="74" t="s">
        <v>40</v>
      </c>
      <c r="C39" s="74" t="s">
        <v>41</v>
      </c>
    </row>
    <row r="40" spans="1:4" x14ac:dyDescent="0.2">
      <c r="A40" s="39" t="s">
        <v>42</v>
      </c>
      <c r="B40" s="40">
        <v>60000</v>
      </c>
      <c r="C40" s="12"/>
    </row>
    <row r="41" spans="1:4" x14ac:dyDescent="0.2">
      <c r="A41" s="41" t="s">
        <v>43</v>
      </c>
      <c r="B41" s="9"/>
      <c r="C41" s="7">
        <f>D22-D2*0.9/12</f>
        <v>2550000</v>
      </c>
    </row>
    <row r="42" spans="1:4" x14ac:dyDescent="0.2">
      <c r="A42" s="41" t="s">
        <v>44</v>
      </c>
      <c r="B42" s="9"/>
      <c r="C42" s="7">
        <f>D21*0.1</f>
        <v>450000</v>
      </c>
    </row>
    <row r="43" spans="1:4" x14ac:dyDescent="0.2">
      <c r="A43" s="42" t="s">
        <v>45</v>
      </c>
      <c r="B43" s="37">
        <f>D27*0.1</f>
        <v>700000</v>
      </c>
      <c r="C43" s="13"/>
    </row>
    <row r="44" spans="1:4" x14ac:dyDescent="0.2">
      <c r="A44" s="41" t="s">
        <v>46</v>
      </c>
      <c r="B44" s="7">
        <f>SUM(B40:B43)</f>
        <v>760000</v>
      </c>
      <c r="C44" s="7">
        <f>SUM(C41:C43)</f>
        <v>3000000</v>
      </c>
    </row>
    <row r="45" spans="1:4" x14ac:dyDescent="0.2">
      <c r="A45" s="42"/>
      <c r="B45" s="13"/>
      <c r="C45" s="37">
        <f>-B44</f>
        <v>-760000</v>
      </c>
    </row>
    <row r="46" spans="1:4" x14ac:dyDescent="0.2">
      <c r="A46" s="43" t="s">
        <v>47</v>
      </c>
      <c r="B46" s="44"/>
      <c r="C46" s="38">
        <f>SUM(C44:C45)</f>
        <v>2240000</v>
      </c>
    </row>
    <row r="48" spans="1:4" x14ac:dyDescent="0.2">
      <c r="A48" s="39" t="s">
        <v>48</v>
      </c>
      <c r="B48" s="45"/>
      <c r="C48" s="40">
        <f>C46*0.15</f>
        <v>336000</v>
      </c>
    </row>
    <row r="49" spans="1:3" x14ac:dyDescent="0.2">
      <c r="A49" s="42" t="s">
        <v>49</v>
      </c>
      <c r="B49" s="46"/>
      <c r="C49" s="37">
        <f>D6-D2*0.9*0.02</f>
        <v>707000</v>
      </c>
    </row>
    <row r="50" spans="1:3" x14ac:dyDescent="0.2">
      <c r="A50" s="43" t="s">
        <v>50</v>
      </c>
      <c r="B50" s="44"/>
      <c r="C50" s="4">
        <f>SUM(C48:C49)</f>
        <v>1043000</v>
      </c>
    </row>
    <row r="51" spans="1:3" x14ac:dyDescent="0.2">
      <c r="C51" s="3"/>
    </row>
    <row r="52" spans="1:3" x14ac:dyDescent="0.2">
      <c r="A52" s="39" t="s">
        <v>51</v>
      </c>
      <c r="B52" s="45"/>
      <c r="C52" s="40">
        <f>(D2-D3)*0.1</f>
        <v>756000</v>
      </c>
    </row>
    <row r="53" spans="1:3" x14ac:dyDescent="0.2">
      <c r="A53" s="41" t="s">
        <v>16</v>
      </c>
      <c r="B53" s="47"/>
      <c r="C53" s="7">
        <v>250000</v>
      </c>
    </row>
    <row r="54" spans="1:3" x14ac:dyDescent="0.2">
      <c r="A54" s="42" t="s">
        <v>52</v>
      </c>
      <c r="B54" s="46"/>
      <c r="C54" s="37">
        <v>20000</v>
      </c>
    </row>
    <row r="55" spans="1:3" x14ac:dyDescent="0.2">
      <c r="A55" s="43" t="s">
        <v>46</v>
      </c>
      <c r="B55" s="44"/>
      <c r="C55" s="4">
        <f>SUM(C52:C54)</f>
        <v>1026000</v>
      </c>
    </row>
    <row r="57" spans="1:3" x14ac:dyDescent="0.2">
      <c r="A57" s="34" t="s">
        <v>53</v>
      </c>
      <c r="B57" s="48"/>
      <c r="C57" s="36">
        <f>C50-C55</f>
        <v>17000</v>
      </c>
    </row>
  </sheetData>
  <phoneticPr fontId="4" type="noConversion"/>
  <pageMargins left="0.75" right="0.75" top="1" bottom="1" header="0.5" footer="0.5"/>
  <headerFooter alignWithMargins="0"/>
  <ignoredErrors>
    <ignoredError sqref="D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0"/>
  <sheetViews>
    <sheetView topLeftCell="A7" workbookViewId="0">
      <selection activeCell="F34" sqref="F34"/>
    </sheetView>
  </sheetViews>
  <sheetFormatPr baseColWidth="10" defaultColWidth="11.42578125" defaultRowHeight="12.75" x14ac:dyDescent="0.2"/>
  <cols>
    <col min="1" max="1" width="29" bestFit="1" customWidth="1"/>
    <col min="6" max="6" width="14" customWidth="1"/>
  </cols>
  <sheetData>
    <row r="1" spans="1:6" x14ac:dyDescent="0.2">
      <c r="B1" s="2">
        <v>2019</v>
      </c>
      <c r="C1" s="2">
        <v>2020</v>
      </c>
      <c r="D1" s="2">
        <v>2021</v>
      </c>
      <c r="E1" s="2">
        <v>2022</v>
      </c>
      <c r="F1" s="53" t="s">
        <v>54</v>
      </c>
    </row>
    <row r="2" spans="1:6" x14ac:dyDescent="0.2">
      <c r="A2" s="91" t="s">
        <v>55</v>
      </c>
      <c r="B2" s="95">
        <v>65090</v>
      </c>
      <c r="C2" s="95">
        <v>69430</v>
      </c>
      <c r="D2" s="95">
        <v>68640</v>
      </c>
      <c r="E2" s="95">
        <v>72900</v>
      </c>
      <c r="F2" s="96"/>
    </row>
    <row r="3" spans="1:6" x14ac:dyDescent="0.2">
      <c r="A3" s="89" t="s">
        <v>56</v>
      </c>
      <c r="B3" s="97">
        <v>3840</v>
      </c>
      <c r="C3" s="97">
        <v>3970</v>
      </c>
      <c r="D3" s="97">
        <v>3420</v>
      </c>
      <c r="E3" s="97">
        <v>3690</v>
      </c>
      <c r="F3" s="98"/>
    </row>
    <row r="4" spans="1:6" x14ac:dyDescent="0.2">
      <c r="A4" s="89" t="s">
        <v>57</v>
      </c>
      <c r="B4" s="98">
        <v>1.83</v>
      </c>
      <c r="C4" s="98">
        <v>1.52</v>
      </c>
      <c r="D4" s="98">
        <v>1.44</v>
      </c>
      <c r="E4" s="98">
        <v>1.36</v>
      </c>
      <c r="F4" s="99">
        <f>AVERAGE(B4:E4)</f>
        <v>1.5375000000000001</v>
      </c>
    </row>
    <row r="5" spans="1:6" x14ac:dyDescent="0.2">
      <c r="A5" s="89" t="s">
        <v>58</v>
      </c>
      <c r="B5" s="98">
        <v>0.95</v>
      </c>
      <c r="C5" s="98">
        <v>0.89</v>
      </c>
      <c r="D5" s="98">
        <v>0.83</v>
      </c>
      <c r="E5" s="98">
        <v>0.78</v>
      </c>
      <c r="F5" s="98">
        <v>0.9</v>
      </c>
    </row>
    <row r="6" spans="1:6" x14ac:dyDescent="0.2">
      <c r="A6" s="89" t="s">
        <v>59</v>
      </c>
      <c r="B6" s="100">
        <v>0.80200000000000005</v>
      </c>
      <c r="C6" s="100">
        <v>0.86699999999999999</v>
      </c>
      <c r="D6" s="100">
        <v>0.91400000000000003</v>
      </c>
      <c r="E6" s="100">
        <v>0.97099999999999997</v>
      </c>
      <c r="F6" s="101">
        <v>0.86</v>
      </c>
    </row>
    <row r="7" spans="1:6" x14ac:dyDescent="0.2">
      <c r="A7" s="89" t="s">
        <v>60</v>
      </c>
      <c r="B7" s="100">
        <v>5.0000000000000001E-3</v>
      </c>
      <c r="C7" s="100">
        <v>8.0000000000000002E-3</v>
      </c>
      <c r="D7" s="100">
        <v>1.4E-2</v>
      </c>
      <c r="E7" s="100">
        <v>1.7999999999999999E-2</v>
      </c>
      <c r="F7" s="100">
        <v>5.0000000000000001E-3</v>
      </c>
    </row>
    <row r="8" spans="1:6" x14ac:dyDescent="0.2">
      <c r="A8" s="94" t="s">
        <v>1</v>
      </c>
      <c r="B8" s="102">
        <v>60</v>
      </c>
      <c r="C8" s="102">
        <v>75</v>
      </c>
      <c r="D8" s="102">
        <v>93</v>
      </c>
      <c r="E8" s="102">
        <v>110</v>
      </c>
      <c r="F8" s="102">
        <v>60</v>
      </c>
    </row>
    <row r="10" spans="1:6" x14ac:dyDescent="0.2">
      <c r="A10" s="93" t="s">
        <v>140</v>
      </c>
      <c r="B10" s="51"/>
    </row>
    <row r="11" spans="1:6" x14ac:dyDescent="0.2">
      <c r="A11" s="91" t="s">
        <v>6</v>
      </c>
      <c r="B11" s="95">
        <v>35280</v>
      </c>
    </row>
    <row r="12" spans="1:6" x14ac:dyDescent="0.2">
      <c r="A12" s="89"/>
      <c r="B12" s="98"/>
    </row>
    <row r="13" spans="1:6" x14ac:dyDescent="0.2">
      <c r="A13" s="89" t="s">
        <v>61</v>
      </c>
      <c r="B13" s="98"/>
    </row>
    <row r="14" spans="1:6" x14ac:dyDescent="0.2">
      <c r="A14" s="89" t="s">
        <v>62</v>
      </c>
      <c r="B14" s="97">
        <v>16450</v>
      </c>
    </row>
    <row r="15" spans="1:6" x14ac:dyDescent="0.2">
      <c r="A15" s="89" t="s">
        <v>63</v>
      </c>
      <c r="B15" s="97">
        <v>21970</v>
      </c>
    </row>
    <row r="16" spans="1:6" x14ac:dyDescent="0.2">
      <c r="A16" s="94" t="s">
        <v>64</v>
      </c>
      <c r="B16" s="98">
        <v>150</v>
      </c>
    </row>
    <row r="17" spans="1:2" x14ac:dyDescent="0.2">
      <c r="A17" s="52" t="s">
        <v>31</v>
      </c>
      <c r="B17" s="36">
        <f>SUM(B11:B16)</f>
        <v>73850</v>
      </c>
    </row>
    <row r="18" spans="1:2" x14ac:dyDescent="0.2">
      <c r="B18" s="3"/>
    </row>
    <row r="19" spans="1:2" x14ac:dyDescent="0.2">
      <c r="A19" s="91" t="s">
        <v>65</v>
      </c>
      <c r="B19" s="95"/>
    </row>
    <row r="20" spans="1:2" x14ac:dyDescent="0.2">
      <c r="A20" s="89" t="s">
        <v>66</v>
      </c>
      <c r="B20" s="97">
        <v>30490</v>
      </c>
    </row>
    <row r="21" spans="1:2" x14ac:dyDescent="0.2">
      <c r="A21" s="89" t="s">
        <v>67</v>
      </c>
      <c r="B21" s="97">
        <v>15000</v>
      </c>
    </row>
    <row r="22" spans="1:2" x14ac:dyDescent="0.2">
      <c r="A22" s="89" t="s">
        <v>68</v>
      </c>
      <c r="B22" s="98"/>
    </row>
    <row r="23" spans="1:2" x14ac:dyDescent="0.2">
      <c r="A23" s="89" t="s">
        <v>69</v>
      </c>
      <c r="B23" s="97">
        <v>14600</v>
      </c>
    </row>
    <row r="24" spans="1:2" x14ac:dyDescent="0.2">
      <c r="A24" s="89" t="s">
        <v>70</v>
      </c>
      <c r="B24" s="97">
        <v>13760</v>
      </c>
    </row>
    <row r="25" spans="1:2" x14ac:dyDescent="0.2">
      <c r="A25" s="89"/>
      <c r="B25" s="102"/>
    </row>
    <row r="26" spans="1:2" x14ac:dyDescent="0.2">
      <c r="A26" s="52" t="s">
        <v>39</v>
      </c>
      <c r="B26" s="103">
        <f>SUM(B20:B25)</f>
        <v>73850</v>
      </c>
    </row>
    <row r="28" spans="1:2" x14ac:dyDescent="0.2">
      <c r="A28" s="91" t="s">
        <v>71</v>
      </c>
      <c r="B28" s="105">
        <v>0.03</v>
      </c>
    </row>
    <row r="29" spans="1:2" x14ac:dyDescent="0.2">
      <c r="A29" s="89" t="s">
        <v>72</v>
      </c>
      <c r="B29" s="98">
        <v>14</v>
      </c>
    </row>
    <row r="30" spans="1:2" x14ac:dyDescent="0.2">
      <c r="A30" s="89" t="s">
        <v>73</v>
      </c>
      <c r="B30" s="98">
        <v>60</v>
      </c>
    </row>
    <row r="31" spans="1:2" x14ac:dyDescent="0.2">
      <c r="A31" s="89" t="s">
        <v>74</v>
      </c>
      <c r="B31" s="98">
        <v>110</v>
      </c>
    </row>
    <row r="32" spans="1:2" x14ac:dyDescent="0.2">
      <c r="A32" s="89" t="s">
        <v>75</v>
      </c>
      <c r="B32" s="101">
        <v>0.5</v>
      </c>
    </row>
    <row r="33" spans="1:2" x14ac:dyDescent="0.2">
      <c r="A33" s="89" t="s">
        <v>76</v>
      </c>
      <c r="B33" s="101">
        <f>1-B32</f>
        <v>0.5</v>
      </c>
    </row>
    <row r="34" spans="1:2" x14ac:dyDescent="0.2">
      <c r="A34" s="89" t="s">
        <v>77</v>
      </c>
      <c r="B34" s="101">
        <v>0.14000000000000001</v>
      </c>
    </row>
    <row r="35" spans="1:2" x14ac:dyDescent="0.2">
      <c r="A35" s="89"/>
      <c r="B35" s="98"/>
    </row>
    <row r="36" spans="1:2" x14ac:dyDescent="0.2">
      <c r="A36" s="89" t="s">
        <v>78</v>
      </c>
      <c r="B36" s="77">
        <f>E2*B29*B32/365</f>
        <v>1398.0821917808219</v>
      </c>
    </row>
    <row r="37" spans="1:2" x14ac:dyDescent="0.2">
      <c r="A37" s="94" t="s">
        <v>79</v>
      </c>
      <c r="B37" s="78">
        <f>E2*B31*B33/365</f>
        <v>10984.931506849314</v>
      </c>
    </row>
    <row r="38" spans="1:2" x14ac:dyDescent="0.2">
      <c r="A38" s="89" t="s">
        <v>80</v>
      </c>
      <c r="B38" s="106">
        <f>SUM(B36:B37)</f>
        <v>12383.013698630137</v>
      </c>
    </row>
    <row r="39" spans="1:2" x14ac:dyDescent="0.2">
      <c r="A39" s="94" t="s">
        <v>81</v>
      </c>
      <c r="B39" s="107">
        <f>B15</f>
        <v>21970</v>
      </c>
    </row>
    <row r="40" spans="1:2" x14ac:dyDescent="0.2">
      <c r="A40" s="89" t="s">
        <v>82</v>
      </c>
      <c r="B40" s="106">
        <f>B38-B39</f>
        <v>-9586.9863013698632</v>
      </c>
    </row>
    <row r="41" spans="1:2" x14ac:dyDescent="0.2">
      <c r="A41" s="89"/>
      <c r="B41" s="98"/>
    </row>
    <row r="42" spans="1:2" x14ac:dyDescent="0.2">
      <c r="A42" s="89" t="s">
        <v>71</v>
      </c>
      <c r="B42" s="77">
        <f>E2*B28*B32</f>
        <v>1093.5</v>
      </c>
    </row>
    <row r="43" spans="1:2" x14ac:dyDescent="0.2">
      <c r="A43" s="94" t="s">
        <v>83</v>
      </c>
      <c r="B43" s="102">
        <v>500</v>
      </c>
    </row>
    <row r="44" spans="1:2" x14ac:dyDescent="0.2">
      <c r="A44" s="104" t="s">
        <v>84</v>
      </c>
      <c r="B44" s="108">
        <f>SUM(B42:B43)</f>
        <v>1593.5</v>
      </c>
    </row>
    <row r="45" spans="1:2" x14ac:dyDescent="0.2">
      <c r="A45" s="89"/>
      <c r="B45" s="106"/>
    </row>
    <row r="46" spans="1:2" x14ac:dyDescent="0.2">
      <c r="A46" s="89" t="s">
        <v>85</v>
      </c>
      <c r="B46" s="106">
        <f>-B40*B34</f>
        <v>1342.178082191781</v>
      </c>
    </row>
    <row r="47" spans="1:2" x14ac:dyDescent="0.2">
      <c r="A47" s="94" t="s">
        <v>86</v>
      </c>
      <c r="B47" s="78">
        <f>E2*E7/2</f>
        <v>656.09999999999991</v>
      </c>
    </row>
    <row r="48" spans="1:2" x14ac:dyDescent="0.2">
      <c r="A48" s="104" t="s">
        <v>87</v>
      </c>
      <c r="B48" s="108">
        <f>SUM(B46:B47)</f>
        <v>1998.2780821917809</v>
      </c>
    </row>
    <row r="49" spans="1:2" x14ac:dyDescent="0.2">
      <c r="A49" s="89"/>
      <c r="B49" s="98"/>
    </row>
    <row r="50" spans="1:2" x14ac:dyDescent="0.2">
      <c r="A50" s="5" t="s">
        <v>88</v>
      </c>
      <c r="B50" s="55">
        <f>B48-B44</f>
        <v>404.77808219178087</v>
      </c>
    </row>
  </sheetData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17"/>
  <sheetViews>
    <sheetView zoomScale="120" zoomScaleNormal="120" workbookViewId="0">
      <selection activeCell="H39" sqref="H39"/>
    </sheetView>
  </sheetViews>
  <sheetFormatPr baseColWidth="10" defaultColWidth="11.42578125" defaultRowHeight="12.75" x14ac:dyDescent="0.2"/>
  <cols>
    <col min="1" max="1" width="33.42578125" bestFit="1" customWidth="1"/>
    <col min="2" max="2" width="12.85546875" bestFit="1" customWidth="1"/>
  </cols>
  <sheetData>
    <row r="2" spans="1:4" x14ac:dyDescent="0.2">
      <c r="B2" s="58">
        <v>2017</v>
      </c>
    </row>
    <row r="3" spans="1:4" x14ac:dyDescent="0.2">
      <c r="A3" s="56" t="s">
        <v>19</v>
      </c>
      <c r="B3" s="109">
        <v>109969</v>
      </c>
    </row>
    <row r="4" spans="1:4" x14ac:dyDescent="0.2">
      <c r="A4" s="57" t="s">
        <v>89</v>
      </c>
      <c r="B4" s="112">
        <v>693536</v>
      </c>
    </row>
    <row r="5" spans="1:4" x14ac:dyDescent="0.2">
      <c r="A5" s="57" t="s">
        <v>14</v>
      </c>
      <c r="B5" s="112">
        <v>1384151</v>
      </c>
    </row>
    <row r="6" spans="1:4" x14ac:dyDescent="0.2">
      <c r="A6" s="57" t="s">
        <v>90</v>
      </c>
      <c r="B6" s="112">
        <v>182468</v>
      </c>
    </row>
    <row r="7" spans="1:4" x14ac:dyDescent="0.2">
      <c r="A7" s="57" t="s">
        <v>91</v>
      </c>
      <c r="B7" s="112">
        <v>511068</v>
      </c>
    </row>
    <row r="8" spans="1:4" x14ac:dyDescent="0.2">
      <c r="A8" s="57" t="s">
        <v>92</v>
      </c>
      <c r="B8" s="112">
        <v>-59427</v>
      </c>
    </row>
    <row r="9" spans="1:4" x14ac:dyDescent="0.2">
      <c r="A9" s="110" t="s">
        <v>141</v>
      </c>
      <c r="B9" s="113">
        <v>112971</v>
      </c>
    </row>
    <row r="11" spans="1:4" x14ac:dyDescent="0.2">
      <c r="B11" s="62" t="s">
        <v>93</v>
      </c>
      <c r="C11" s="62" t="s">
        <v>94</v>
      </c>
      <c r="D11" s="63" t="s">
        <v>46</v>
      </c>
    </row>
    <row r="12" spans="1:4" x14ac:dyDescent="0.2">
      <c r="A12" s="59" t="s">
        <v>95</v>
      </c>
      <c r="B12" s="64">
        <f>B8/B4</f>
        <v>-8.5686972269644252E-2</v>
      </c>
      <c r="C12" s="65">
        <v>1.2</v>
      </c>
      <c r="D12" s="68">
        <f>B12*C12</f>
        <v>-0.1028243667235731</v>
      </c>
    </row>
    <row r="13" spans="1:4" x14ac:dyDescent="0.2">
      <c r="A13" s="60" t="s">
        <v>96</v>
      </c>
      <c r="B13" s="66">
        <f>B9/B4</f>
        <v>0.1628913279195312</v>
      </c>
      <c r="C13" s="22">
        <v>1.4</v>
      </c>
      <c r="D13" s="69">
        <f>B13*C13</f>
        <v>0.22804785908734368</v>
      </c>
    </row>
    <row r="14" spans="1:4" x14ac:dyDescent="0.2">
      <c r="A14" s="60" t="s">
        <v>97</v>
      </c>
      <c r="B14" s="66">
        <f>B3/B4</f>
        <v>0.15856278549347114</v>
      </c>
      <c r="C14" s="22">
        <v>3.3</v>
      </c>
      <c r="D14" s="69">
        <f>B14*C14</f>
        <v>0.52325719212845467</v>
      </c>
    </row>
    <row r="15" spans="1:4" x14ac:dyDescent="0.2">
      <c r="A15" s="60" t="s">
        <v>98</v>
      </c>
      <c r="B15" s="66">
        <f>B6/B7</f>
        <v>0.35703272362973226</v>
      </c>
      <c r="C15" s="22">
        <v>0.6</v>
      </c>
      <c r="D15" s="69">
        <f>B15*C15</f>
        <v>0.21421963417783935</v>
      </c>
    </row>
    <row r="16" spans="1:4" x14ac:dyDescent="0.2">
      <c r="A16" s="61" t="s">
        <v>99</v>
      </c>
      <c r="B16" s="67">
        <f>B5/B4</f>
        <v>1.9957882503575879</v>
      </c>
      <c r="C16" s="54">
        <v>0.999</v>
      </c>
      <c r="D16" s="70">
        <f>B16*C16</f>
        <v>1.9937924621072303</v>
      </c>
    </row>
    <row r="17" spans="1:4" x14ac:dyDescent="0.2">
      <c r="A17" s="10" t="s">
        <v>100</v>
      </c>
      <c r="B17" s="27"/>
      <c r="C17" s="27"/>
      <c r="D17" s="111">
        <f>SUM(D12:D16)</f>
        <v>2.8564927807772946</v>
      </c>
    </row>
  </sheetData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workbookViewId="0">
      <selection activeCell="H11" sqref="H11"/>
    </sheetView>
  </sheetViews>
  <sheetFormatPr baseColWidth="10" defaultColWidth="9.140625" defaultRowHeight="12.75" x14ac:dyDescent="0.2"/>
  <cols>
    <col min="2" max="2" width="15.7109375" bestFit="1" customWidth="1"/>
  </cols>
  <sheetData>
    <row r="1" spans="1:3" ht="15" x14ac:dyDescent="0.25">
      <c r="A1" s="117" t="s">
        <v>101</v>
      </c>
      <c r="B1" s="117" t="s">
        <v>102</v>
      </c>
      <c r="C1" s="117" t="s">
        <v>103</v>
      </c>
    </row>
    <row r="2" spans="1:3" x14ac:dyDescent="0.2">
      <c r="A2" s="114" t="s">
        <v>104</v>
      </c>
      <c r="B2" s="114">
        <v>0.12</v>
      </c>
      <c r="C2" s="114">
        <v>1</v>
      </c>
    </row>
    <row r="3" spans="1:3" x14ac:dyDescent="0.2">
      <c r="A3" s="115" t="s">
        <v>105</v>
      </c>
      <c r="B3" s="115">
        <v>0.15</v>
      </c>
      <c r="C3" s="115">
        <v>0</v>
      </c>
    </row>
    <row r="4" spans="1:3" x14ac:dyDescent="0.2">
      <c r="A4" s="115" t="s">
        <v>106</v>
      </c>
      <c r="B4" s="115">
        <v>0.17</v>
      </c>
      <c r="C4" s="115">
        <v>0</v>
      </c>
    </row>
    <row r="5" spans="1:3" x14ac:dyDescent="0.2">
      <c r="A5" s="115" t="s">
        <v>107</v>
      </c>
      <c r="B5" s="115">
        <v>0.09</v>
      </c>
      <c r="C5" s="115">
        <v>1</v>
      </c>
    </row>
    <row r="6" spans="1:3" x14ac:dyDescent="0.2">
      <c r="A6" s="115" t="s">
        <v>108</v>
      </c>
      <c r="B6" s="115">
        <v>0.11</v>
      </c>
      <c r="C6" s="115">
        <v>0</v>
      </c>
    </row>
    <row r="7" spans="1:3" x14ac:dyDescent="0.2">
      <c r="A7" s="115" t="s">
        <v>109</v>
      </c>
      <c r="B7" s="115">
        <v>0.25</v>
      </c>
      <c r="C7" s="115">
        <v>1</v>
      </c>
    </row>
    <row r="8" spans="1:3" x14ac:dyDescent="0.2">
      <c r="A8" s="115" t="s">
        <v>110</v>
      </c>
      <c r="B8" s="115">
        <v>0.18</v>
      </c>
      <c r="C8" s="115">
        <v>0</v>
      </c>
    </row>
    <row r="9" spans="1:3" x14ac:dyDescent="0.2">
      <c r="A9" s="115" t="s">
        <v>111</v>
      </c>
      <c r="B9" s="115">
        <v>0.16</v>
      </c>
      <c r="C9" s="115">
        <v>1</v>
      </c>
    </row>
    <row r="10" spans="1:3" x14ac:dyDescent="0.2">
      <c r="A10" s="115" t="s">
        <v>112</v>
      </c>
      <c r="B10" s="115">
        <v>0.22</v>
      </c>
      <c r="C10" s="115">
        <v>0</v>
      </c>
    </row>
    <row r="11" spans="1:3" x14ac:dyDescent="0.2">
      <c r="A11" s="115" t="s">
        <v>113</v>
      </c>
      <c r="B11" s="115">
        <v>0.14000000000000001</v>
      </c>
      <c r="C11" s="115">
        <v>1</v>
      </c>
    </row>
    <row r="12" spans="1:3" x14ac:dyDescent="0.2">
      <c r="A12" s="115" t="s">
        <v>114</v>
      </c>
      <c r="B12" s="115">
        <v>0.13</v>
      </c>
      <c r="C12" s="115">
        <v>1</v>
      </c>
    </row>
    <row r="13" spans="1:3" x14ac:dyDescent="0.2">
      <c r="A13" s="116" t="s">
        <v>115</v>
      </c>
      <c r="B13" s="116">
        <v>0.14000000000000001</v>
      </c>
      <c r="C13" s="116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8"/>
  <sheetViews>
    <sheetView tabSelected="1" workbookViewId="0">
      <selection activeCell="E37" sqref="E37"/>
    </sheetView>
  </sheetViews>
  <sheetFormatPr baseColWidth="10" defaultColWidth="9.140625" defaultRowHeight="12.75" x14ac:dyDescent="0.2"/>
  <cols>
    <col min="1" max="1" width="18.7109375" bestFit="1" customWidth="1"/>
    <col min="2" max="2" width="12.5703125" bestFit="1" customWidth="1"/>
    <col min="3" max="3" width="13.7109375" bestFit="1" customWidth="1"/>
    <col min="4" max="4" width="12.5703125" bestFit="1" customWidth="1"/>
    <col min="5" max="5" width="12" bestFit="1" customWidth="1"/>
    <col min="6" max="6" width="13.5703125" bestFit="1" customWidth="1"/>
    <col min="7" max="7" width="12" bestFit="1" customWidth="1"/>
    <col min="8" max="8" width="12.5703125" bestFit="1" customWidth="1"/>
    <col min="9" max="9" width="12.28515625" bestFit="1" customWidth="1"/>
  </cols>
  <sheetData>
    <row r="1" spans="1:9" x14ac:dyDescent="0.2">
      <c r="A1" t="s">
        <v>116</v>
      </c>
    </row>
    <row r="2" spans="1:9" ht="13.5" thickBot="1" x14ac:dyDescent="0.25"/>
    <row r="3" spans="1:9" x14ac:dyDescent="0.2">
      <c r="A3" s="73" t="s">
        <v>117</v>
      </c>
      <c r="B3" s="73"/>
    </row>
    <row r="4" spans="1:9" x14ac:dyDescent="0.2">
      <c r="A4" t="s">
        <v>118</v>
      </c>
      <c r="B4">
        <v>0.21375011730865737</v>
      </c>
    </row>
    <row r="5" spans="1:9" x14ac:dyDescent="0.2">
      <c r="A5" t="s">
        <v>119</v>
      </c>
      <c r="B5">
        <v>4.5689112649464791E-2</v>
      </c>
    </row>
    <row r="6" spans="1:9" x14ac:dyDescent="0.2">
      <c r="A6" t="s">
        <v>120</v>
      </c>
      <c r="B6">
        <v>-4.9741976085588724E-2</v>
      </c>
    </row>
    <row r="7" spans="1:9" x14ac:dyDescent="0.2">
      <c r="A7" t="s">
        <v>121</v>
      </c>
      <c r="B7">
        <v>0.52758001807994914</v>
      </c>
    </row>
    <row r="8" spans="1:9" ht="13.5" thickBot="1" x14ac:dyDescent="0.25">
      <c r="A8" s="71" t="s">
        <v>122</v>
      </c>
      <c r="B8" s="71">
        <v>12</v>
      </c>
    </row>
    <row r="10" spans="1:9" ht="13.5" thickBot="1" x14ac:dyDescent="0.25">
      <c r="A10" t="s">
        <v>123</v>
      </c>
    </row>
    <row r="11" spans="1:9" x14ac:dyDescent="0.2">
      <c r="A11" s="72"/>
      <c r="B11" s="72" t="s">
        <v>124</v>
      </c>
      <c r="C11" s="72" t="s">
        <v>125</v>
      </c>
      <c r="D11" s="72" t="s">
        <v>126</v>
      </c>
      <c r="E11" s="72" t="s">
        <v>109</v>
      </c>
      <c r="F11" s="72" t="s">
        <v>127</v>
      </c>
    </row>
    <row r="12" spans="1:9" x14ac:dyDescent="0.2">
      <c r="A12" t="s">
        <v>128</v>
      </c>
      <c r="B12">
        <v>1</v>
      </c>
      <c r="C12">
        <v>0.13325991189427233</v>
      </c>
      <c r="D12">
        <v>0.13325991189427233</v>
      </c>
      <c r="E12">
        <v>0.47876549723027922</v>
      </c>
      <c r="F12">
        <v>0.50472990547729357</v>
      </c>
    </row>
    <row r="13" spans="1:9" x14ac:dyDescent="0.2">
      <c r="A13" t="s">
        <v>129</v>
      </c>
      <c r="B13">
        <v>10</v>
      </c>
      <c r="C13">
        <v>2.7834067547723946</v>
      </c>
      <c r="D13">
        <v>0.27834067547723945</v>
      </c>
    </row>
    <row r="14" spans="1:9" ht="13.5" thickBot="1" x14ac:dyDescent="0.25">
      <c r="A14" s="71" t="s">
        <v>130</v>
      </c>
      <c r="B14" s="71">
        <v>11</v>
      </c>
      <c r="C14" s="71">
        <v>2.916666666666667</v>
      </c>
      <c r="D14" s="71"/>
      <c r="E14" s="71"/>
      <c r="F14" s="71"/>
    </row>
    <row r="15" spans="1:9" ht="13.5" thickBot="1" x14ac:dyDescent="0.25"/>
    <row r="16" spans="1:9" x14ac:dyDescent="0.2">
      <c r="A16" s="72"/>
      <c r="B16" s="72" t="s">
        <v>131</v>
      </c>
      <c r="C16" s="72" t="s">
        <v>121</v>
      </c>
      <c r="D16" s="72" t="s">
        <v>132</v>
      </c>
      <c r="E16" s="72" t="s">
        <v>133</v>
      </c>
      <c r="F16" s="72" t="s">
        <v>134</v>
      </c>
      <c r="G16" s="72" t="s">
        <v>135</v>
      </c>
      <c r="H16" s="72" t="s">
        <v>136</v>
      </c>
      <c r="I16" s="72" t="s">
        <v>137</v>
      </c>
    </row>
    <row r="17" spans="1:9" x14ac:dyDescent="0.2">
      <c r="A17" t="s">
        <v>138</v>
      </c>
      <c r="B17">
        <v>0.958883994126285</v>
      </c>
      <c r="C17">
        <v>0.56372199642760057</v>
      </c>
      <c r="D17">
        <v>1.7009873664729978</v>
      </c>
      <c r="E17">
        <v>0.11977929196997646</v>
      </c>
      <c r="F17">
        <v>-0.29716688783331957</v>
      </c>
      <c r="G17">
        <v>2.2149348760858896</v>
      </c>
      <c r="H17">
        <v>-0.29716688783331957</v>
      </c>
      <c r="I17">
        <v>2.2149348760858896</v>
      </c>
    </row>
    <row r="18" spans="1:9" ht="13.5" thickBot="1" x14ac:dyDescent="0.25">
      <c r="A18" s="71" t="s">
        <v>139</v>
      </c>
      <c r="B18" s="71">
        <v>-2.4229074889867852</v>
      </c>
      <c r="C18" s="71">
        <v>3.5016715673399692</v>
      </c>
      <c r="D18" s="71">
        <v>-0.69192882381808785</v>
      </c>
      <c r="E18" s="71">
        <v>0.50472990547729224</v>
      </c>
      <c r="F18" s="71">
        <v>-10.225117955072642</v>
      </c>
      <c r="G18" s="71">
        <v>5.379302977099071</v>
      </c>
      <c r="H18" s="71">
        <v>-10.225117955072642</v>
      </c>
      <c r="I18" s="71">
        <v>5.379302977099071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 1</vt:lpstr>
      <vt:lpstr>Opp 2</vt:lpstr>
      <vt:lpstr>Opp 3</vt:lpstr>
      <vt:lpstr>Opp 5</vt:lpstr>
      <vt:lpstr>Opp 6-data</vt:lpstr>
      <vt:lpstr>Opp 6 - resultater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2001-11-08T09:13:20Z</dcterms:created>
  <dcterms:modified xsi:type="dcterms:W3CDTF">2023-06-23T08:30:48Z</dcterms:modified>
  <cp:category/>
  <cp:contentStatus/>
</cp:coreProperties>
</file>