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0209E602-7E50-4424-B927-62FF644ED9E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ppgave 1" sheetId="2" r:id="rId1"/>
    <sheet name="Oppgave 2" sheetId="1" r:id="rId2"/>
    <sheet name="Oppgave 3" sheetId="3" r:id="rId3"/>
    <sheet name="Oppgave 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4" l="1"/>
  <c r="B44" i="4"/>
  <c r="B42" i="4"/>
  <c r="B39" i="4"/>
  <c r="B38" i="4"/>
  <c r="A29" i="4"/>
  <c r="B15" i="4"/>
  <c r="C24" i="4" s="1"/>
  <c r="D6" i="4"/>
  <c r="D7" i="4" s="1"/>
  <c r="D8" i="4" s="1"/>
  <c r="C6" i="4"/>
  <c r="B17" i="4" s="1"/>
  <c r="C25" i="4" l="1"/>
  <c r="C26" i="4"/>
  <c r="C27" i="4"/>
  <c r="C28" i="4" s="1"/>
  <c r="C29" i="4" s="1"/>
  <c r="C7" i="4"/>
  <c r="B12" i="4"/>
  <c r="C8" i="4" l="1"/>
  <c r="B18" i="4"/>
  <c r="B19" i="4" s="1"/>
  <c r="B27" i="3"/>
  <c r="B25" i="3"/>
  <c r="B20" i="3"/>
  <c r="B19" i="3"/>
  <c r="B17" i="3"/>
  <c r="B6" i="3"/>
  <c r="C13" i="3"/>
  <c r="D13" i="3"/>
  <c r="B5" i="3"/>
  <c r="B8" i="3" s="1"/>
  <c r="B10" i="3" s="1"/>
  <c r="B3" i="3"/>
  <c r="B13" i="3" s="1"/>
  <c r="B46" i="1"/>
  <c r="B35" i="2"/>
  <c r="C32" i="2"/>
  <c r="C29" i="2"/>
  <c r="B33" i="2"/>
  <c r="B32" i="2"/>
  <c r="B30" i="2"/>
  <c r="B29" i="2"/>
  <c r="B27" i="2"/>
  <c r="B25" i="2"/>
  <c r="B24" i="2"/>
  <c r="C20" i="2"/>
  <c r="D20" i="2"/>
  <c r="E20" i="2"/>
  <c r="F20" i="2"/>
  <c r="G20" i="2"/>
  <c r="H20" i="2"/>
  <c r="B20" i="2"/>
  <c r="B19" i="2"/>
  <c r="A19" i="2"/>
  <c r="B18" i="2"/>
  <c r="A18" i="2"/>
  <c r="D16" i="2"/>
  <c r="E16" i="2"/>
  <c r="F16" i="2"/>
  <c r="G16" i="2"/>
  <c r="H16" i="2"/>
  <c r="C16" i="2"/>
  <c r="H17" i="2"/>
  <c r="B17" i="2"/>
  <c r="A17" i="2"/>
  <c r="A16" i="2"/>
  <c r="D15" i="2"/>
  <c r="E15" i="2"/>
  <c r="F15" i="2"/>
  <c r="G15" i="2"/>
  <c r="H15" i="2"/>
  <c r="C15" i="2"/>
  <c r="A15" i="2"/>
  <c r="D14" i="2"/>
  <c r="E14" i="2"/>
  <c r="F14" i="2"/>
  <c r="G14" i="2"/>
  <c r="H14" i="2"/>
  <c r="C14" i="2"/>
  <c r="B4" i="2"/>
  <c r="B25" i="1"/>
  <c r="D40" i="1"/>
  <c r="C40" i="1"/>
  <c r="B40" i="1"/>
  <c r="G39" i="1"/>
  <c r="B42" i="1" s="1"/>
  <c r="B39" i="1"/>
  <c r="B41" i="1" s="1"/>
  <c r="G37" i="1"/>
  <c r="G38" i="1" s="1"/>
  <c r="F37" i="1"/>
  <c r="F38" i="1" s="1"/>
  <c r="E37" i="1"/>
  <c r="D37" i="1"/>
  <c r="D38" i="1" s="1"/>
  <c r="C37" i="1"/>
  <c r="B26" i="1"/>
  <c r="B17" i="1"/>
  <c r="F10" i="1"/>
  <c r="E10" i="1"/>
  <c r="D10" i="1"/>
  <c r="C10" i="1"/>
  <c r="B10" i="1"/>
  <c r="G8" i="1"/>
  <c r="G40" i="1" s="1"/>
  <c r="B14" i="3" l="1"/>
  <c r="B15" i="3" s="1"/>
  <c r="D14" i="3"/>
  <c r="D15" i="3" s="1"/>
  <c r="C14" i="3"/>
  <c r="C15" i="3" s="1"/>
  <c r="C38" i="1"/>
  <c r="C43" i="1" s="1"/>
  <c r="E38" i="1"/>
  <c r="E43" i="1" s="1"/>
  <c r="B27" i="1"/>
  <c r="G43" i="1"/>
  <c r="G10" i="1"/>
  <c r="B14" i="1" s="1"/>
  <c r="D43" i="1"/>
  <c r="B43" i="1"/>
  <c r="F43" i="1"/>
</calcChain>
</file>

<file path=xl/sharedStrings.xml><?xml version="1.0" encoding="utf-8"?>
<sst xmlns="http://schemas.openxmlformats.org/spreadsheetml/2006/main" count="120" uniqueCount="91">
  <si>
    <t>Salgspris</t>
  </si>
  <si>
    <t>Råvarer</t>
  </si>
  <si>
    <t>Lønn</t>
  </si>
  <si>
    <t>Dekningsbidrag</t>
  </si>
  <si>
    <t>Volum</t>
  </si>
  <si>
    <t>Produksjonsutstyr</t>
  </si>
  <si>
    <t>Arbeidskapital</t>
  </si>
  <si>
    <t>Markedsføring</t>
  </si>
  <si>
    <t>Faste kostnader</t>
  </si>
  <si>
    <t>Rettigheter</t>
  </si>
  <si>
    <t>År</t>
  </si>
  <si>
    <t>Kontantstrøm</t>
  </si>
  <si>
    <t>Avkastningskrav</t>
  </si>
  <si>
    <t>Nåverdi</t>
  </si>
  <si>
    <t>Internrente</t>
  </si>
  <si>
    <t>Nåverdiannuitet</t>
  </si>
  <si>
    <t>Pris kan falle med</t>
  </si>
  <si>
    <t>Laveste pris er</t>
  </si>
  <si>
    <t>Mengde kan falle med</t>
  </si>
  <si>
    <t>Laveste mengde er</t>
  </si>
  <si>
    <t>Maksimal pris rettighet</t>
  </si>
  <si>
    <t>2023 (UB)</t>
  </si>
  <si>
    <t>Inntekter</t>
  </si>
  <si>
    <t>Lisenskostnader</t>
  </si>
  <si>
    <t>Lønnskostnader</t>
  </si>
  <si>
    <t>Materialkostnader</t>
  </si>
  <si>
    <t>Indirekte kostnader</t>
  </si>
  <si>
    <t>Ny ansatt</t>
  </si>
  <si>
    <t>Anleggsmidler</t>
  </si>
  <si>
    <t>Gjeldsandel</t>
  </si>
  <si>
    <t>Egenkapitalandel</t>
  </si>
  <si>
    <t>Gjeldsrente</t>
  </si>
  <si>
    <t>Risikofri rente</t>
  </si>
  <si>
    <t>Markedsavkastning</t>
  </si>
  <si>
    <t>Skatt</t>
  </si>
  <si>
    <t>Avskrivningssats</t>
  </si>
  <si>
    <t>Aksjebeta</t>
  </si>
  <si>
    <t>Egenkapitalkostnad</t>
  </si>
  <si>
    <t>Gjeldsrente etter skatt</t>
  </si>
  <si>
    <t>WACC</t>
  </si>
  <si>
    <t>WACC avrundet</t>
  </si>
  <si>
    <t>Resultat før skatt</t>
  </si>
  <si>
    <t>NV spart skatt avskr.</t>
  </si>
  <si>
    <t>NV økt skatt nedskr.</t>
  </si>
  <si>
    <t>Beregningsgrunnlag</t>
  </si>
  <si>
    <t>NNV etter skatt</t>
  </si>
  <si>
    <t>Lån</t>
  </si>
  <si>
    <t>Nominell årstente</t>
  </si>
  <si>
    <t>Nominell mnd rente</t>
  </si>
  <si>
    <t>Løpetid år</t>
  </si>
  <si>
    <t>Løpetid mnd</t>
  </si>
  <si>
    <t>Gebyrer</t>
  </si>
  <si>
    <t>Renter og avdrag pr. mnd.</t>
  </si>
  <si>
    <t>Termingebyr</t>
  </si>
  <si>
    <t>Sum pr. mnd</t>
  </si>
  <si>
    <t>Måned</t>
  </si>
  <si>
    <t>Rente</t>
  </si>
  <si>
    <t>Avdrag</t>
  </si>
  <si>
    <t>Sum</t>
  </si>
  <si>
    <t>Netto utbetalt lån</t>
  </si>
  <si>
    <t>Effektiv månedsrente</t>
  </si>
  <si>
    <t>Effektiv årsrente</t>
  </si>
  <si>
    <t>Inflasjon</t>
  </si>
  <si>
    <t>Realrente etter skatt</t>
  </si>
  <si>
    <t>Effektiv rente uten gebyrer</t>
  </si>
  <si>
    <t>Konjunktur</t>
  </si>
  <si>
    <t>Sannsynlighet</t>
  </si>
  <si>
    <t>Avkastning A</t>
  </si>
  <si>
    <t>Avkastning B</t>
  </si>
  <si>
    <t>Høy</t>
  </si>
  <si>
    <t>Normal</t>
  </si>
  <si>
    <t>Resesjon</t>
  </si>
  <si>
    <t>Forventet avkastning</t>
  </si>
  <si>
    <t>Varians</t>
  </si>
  <si>
    <t>Standardavvik</t>
  </si>
  <si>
    <t>Alternativ 1 - beregne standardavvik portefølje via kovarians</t>
  </si>
  <si>
    <t>Kovarians</t>
  </si>
  <si>
    <t>Andel A</t>
  </si>
  <si>
    <t>Andel B</t>
  </si>
  <si>
    <t>Alternativ 2 - beregne standardavvik portefølje ved å tabulere utfall:</t>
  </si>
  <si>
    <t>Avkastning</t>
  </si>
  <si>
    <t>Korrelasjon X og M</t>
  </si>
  <si>
    <t>Standardavvik X</t>
  </si>
  <si>
    <t>Standardavvik Y</t>
  </si>
  <si>
    <t>Korrelasjon Y og M</t>
  </si>
  <si>
    <t>Standardavvik M</t>
  </si>
  <si>
    <t>Korrelasjon X og Y</t>
  </si>
  <si>
    <t>Beta X</t>
  </si>
  <si>
    <t>Beta Y</t>
  </si>
  <si>
    <t>Andel X</t>
  </si>
  <si>
    <t>Andel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</si>
</sst>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0.0\ %"/>
    <numFmt numFmtId="167" formatCode="0.0000\ 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1" xfId="0" applyFill="1" applyBorder="1"/>
    <xf numFmtId="0" fontId="0" fillId="4" borderId="14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9" xfId="0" applyFill="1" applyBorder="1"/>
    <xf numFmtId="3" fontId="0" fillId="6" borderId="3" xfId="0" applyNumberFormat="1" applyFill="1" applyBorder="1"/>
    <xf numFmtId="3" fontId="0" fillId="6" borderId="6" xfId="0" applyNumberFormat="1" applyFill="1" applyBorder="1"/>
    <xf numFmtId="3" fontId="0" fillId="6" borderId="9" xfId="0" applyNumberFormat="1" applyFill="1" applyBorder="1"/>
    <xf numFmtId="165" fontId="0" fillId="0" borderId="0" xfId="1" applyNumberFormat="1" applyFont="1"/>
    <xf numFmtId="0" fontId="0" fillId="4" borderId="1" xfId="0" applyFill="1" applyBorder="1"/>
    <xf numFmtId="3" fontId="0" fillId="4" borderId="1" xfId="0" applyNumberForma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9" xfId="1" applyNumberFormat="1" applyFont="1" applyBorder="1"/>
    <xf numFmtId="0" fontId="0" fillId="4" borderId="1" xfId="0" applyFill="1" applyBorder="1" applyAlignment="1">
      <alignment horizontal="center"/>
    </xf>
    <xf numFmtId="0" fontId="0" fillId="7" borderId="9" xfId="0" applyFill="1" applyBorder="1"/>
    <xf numFmtId="165" fontId="0" fillId="7" borderId="9" xfId="1" applyNumberFormat="1" applyFont="1" applyFill="1" applyBorder="1"/>
    <xf numFmtId="0" fontId="0" fillId="6" borderId="1" xfId="0" applyFill="1" applyBorder="1"/>
    <xf numFmtId="165" fontId="0" fillId="0" borderId="3" xfId="1" applyNumberFormat="1" applyFont="1" applyBorder="1"/>
    <xf numFmtId="0" fontId="0" fillId="6" borderId="3" xfId="0" applyFill="1" applyBorder="1"/>
    <xf numFmtId="0" fontId="0" fillId="6" borderId="9" xfId="0" applyFill="1" applyBorder="1"/>
    <xf numFmtId="165" fontId="0" fillId="5" borderId="3" xfId="1" applyNumberFormat="1" applyFont="1" applyFill="1" applyBorder="1"/>
    <xf numFmtId="10" fontId="0" fillId="5" borderId="9" xfId="2" applyNumberFormat="1" applyFont="1" applyFill="1" applyBorder="1"/>
    <xf numFmtId="9" fontId="0" fillId="5" borderId="1" xfId="2" applyFont="1" applyFill="1" applyBorder="1"/>
    <xf numFmtId="10" fontId="0" fillId="7" borderId="0" xfId="2" applyNumberFormat="1" applyFont="1" applyFill="1"/>
    <xf numFmtId="0" fontId="0" fillId="8" borderId="11" xfId="0" applyFill="1" applyBorder="1"/>
    <xf numFmtId="165" fontId="0" fillId="0" borderId="4" xfId="1" applyNumberFormat="1" applyFont="1" applyBorder="1"/>
    <xf numFmtId="165" fontId="0" fillId="0" borderId="7" xfId="1" applyNumberFormat="1" applyFont="1" applyBorder="1"/>
    <xf numFmtId="165" fontId="0" fillId="0" borderId="6" xfId="1" applyNumberFormat="1" applyFont="1" applyFill="1" applyBorder="1"/>
    <xf numFmtId="165" fontId="0" fillId="0" borderId="10" xfId="1" applyNumberFormat="1" applyFont="1" applyBorder="1"/>
    <xf numFmtId="165" fontId="0" fillId="8" borderId="1" xfId="1" applyNumberFormat="1" applyFont="1" applyFill="1" applyBorder="1"/>
    <xf numFmtId="165" fontId="0" fillId="8" borderId="12" xfId="1" applyNumberFormat="1" applyFont="1" applyFill="1" applyBorder="1"/>
    <xf numFmtId="0" fontId="0" fillId="8" borderId="1" xfId="0" applyFill="1" applyBorder="1"/>
    <xf numFmtId="164" fontId="0" fillId="8" borderId="1" xfId="0" applyNumberFormat="1" applyFill="1" applyBorder="1"/>
    <xf numFmtId="9" fontId="0" fillId="8" borderId="1" xfId="0" applyNumberFormat="1" applyFill="1" applyBorder="1"/>
    <xf numFmtId="165" fontId="0" fillId="3" borderId="9" xfId="1" applyNumberFormat="1" applyFont="1" applyFill="1" applyBorder="1"/>
    <xf numFmtId="165" fontId="0" fillId="0" borderId="0" xfId="1" applyNumberFormat="1" applyFont="1" applyFill="1" applyBorder="1"/>
    <xf numFmtId="0" fontId="0" fillId="8" borderId="9" xfId="0" applyFill="1" applyBorder="1"/>
    <xf numFmtId="0" fontId="0" fillId="9" borderId="2" xfId="0" applyFill="1" applyBorder="1"/>
    <xf numFmtId="0" fontId="0" fillId="9" borderId="8" xfId="0" applyFill="1" applyBorder="1"/>
    <xf numFmtId="0" fontId="0" fillId="8" borderId="3" xfId="0" applyFill="1" applyBorder="1"/>
    <xf numFmtId="0" fontId="0" fillId="5" borderId="1" xfId="0" applyFill="1" applyBorder="1"/>
    <xf numFmtId="4" fontId="0" fillId="0" borderId="3" xfId="0" applyNumberFormat="1" applyBorder="1"/>
    <xf numFmtId="2" fontId="0" fillId="0" borderId="9" xfId="0" applyNumberFormat="1" applyBorder="1"/>
    <xf numFmtId="4" fontId="0" fillId="5" borderId="1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6" xfId="1" applyFont="1" applyBorder="1"/>
    <xf numFmtId="43" fontId="0" fillId="0" borderId="9" xfId="1" applyFont="1" applyBorder="1"/>
    <xf numFmtId="43" fontId="0" fillId="5" borderId="1" xfId="1" applyFont="1" applyFill="1" applyBorder="1"/>
    <xf numFmtId="3" fontId="0" fillId="5" borderId="1" xfId="0" applyNumberFormat="1" applyFill="1" applyBorder="1"/>
    <xf numFmtId="0" fontId="0" fillId="8" borderId="6" xfId="0" applyFill="1" applyBorder="1"/>
    <xf numFmtId="3" fontId="0" fillId="5" borderId="3" xfId="0" applyNumberFormat="1" applyFill="1" applyBorder="1"/>
    <xf numFmtId="167" fontId="0" fillId="5" borderId="6" xfId="0" applyNumberFormat="1" applyFill="1" applyBorder="1"/>
    <xf numFmtId="167" fontId="0" fillId="5" borderId="6" xfId="2" applyNumberFormat="1" applyFont="1" applyFill="1" applyBorder="1"/>
    <xf numFmtId="165" fontId="0" fillId="5" borderId="9" xfId="1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10" borderId="2" xfId="0" applyFill="1" applyBorder="1"/>
    <xf numFmtId="0" fontId="0" fillId="10" borderId="4" xfId="0" applyFill="1" applyBorder="1"/>
    <xf numFmtId="10" fontId="2" fillId="10" borderId="3" xfId="2" applyNumberFormat="1" applyFont="1" applyFill="1" applyBorder="1" applyAlignment="1">
      <alignment horizontal="center"/>
    </xf>
    <xf numFmtId="0" fontId="0" fillId="5" borderId="5" xfId="0" applyFill="1" applyBorder="1"/>
    <xf numFmtId="0" fontId="0" fillId="5" borderId="7" xfId="0" applyFill="1" applyBorder="1"/>
    <xf numFmtId="0" fontId="0" fillId="5" borderId="6" xfId="0" applyFill="1" applyBorder="1" applyAlignment="1">
      <alignment horizontal="center"/>
    </xf>
    <xf numFmtId="0" fontId="0" fillId="8" borderId="8" xfId="0" applyFill="1" applyBorder="1"/>
    <xf numFmtId="0" fontId="0" fillId="8" borderId="10" xfId="0" applyFill="1" applyBorder="1"/>
    <xf numFmtId="10" fontId="2" fillId="8" borderId="9" xfId="2" applyNumberFormat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0" fontId="2" fillId="4" borderId="0" xfId="0" applyFont="1" applyFill="1"/>
    <xf numFmtId="10" fontId="2" fillId="4" borderId="0" xfId="2" applyNumberFormat="1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6" xfId="0" applyFill="1" applyBorder="1"/>
    <xf numFmtId="10" fontId="2" fillId="11" borderId="6" xfId="2" applyNumberFormat="1" applyFont="1" applyFill="1" applyBorder="1" applyAlignment="1">
      <alignment horizontal="center"/>
    </xf>
    <xf numFmtId="10" fontId="2" fillId="11" borderId="9" xfId="2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8" borderId="2" xfId="0" applyFill="1" applyBorder="1"/>
    <xf numFmtId="0" fontId="0" fillId="8" borderId="4" xfId="0" applyFill="1" applyBorder="1"/>
    <xf numFmtId="166" fontId="2" fillId="5" borderId="3" xfId="2" applyNumberFormat="1" applyFont="1" applyFill="1" applyBorder="1" applyAlignment="1">
      <alignment horizontal="center"/>
    </xf>
    <xf numFmtId="0" fontId="0" fillId="8" borderId="5" xfId="0" applyFill="1" applyBorder="1"/>
    <xf numFmtId="0" fontId="0" fillId="8" borderId="7" xfId="0" applyFill="1" applyBorder="1"/>
    <xf numFmtId="0" fontId="2" fillId="8" borderId="8" xfId="0" applyFont="1" applyFill="1" applyBorder="1"/>
    <xf numFmtId="10" fontId="2" fillId="5" borderId="9" xfId="2" applyNumberFormat="1" applyFont="1" applyFill="1" applyBorder="1" applyAlignment="1">
      <alignment horizontal="center"/>
    </xf>
    <xf numFmtId="2" fontId="0" fillId="5" borderId="3" xfId="0" applyNumberFormat="1" applyFill="1" applyBorder="1"/>
    <xf numFmtId="2" fontId="0" fillId="5" borderId="9" xfId="0" applyNumberFormat="1" applyFill="1" applyBorder="1"/>
    <xf numFmtId="0" fontId="0" fillId="3" borderId="0" xfId="0" applyFill="1"/>
    <xf numFmtId="0" fontId="0" fillId="3" borderId="13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9" xfId="0" applyFill="1" applyBorder="1"/>
    <xf numFmtId="165" fontId="0" fillId="5" borderId="1" xfId="1" applyNumberFormat="1" applyFont="1" applyFill="1" applyBorder="1"/>
    <xf numFmtId="43" fontId="0" fillId="5" borderId="3" xfId="1" applyFont="1" applyFill="1" applyBorder="1"/>
    <xf numFmtId="43" fontId="0" fillId="5" borderId="9" xfId="1" applyFont="1" applyFill="1" applyBorder="1"/>
    <xf numFmtId="165" fontId="0" fillId="5" borderId="1" xfId="0" applyNumberFormat="1" applyFill="1" applyBorder="1"/>
    <xf numFmtId="167" fontId="0" fillId="3" borderId="3" xfId="0" applyNumberFormat="1" applyFill="1" applyBorder="1"/>
    <xf numFmtId="10" fontId="0" fillId="3" borderId="9" xfId="2" applyNumberFormat="1" applyFont="1" applyFill="1" applyBorder="1"/>
    <xf numFmtId="9" fontId="0" fillId="3" borderId="3" xfId="0" applyNumberFormat="1" applyFill="1" applyBorder="1"/>
    <xf numFmtId="9" fontId="0" fillId="3" borderId="9" xfId="0" applyNumberFormat="1" applyFill="1" applyBorder="1"/>
    <xf numFmtId="10" fontId="0" fillId="3" borderId="1" xfId="0" applyNumberFormat="1" applyFill="1" applyBorder="1"/>
    <xf numFmtId="10" fontId="0" fillId="3" borderId="1" xfId="2" applyNumberFormat="1" applyFont="1" applyFill="1" applyBorder="1"/>
    <xf numFmtId="0" fontId="0" fillId="12" borderId="3" xfId="0" applyFill="1" applyBorder="1"/>
    <xf numFmtId="0" fontId="0" fillId="12" borderId="6" xfId="0" applyFill="1" applyBorder="1"/>
    <xf numFmtId="0" fontId="0" fillId="12" borderId="9" xfId="0" applyFill="1" applyBorder="1"/>
    <xf numFmtId="9" fontId="0" fillId="6" borderId="3" xfId="0" applyNumberFormat="1" applyFill="1" applyBorder="1"/>
    <xf numFmtId="9" fontId="0" fillId="6" borderId="6" xfId="0" applyNumberFormat="1" applyFill="1" applyBorder="1"/>
    <xf numFmtId="10" fontId="0" fillId="6" borderId="6" xfId="0" applyNumberFormat="1" applyFill="1" applyBorder="1"/>
    <xf numFmtId="2" fontId="0" fillId="6" borderId="9" xfId="0" applyNumberFormat="1" applyFill="1" applyBorder="1"/>
    <xf numFmtId="10" fontId="0" fillId="6" borderId="3" xfId="0" applyNumberFormat="1" applyFill="1" applyBorder="1"/>
    <xf numFmtId="0" fontId="0" fillId="6" borderId="6" xfId="0" applyFill="1" applyBorder="1"/>
    <xf numFmtId="167" fontId="0" fillId="6" borderId="6" xfId="2" applyNumberFormat="1" applyFont="1" applyFill="1" applyBorder="1"/>
    <xf numFmtId="10" fontId="0" fillId="6" borderId="9" xfId="2" applyNumberFormat="1" applyFont="1" applyFill="1" applyBorder="1"/>
    <xf numFmtId="9" fontId="0" fillId="4" borderId="3" xfId="0" applyNumberFormat="1" applyFill="1" applyBorder="1"/>
    <xf numFmtId="164" fontId="0" fillId="4" borderId="9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B70E-F105-460E-AAAE-EBEEEB9D63D1}">
  <dimension ref="A1:H35"/>
  <sheetViews>
    <sheetView tabSelected="1" workbookViewId="0">
      <selection activeCell="I27" sqref="I27"/>
    </sheetView>
  </sheetViews>
  <sheetFormatPr baseColWidth="10" defaultColWidth="11.42578125" defaultRowHeight="15" x14ac:dyDescent="0.25"/>
  <cols>
    <col min="1" max="1" width="21.5703125" customWidth="1"/>
    <col min="3" max="3" width="11.7109375" customWidth="1"/>
  </cols>
  <sheetData>
    <row r="1" spans="1:8" x14ac:dyDescent="0.25">
      <c r="A1" s="102" t="s">
        <v>0</v>
      </c>
      <c r="B1" s="104">
        <v>150</v>
      </c>
    </row>
    <row r="2" spans="1:8" x14ac:dyDescent="0.25">
      <c r="A2" s="102" t="s">
        <v>1</v>
      </c>
      <c r="B2" s="105">
        <v>25</v>
      </c>
    </row>
    <row r="3" spans="1:8" x14ac:dyDescent="0.25">
      <c r="A3" s="103" t="s">
        <v>2</v>
      </c>
      <c r="B3" s="106">
        <v>25</v>
      </c>
    </row>
    <row r="4" spans="1:8" x14ac:dyDescent="0.25">
      <c r="A4" s="9" t="s">
        <v>3</v>
      </c>
      <c r="B4" s="17">
        <f>B1-B2-B3</f>
        <v>100</v>
      </c>
    </row>
    <row r="6" spans="1:8" x14ac:dyDescent="0.25">
      <c r="A6" s="10" t="s">
        <v>4</v>
      </c>
      <c r="B6" s="13">
        <v>100000</v>
      </c>
    </row>
    <row r="7" spans="1:8" x14ac:dyDescent="0.25">
      <c r="A7" s="11" t="s">
        <v>5</v>
      </c>
      <c r="B7" s="14">
        <v>24000000</v>
      </c>
    </row>
    <row r="8" spans="1:8" x14ac:dyDescent="0.25">
      <c r="A8" s="11" t="s">
        <v>6</v>
      </c>
      <c r="B8" s="14">
        <v>2500000</v>
      </c>
    </row>
    <row r="9" spans="1:8" x14ac:dyDescent="0.25">
      <c r="A9" s="11" t="s">
        <v>7</v>
      </c>
      <c r="B9" s="14">
        <v>500000</v>
      </c>
    </row>
    <row r="10" spans="1:8" x14ac:dyDescent="0.25">
      <c r="A10" s="11" t="s">
        <v>8</v>
      </c>
      <c r="B10" s="14">
        <v>600000</v>
      </c>
    </row>
    <row r="11" spans="1:8" x14ac:dyDescent="0.25">
      <c r="A11" s="12" t="s">
        <v>9</v>
      </c>
      <c r="B11" s="15">
        <v>3000000</v>
      </c>
    </row>
    <row r="13" spans="1:8" x14ac:dyDescent="0.25">
      <c r="A13" s="17" t="s">
        <v>10</v>
      </c>
      <c r="B13" s="18">
        <v>0</v>
      </c>
      <c r="C13" s="21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</row>
    <row r="14" spans="1:8" x14ac:dyDescent="0.25">
      <c r="A14" s="5" t="s">
        <v>3</v>
      </c>
      <c r="B14" s="19"/>
      <c r="C14" s="19">
        <f>$B$4*$B$6</f>
        <v>10000000</v>
      </c>
      <c r="D14" s="19">
        <f t="shared" ref="D14:H14" si="0">$B$4*$B$6</f>
        <v>10000000</v>
      </c>
      <c r="E14" s="19">
        <f t="shared" si="0"/>
        <v>10000000</v>
      </c>
      <c r="F14" s="19">
        <f t="shared" si="0"/>
        <v>10000000</v>
      </c>
      <c r="G14" s="19">
        <f t="shared" si="0"/>
        <v>10000000</v>
      </c>
      <c r="H14" s="19">
        <f t="shared" si="0"/>
        <v>10000000</v>
      </c>
    </row>
    <row r="15" spans="1:8" x14ac:dyDescent="0.25">
      <c r="A15" s="5" t="str">
        <f>A9</f>
        <v>Markedsføring</v>
      </c>
      <c r="B15" s="19"/>
      <c r="C15" s="19">
        <f>-$B$9</f>
        <v>-500000</v>
      </c>
      <c r="D15" s="19">
        <f t="shared" ref="D15:H15" si="1">-$B$9</f>
        <v>-500000</v>
      </c>
      <c r="E15" s="19">
        <f t="shared" si="1"/>
        <v>-500000</v>
      </c>
      <c r="F15" s="19">
        <f t="shared" si="1"/>
        <v>-500000</v>
      </c>
      <c r="G15" s="19">
        <f t="shared" si="1"/>
        <v>-500000</v>
      </c>
      <c r="H15" s="19">
        <f t="shared" si="1"/>
        <v>-500000</v>
      </c>
    </row>
    <row r="16" spans="1:8" x14ac:dyDescent="0.25">
      <c r="A16" s="5" t="str">
        <f>A10</f>
        <v>Faste kostnader</v>
      </c>
      <c r="B16" s="19"/>
      <c r="C16" s="19">
        <f>-$B$10</f>
        <v>-600000</v>
      </c>
      <c r="D16" s="19">
        <f t="shared" ref="D16:H16" si="2">-$B$10</f>
        <v>-600000</v>
      </c>
      <c r="E16" s="19">
        <f t="shared" si="2"/>
        <v>-600000</v>
      </c>
      <c r="F16" s="19">
        <f t="shared" si="2"/>
        <v>-600000</v>
      </c>
      <c r="G16" s="19">
        <f t="shared" si="2"/>
        <v>-600000</v>
      </c>
      <c r="H16" s="19">
        <f t="shared" si="2"/>
        <v>-600000</v>
      </c>
    </row>
    <row r="17" spans="1:8" x14ac:dyDescent="0.25">
      <c r="A17" s="5" t="str">
        <f>A8</f>
        <v>Arbeidskapital</v>
      </c>
      <c r="B17" s="19">
        <f>-B8</f>
        <v>-2500000</v>
      </c>
      <c r="C17" s="19"/>
      <c r="D17" s="19"/>
      <c r="E17" s="19"/>
      <c r="F17" s="19"/>
      <c r="G17" s="19"/>
      <c r="H17" s="19">
        <f>B8</f>
        <v>2500000</v>
      </c>
    </row>
    <row r="18" spans="1:8" x14ac:dyDescent="0.25">
      <c r="A18" s="5" t="str">
        <f>A11</f>
        <v>Rettigheter</v>
      </c>
      <c r="B18" s="19">
        <f>-B11</f>
        <v>-3000000</v>
      </c>
      <c r="C18" s="19"/>
      <c r="D18" s="19"/>
      <c r="E18" s="19"/>
      <c r="F18" s="19"/>
      <c r="G18" s="19"/>
      <c r="H18" s="19"/>
    </row>
    <row r="19" spans="1:8" x14ac:dyDescent="0.25">
      <c r="A19" s="7" t="str">
        <f>A7</f>
        <v>Produksjonsutstyr</v>
      </c>
      <c r="B19" s="20">
        <f>-B7</f>
        <v>-24000000</v>
      </c>
      <c r="C19" s="20"/>
      <c r="D19" s="20"/>
      <c r="E19" s="20"/>
      <c r="F19" s="20"/>
      <c r="G19" s="20"/>
      <c r="H19" s="20"/>
    </row>
    <row r="20" spans="1:8" x14ac:dyDescent="0.25">
      <c r="A20" s="22" t="s">
        <v>11</v>
      </c>
      <c r="B20" s="23">
        <f>SUM(B14:B19)</f>
        <v>-29500000</v>
      </c>
      <c r="C20" s="23">
        <f t="shared" ref="C20:H20" si="3">SUM(C14:C19)</f>
        <v>8900000</v>
      </c>
      <c r="D20" s="23">
        <f t="shared" si="3"/>
        <v>8900000</v>
      </c>
      <c r="E20" s="23">
        <f t="shared" si="3"/>
        <v>8900000</v>
      </c>
      <c r="F20" s="23">
        <f t="shared" si="3"/>
        <v>8900000</v>
      </c>
      <c r="G20" s="23">
        <f t="shared" si="3"/>
        <v>8900000</v>
      </c>
      <c r="H20" s="23">
        <f t="shared" si="3"/>
        <v>11400000</v>
      </c>
    </row>
    <row r="21" spans="1:8" x14ac:dyDescent="0.25">
      <c r="B21" s="16"/>
      <c r="C21" s="16"/>
      <c r="D21" s="16"/>
      <c r="E21" s="16"/>
      <c r="F21" s="16"/>
      <c r="G21" s="16"/>
      <c r="H21" s="16"/>
    </row>
    <row r="22" spans="1:8" x14ac:dyDescent="0.25">
      <c r="A22" s="24" t="s">
        <v>12</v>
      </c>
      <c r="B22" s="30">
        <v>0.2</v>
      </c>
      <c r="C22" s="16"/>
      <c r="D22" s="16"/>
      <c r="E22" s="16"/>
      <c r="F22" s="16"/>
      <c r="G22" s="16"/>
      <c r="H22" s="16"/>
    </row>
    <row r="23" spans="1:8" x14ac:dyDescent="0.25">
      <c r="B23" s="16"/>
      <c r="C23" s="16"/>
      <c r="D23" s="16"/>
      <c r="E23" s="16"/>
      <c r="F23" s="16"/>
      <c r="G23" s="16"/>
      <c r="H23" s="16"/>
    </row>
    <row r="24" spans="1:8" x14ac:dyDescent="0.25">
      <c r="A24" s="26" t="s">
        <v>13</v>
      </c>
      <c r="B24" s="28">
        <f>NPV(B22,C20:H20)+B20</f>
        <v>934284.9794238694</v>
      </c>
      <c r="C24" s="16"/>
      <c r="D24" s="16"/>
      <c r="E24" s="16"/>
      <c r="F24" s="16"/>
      <c r="G24" s="16"/>
      <c r="H24" s="16"/>
    </row>
    <row r="25" spans="1:8" x14ac:dyDescent="0.25">
      <c r="A25" s="27" t="s">
        <v>14</v>
      </c>
      <c r="B25" s="29">
        <f>IRR(B20:H20)</f>
        <v>0.21234221541988685</v>
      </c>
      <c r="C25" s="16"/>
      <c r="D25" s="16"/>
      <c r="E25" s="16"/>
      <c r="F25" s="16"/>
      <c r="G25" s="16"/>
      <c r="H25" s="16"/>
    </row>
    <row r="26" spans="1:8" x14ac:dyDescent="0.25">
      <c r="B26" s="16"/>
      <c r="C26" s="16"/>
      <c r="D26" s="16"/>
      <c r="E26" s="16"/>
      <c r="F26" s="16"/>
      <c r="G26" s="16"/>
      <c r="H26" s="16"/>
    </row>
    <row r="27" spans="1:8" x14ac:dyDescent="0.25">
      <c r="A27" s="24" t="s">
        <v>15</v>
      </c>
      <c r="B27" s="107">
        <f>-PMT(B22,H13,B24)</f>
        <v>280944.86159002327</v>
      </c>
      <c r="C27" s="16"/>
      <c r="D27" s="16"/>
      <c r="E27" s="16"/>
      <c r="F27" s="16"/>
      <c r="G27" s="16"/>
      <c r="H27" s="16"/>
    </row>
    <row r="28" spans="1:8" x14ac:dyDescent="0.25">
      <c r="B28" s="16"/>
      <c r="C28" s="16"/>
      <c r="D28" s="16"/>
      <c r="E28" s="16"/>
      <c r="F28" s="16"/>
      <c r="G28" s="16"/>
      <c r="H28" s="16"/>
    </row>
    <row r="29" spans="1:8" x14ac:dyDescent="0.25">
      <c r="A29" s="26" t="s">
        <v>16</v>
      </c>
      <c r="B29" s="108">
        <f>B27/B6</f>
        <v>2.8094486159002328</v>
      </c>
      <c r="C29" s="31">
        <f>B29/B1</f>
        <v>1.8729657439334885E-2</v>
      </c>
      <c r="D29" s="16"/>
      <c r="E29" s="16"/>
      <c r="F29" s="16"/>
      <c r="G29" s="16"/>
      <c r="H29" s="16"/>
    </row>
    <row r="30" spans="1:8" x14ac:dyDescent="0.25">
      <c r="A30" s="27" t="s">
        <v>17</v>
      </c>
      <c r="B30" s="109">
        <f>B1-B29</f>
        <v>147.19055138409976</v>
      </c>
      <c r="C30" s="16"/>
      <c r="D30" s="16"/>
      <c r="E30" s="16"/>
      <c r="F30" s="16"/>
      <c r="G30" s="16"/>
      <c r="H30" s="16"/>
    </row>
    <row r="31" spans="1:8" x14ac:dyDescent="0.25">
      <c r="B31" s="16"/>
      <c r="C31" s="16"/>
      <c r="D31" s="16"/>
      <c r="E31" s="16"/>
      <c r="F31" s="16"/>
      <c r="G31" s="16"/>
      <c r="H31" s="16"/>
    </row>
    <row r="32" spans="1:8" x14ac:dyDescent="0.25">
      <c r="A32" s="26" t="s">
        <v>18</v>
      </c>
      <c r="B32" s="108">
        <f>B27/B4</f>
        <v>2809.4486159002327</v>
      </c>
      <c r="C32" s="31">
        <f>B32/B6</f>
        <v>2.8094486159002327E-2</v>
      </c>
      <c r="D32" s="16"/>
      <c r="E32" s="16"/>
      <c r="F32" s="16"/>
      <c r="G32" s="16"/>
      <c r="H32" s="16"/>
    </row>
    <row r="33" spans="1:2" x14ac:dyDescent="0.25">
      <c r="A33" s="27" t="s">
        <v>19</v>
      </c>
      <c r="B33" s="109">
        <f>B6-B32</f>
        <v>97190.551384099774</v>
      </c>
    </row>
    <row r="35" spans="1:2" x14ac:dyDescent="0.25">
      <c r="A35" s="24" t="s">
        <v>20</v>
      </c>
      <c r="B35" s="110">
        <f>B11+B24</f>
        <v>3934284.9794238694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O20" sqref="O20"/>
    </sheetView>
  </sheetViews>
  <sheetFormatPr baseColWidth="10" defaultColWidth="9.140625" defaultRowHeight="15" x14ac:dyDescent="0.25"/>
  <cols>
    <col min="1" max="1" width="21.42578125" bestFit="1" customWidth="1"/>
    <col min="2" max="2" width="11.140625" bestFit="1" customWidth="1"/>
    <col min="3" max="3" width="9.42578125" bestFit="1" customWidth="1"/>
    <col min="4" max="7" width="10.42578125" bestFit="1" customWidth="1"/>
  </cols>
  <sheetData>
    <row r="1" spans="1:7" x14ac:dyDescent="0.25">
      <c r="B1" s="1" t="s">
        <v>21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</row>
    <row r="2" spans="1:7" x14ac:dyDescent="0.25">
      <c r="A2" s="2" t="s">
        <v>22</v>
      </c>
      <c r="B2" s="25"/>
      <c r="C2" s="25">
        <v>7500</v>
      </c>
      <c r="D2" s="25">
        <v>10300</v>
      </c>
      <c r="E2" s="25">
        <v>11200</v>
      </c>
      <c r="F2" s="25">
        <v>12400</v>
      </c>
      <c r="G2" s="33">
        <v>13600</v>
      </c>
    </row>
    <row r="3" spans="1:7" x14ac:dyDescent="0.25">
      <c r="A3" s="4" t="s">
        <v>23</v>
      </c>
      <c r="B3" s="19"/>
      <c r="C3" s="19">
        <v>-375</v>
      </c>
      <c r="D3" s="19">
        <v>-515</v>
      </c>
      <c r="E3" s="19">
        <v>-560</v>
      </c>
      <c r="F3" s="19">
        <v>-620</v>
      </c>
      <c r="G3" s="34">
        <v>-680</v>
      </c>
    </row>
    <row r="4" spans="1:7" x14ac:dyDescent="0.25">
      <c r="A4" s="4" t="s">
        <v>24</v>
      </c>
      <c r="B4" s="19"/>
      <c r="C4" s="19">
        <v>-1050</v>
      </c>
      <c r="D4" s="19">
        <v>-1108</v>
      </c>
      <c r="E4" s="19">
        <v>-1169</v>
      </c>
      <c r="F4" s="19">
        <v>-1233</v>
      </c>
      <c r="G4" s="34">
        <v>-1301</v>
      </c>
    </row>
    <row r="5" spans="1:7" x14ac:dyDescent="0.25">
      <c r="A5" s="4" t="s">
        <v>25</v>
      </c>
      <c r="B5" s="19"/>
      <c r="C5" s="19">
        <v>-700</v>
      </c>
      <c r="D5" s="19">
        <v>-1100</v>
      </c>
      <c r="E5" s="19">
        <v>-1100</v>
      </c>
      <c r="F5" s="19">
        <v>-1100</v>
      </c>
      <c r="G5" s="34">
        <v>-1100</v>
      </c>
    </row>
    <row r="6" spans="1:7" x14ac:dyDescent="0.25">
      <c r="A6" s="4" t="s">
        <v>26</v>
      </c>
      <c r="B6" s="19"/>
      <c r="C6" s="19">
        <v>-290</v>
      </c>
      <c r="D6" s="19">
        <v>-290</v>
      </c>
      <c r="E6" s="19">
        <v>-290</v>
      </c>
      <c r="F6" s="19">
        <v>-290</v>
      </c>
      <c r="G6" s="34">
        <v>-290</v>
      </c>
    </row>
    <row r="7" spans="1:7" x14ac:dyDescent="0.25">
      <c r="A7" s="4" t="s">
        <v>27</v>
      </c>
      <c r="B7" s="19"/>
      <c r="C7" s="19">
        <v>-450</v>
      </c>
      <c r="D7" s="19">
        <v>-450</v>
      </c>
      <c r="E7" s="19"/>
      <c r="F7" s="19"/>
      <c r="G7" s="34"/>
    </row>
    <row r="8" spans="1:7" x14ac:dyDescent="0.25">
      <c r="A8" s="4" t="s">
        <v>6</v>
      </c>
      <c r="B8" s="35">
        <v>-950</v>
      </c>
      <c r="C8" s="19">
        <v>-250</v>
      </c>
      <c r="D8" s="19">
        <v>-100</v>
      </c>
      <c r="E8" s="19"/>
      <c r="F8" s="19"/>
      <c r="G8" s="34">
        <f>-B8-C8-D8</f>
        <v>1300</v>
      </c>
    </row>
    <row r="9" spans="1:7" x14ac:dyDescent="0.25">
      <c r="A9" s="6" t="s">
        <v>28</v>
      </c>
      <c r="B9" s="20">
        <v>-25000</v>
      </c>
      <c r="C9" s="20"/>
      <c r="D9" s="20"/>
      <c r="E9" s="20"/>
      <c r="F9" s="20"/>
      <c r="G9" s="36">
        <v>5000</v>
      </c>
    </row>
    <row r="10" spans="1:7" x14ac:dyDescent="0.25">
      <c r="A10" s="32" t="s">
        <v>11</v>
      </c>
      <c r="B10" s="37">
        <f>SUM(B2:B9)</f>
        <v>-25950</v>
      </c>
      <c r="C10" s="37">
        <f t="shared" ref="C10:G10" si="0">SUM(C2:C9)</f>
        <v>4385</v>
      </c>
      <c r="D10" s="37">
        <f t="shared" si="0"/>
        <v>6737</v>
      </c>
      <c r="E10" s="37">
        <f t="shared" si="0"/>
        <v>8081</v>
      </c>
      <c r="F10" s="37">
        <f t="shared" si="0"/>
        <v>9157</v>
      </c>
      <c r="G10" s="38">
        <f t="shared" si="0"/>
        <v>16529</v>
      </c>
    </row>
    <row r="12" spans="1:7" x14ac:dyDescent="0.25">
      <c r="A12" s="32" t="s">
        <v>12</v>
      </c>
      <c r="B12" s="41">
        <v>0.15</v>
      </c>
    </row>
    <row r="14" spans="1:7" x14ac:dyDescent="0.25">
      <c r="A14" s="39" t="s">
        <v>13</v>
      </c>
      <c r="B14" s="40">
        <f>NPV(B12,C10:G10)+B10</f>
        <v>1723.9507667630642</v>
      </c>
    </row>
    <row r="16" spans="1:7" x14ac:dyDescent="0.25">
      <c r="A16" s="10" t="s">
        <v>29</v>
      </c>
      <c r="B16" s="120">
        <v>0.25</v>
      </c>
    </row>
    <row r="17" spans="1:7" x14ac:dyDescent="0.25">
      <c r="A17" s="11" t="s">
        <v>30</v>
      </c>
      <c r="B17" s="121">
        <f>1-B16</f>
        <v>0.75</v>
      </c>
    </row>
    <row r="18" spans="1:7" x14ac:dyDescent="0.25">
      <c r="A18" s="11" t="s">
        <v>31</v>
      </c>
      <c r="B18" s="122">
        <v>6.7000000000000004E-2</v>
      </c>
    </row>
    <row r="19" spans="1:7" x14ac:dyDescent="0.25">
      <c r="A19" s="11" t="s">
        <v>32</v>
      </c>
      <c r="B19" s="121">
        <v>0.04</v>
      </c>
    </row>
    <row r="20" spans="1:7" x14ac:dyDescent="0.25">
      <c r="A20" s="11" t="s">
        <v>33</v>
      </c>
      <c r="B20" s="121">
        <v>0.1</v>
      </c>
    </row>
    <row r="21" spans="1:7" x14ac:dyDescent="0.25">
      <c r="A21" s="11" t="s">
        <v>34</v>
      </c>
      <c r="B21" s="121">
        <v>0.22</v>
      </c>
    </row>
    <row r="22" spans="1:7" x14ac:dyDescent="0.25">
      <c r="A22" s="11" t="s">
        <v>35</v>
      </c>
      <c r="B22" s="121">
        <v>0.2</v>
      </c>
    </row>
    <row r="23" spans="1:7" x14ac:dyDescent="0.25">
      <c r="A23" s="12" t="s">
        <v>36</v>
      </c>
      <c r="B23" s="123">
        <v>1.71</v>
      </c>
    </row>
    <row r="25" spans="1:7" x14ac:dyDescent="0.25">
      <c r="A25" s="10" t="s">
        <v>37</v>
      </c>
      <c r="B25" s="124">
        <f>B19+(B20-B19)*B23</f>
        <v>0.1426</v>
      </c>
    </row>
    <row r="26" spans="1:7" x14ac:dyDescent="0.25">
      <c r="A26" s="11" t="s">
        <v>38</v>
      </c>
      <c r="B26" s="125">
        <f>B18*(1-B21)</f>
        <v>5.2260000000000008E-2</v>
      </c>
    </row>
    <row r="27" spans="1:7" x14ac:dyDescent="0.25">
      <c r="A27" s="11" t="s">
        <v>39</v>
      </c>
      <c r="B27" s="126">
        <f>B25*B17+B16*B26</f>
        <v>0.12001500000000001</v>
      </c>
    </row>
    <row r="28" spans="1:7" x14ac:dyDescent="0.25">
      <c r="A28" s="12" t="s">
        <v>40</v>
      </c>
      <c r="B28" s="127">
        <v>0.12</v>
      </c>
    </row>
    <row r="30" spans="1:7" x14ac:dyDescent="0.25">
      <c r="B30" s="1" t="s">
        <v>21</v>
      </c>
      <c r="C30" s="1">
        <v>2024</v>
      </c>
      <c r="D30" s="1">
        <v>2025</v>
      </c>
      <c r="E30" s="1">
        <v>2026</v>
      </c>
      <c r="F30" s="1">
        <v>2027</v>
      </c>
      <c r="G30" s="1">
        <v>2028</v>
      </c>
    </row>
    <row r="31" spans="1:7" x14ac:dyDescent="0.25">
      <c r="A31" s="2" t="s">
        <v>22</v>
      </c>
      <c r="B31" s="25"/>
      <c r="C31" s="25">
        <v>7500</v>
      </c>
      <c r="D31" s="25">
        <v>10300</v>
      </c>
      <c r="E31" s="25">
        <v>11200</v>
      </c>
      <c r="F31" s="25">
        <v>12400</v>
      </c>
      <c r="G31" s="25">
        <v>13600</v>
      </c>
    </row>
    <row r="32" spans="1:7" x14ac:dyDescent="0.25">
      <c r="A32" s="4" t="s">
        <v>23</v>
      </c>
      <c r="B32" s="19"/>
      <c r="C32" s="19">
        <v>-375</v>
      </c>
      <c r="D32" s="19">
        <v>-515</v>
      </c>
      <c r="E32" s="19">
        <v>-560</v>
      </c>
      <c r="F32" s="19">
        <v>-620</v>
      </c>
      <c r="G32" s="19">
        <v>-680</v>
      </c>
    </row>
    <row r="33" spans="1:7" x14ac:dyDescent="0.25">
      <c r="A33" s="4" t="s">
        <v>24</v>
      </c>
      <c r="B33" s="19"/>
      <c r="C33" s="19">
        <v>-1050</v>
      </c>
      <c r="D33" s="19">
        <v>-1108</v>
      </c>
      <c r="E33" s="19">
        <v>-1169</v>
      </c>
      <c r="F33" s="19">
        <v>-1233</v>
      </c>
      <c r="G33" s="19">
        <v>-1301</v>
      </c>
    </row>
    <row r="34" spans="1:7" x14ac:dyDescent="0.25">
      <c r="A34" s="4" t="s">
        <v>25</v>
      </c>
      <c r="B34" s="19"/>
      <c r="C34" s="19">
        <v>-700</v>
      </c>
      <c r="D34" s="19">
        <v>-1100</v>
      </c>
      <c r="E34" s="19">
        <v>-1100</v>
      </c>
      <c r="F34" s="19">
        <v>-1100</v>
      </c>
      <c r="G34" s="19">
        <v>-1100</v>
      </c>
    </row>
    <row r="35" spans="1:7" x14ac:dyDescent="0.25">
      <c r="A35" s="4" t="s">
        <v>26</v>
      </c>
      <c r="B35" s="19"/>
      <c r="C35" s="19">
        <v>-290</v>
      </c>
      <c r="D35" s="19">
        <v>-290</v>
      </c>
      <c r="E35" s="19">
        <v>-290</v>
      </c>
      <c r="F35" s="19">
        <v>-290</v>
      </c>
      <c r="G35" s="19">
        <v>-290</v>
      </c>
    </row>
    <row r="36" spans="1:7" x14ac:dyDescent="0.25">
      <c r="A36" s="6" t="s">
        <v>27</v>
      </c>
      <c r="B36" s="20"/>
      <c r="C36" s="20">
        <v>-450</v>
      </c>
      <c r="D36" s="20">
        <v>-450</v>
      </c>
      <c r="E36" s="20"/>
      <c r="F36" s="20"/>
      <c r="G36" s="20"/>
    </row>
    <row r="37" spans="1:7" x14ac:dyDescent="0.25">
      <c r="A37" s="4" t="s">
        <v>41</v>
      </c>
      <c r="B37" s="19"/>
      <c r="C37" s="19">
        <f>SUM(C31:C36)</f>
        <v>4635</v>
      </c>
      <c r="D37" s="19">
        <f t="shared" ref="D37:G37" si="1">SUM(D31:D36)</f>
        <v>6837</v>
      </c>
      <c r="E37" s="19">
        <f t="shared" si="1"/>
        <v>8081</v>
      </c>
      <c r="F37" s="19">
        <f t="shared" si="1"/>
        <v>9157</v>
      </c>
      <c r="G37" s="19">
        <f t="shared" si="1"/>
        <v>10229</v>
      </c>
    </row>
    <row r="38" spans="1:7" x14ac:dyDescent="0.25">
      <c r="A38" s="4" t="s">
        <v>34</v>
      </c>
      <c r="B38" s="19"/>
      <c r="C38" s="19">
        <f>-$B$21*C37</f>
        <v>-1019.7</v>
      </c>
      <c r="D38" s="19">
        <f t="shared" ref="D38:G38" si="2">-$B$21*D37</f>
        <v>-1504.14</v>
      </c>
      <c r="E38" s="19">
        <f t="shared" si="2"/>
        <v>-1777.82</v>
      </c>
      <c r="F38" s="19">
        <f t="shared" si="2"/>
        <v>-2014.54</v>
      </c>
      <c r="G38" s="19">
        <f t="shared" si="2"/>
        <v>-2250.38</v>
      </c>
    </row>
    <row r="39" spans="1:7" x14ac:dyDescent="0.25">
      <c r="A39" s="4" t="s">
        <v>28</v>
      </c>
      <c r="B39" s="19">
        <f>B9</f>
        <v>-25000</v>
      </c>
      <c r="C39" s="19"/>
      <c r="D39" s="19"/>
      <c r="E39" s="19"/>
      <c r="F39" s="19"/>
      <c r="G39" s="19">
        <f>G9</f>
        <v>5000</v>
      </c>
    </row>
    <row r="40" spans="1:7" x14ac:dyDescent="0.25">
      <c r="A40" s="4" t="s">
        <v>6</v>
      </c>
      <c r="B40" s="19">
        <f>B8</f>
        <v>-950</v>
      </c>
      <c r="C40" s="19">
        <f>C8</f>
        <v>-250</v>
      </c>
      <c r="D40" s="19">
        <f>D8</f>
        <v>-100</v>
      </c>
      <c r="E40" s="19"/>
      <c r="F40" s="19"/>
      <c r="G40" s="19">
        <f>G8</f>
        <v>1300</v>
      </c>
    </row>
    <row r="41" spans="1:7" x14ac:dyDescent="0.25">
      <c r="A41" s="4" t="s">
        <v>42</v>
      </c>
      <c r="B41" s="19">
        <f>-B39*B21*B22/(B28+B22)</f>
        <v>3437.5</v>
      </c>
      <c r="C41" s="19"/>
      <c r="D41" s="19"/>
      <c r="E41" s="19"/>
      <c r="F41" s="19"/>
      <c r="G41" s="19"/>
    </row>
    <row r="42" spans="1:7" x14ac:dyDescent="0.25">
      <c r="A42" s="6" t="s">
        <v>43</v>
      </c>
      <c r="B42" s="20">
        <f>-G39*B21*B22/((1+B28)^5*(B28+B22))</f>
        <v>-390.10596330653692</v>
      </c>
      <c r="C42" s="20"/>
      <c r="D42" s="20"/>
      <c r="E42" s="20"/>
      <c r="F42" s="20"/>
      <c r="G42" s="20"/>
    </row>
    <row r="43" spans="1:7" x14ac:dyDescent="0.25">
      <c r="A43" s="8" t="s">
        <v>44</v>
      </c>
      <c r="B43" s="42">
        <f>SUM(B37:B42)</f>
        <v>-22902.605963306538</v>
      </c>
      <c r="C43" s="42">
        <f t="shared" ref="C43:G43" si="3">SUM(C37:C42)</f>
        <v>3365.3</v>
      </c>
      <c r="D43" s="42">
        <f t="shared" si="3"/>
        <v>5232.8599999999997</v>
      </c>
      <c r="E43" s="42">
        <f t="shared" si="3"/>
        <v>6303.18</v>
      </c>
      <c r="F43" s="42">
        <f t="shared" si="3"/>
        <v>7142.46</v>
      </c>
      <c r="G43" s="42">
        <f t="shared" si="3"/>
        <v>14278.619999999999</v>
      </c>
    </row>
    <row r="44" spans="1:7" x14ac:dyDescent="0.25">
      <c r="B44" s="43"/>
      <c r="C44" s="43"/>
      <c r="D44" s="43"/>
      <c r="E44" s="43"/>
      <c r="F44" s="43"/>
      <c r="G44" s="43"/>
    </row>
    <row r="45" spans="1:7" x14ac:dyDescent="0.25">
      <c r="A45" s="45" t="s">
        <v>12</v>
      </c>
      <c r="B45" s="128">
        <v>0.12</v>
      </c>
    </row>
    <row r="46" spans="1:7" x14ac:dyDescent="0.25">
      <c r="A46" s="46" t="s">
        <v>45</v>
      </c>
      <c r="B46" s="129">
        <f>NPV(B45,C43:G43)+B43</f>
        <v>1401.4440609288431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F269-4DAE-4A25-BB9F-37B2D5D52789}">
  <dimension ref="A1:D27"/>
  <sheetViews>
    <sheetView zoomScale="130" zoomScaleNormal="130" workbookViewId="0">
      <selection activeCell="D57" sqref="D56:D57"/>
    </sheetView>
  </sheetViews>
  <sheetFormatPr baseColWidth="10" defaultColWidth="11.42578125" defaultRowHeight="15" x14ac:dyDescent="0.25"/>
  <cols>
    <col min="1" max="1" width="25.140625" customWidth="1"/>
  </cols>
  <sheetData>
    <row r="1" spans="1:4" x14ac:dyDescent="0.25">
      <c r="A1" s="47" t="s">
        <v>46</v>
      </c>
      <c r="B1" s="58">
        <v>203073</v>
      </c>
    </row>
    <row r="2" spans="1:4" x14ac:dyDescent="0.25">
      <c r="A2" s="57" t="s">
        <v>47</v>
      </c>
      <c r="B2" s="59">
        <v>4.9500000000000002E-2</v>
      </c>
    </row>
    <row r="3" spans="1:4" x14ac:dyDescent="0.25">
      <c r="A3" s="57" t="s">
        <v>48</v>
      </c>
      <c r="B3" s="60">
        <f>B2/12</f>
        <v>4.1250000000000002E-3</v>
      </c>
    </row>
    <row r="4" spans="1:4" x14ac:dyDescent="0.25">
      <c r="A4" s="57" t="s">
        <v>49</v>
      </c>
      <c r="B4" s="11">
        <v>5</v>
      </c>
    </row>
    <row r="5" spans="1:4" x14ac:dyDescent="0.25">
      <c r="A5" s="57" t="s">
        <v>50</v>
      </c>
      <c r="B5" s="11">
        <f>B4*12</f>
        <v>60</v>
      </c>
    </row>
    <row r="6" spans="1:4" x14ac:dyDescent="0.25">
      <c r="A6" s="44" t="s">
        <v>51</v>
      </c>
      <c r="B6" s="61">
        <f>1600+1473</f>
        <v>3073</v>
      </c>
    </row>
    <row r="8" spans="1:4" x14ac:dyDescent="0.25">
      <c r="A8" s="3" t="s">
        <v>52</v>
      </c>
      <c r="B8" s="49">
        <f>PMT(B3,B5,B1)</f>
        <v>-3827.5879366058057</v>
      </c>
    </row>
    <row r="9" spans="1:4" x14ac:dyDescent="0.25">
      <c r="A9" s="7" t="s">
        <v>53</v>
      </c>
      <c r="B9" s="50">
        <v>-85</v>
      </c>
    </row>
    <row r="10" spans="1:4" x14ac:dyDescent="0.25">
      <c r="A10" s="48" t="s">
        <v>54</v>
      </c>
      <c r="B10" s="51">
        <f>SUM(B8:B9)</f>
        <v>-3912.5879366058057</v>
      </c>
    </row>
    <row r="12" spans="1:4" x14ac:dyDescent="0.25">
      <c r="A12" s="8" t="s">
        <v>55</v>
      </c>
      <c r="B12" s="52">
        <v>1</v>
      </c>
      <c r="C12" s="52">
        <v>2</v>
      </c>
      <c r="D12" s="52">
        <v>3</v>
      </c>
    </row>
    <row r="13" spans="1:4" x14ac:dyDescent="0.25">
      <c r="A13" s="5" t="s">
        <v>56</v>
      </c>
      <c r="B13" s="53">
        <f>IPMT($B$3,B12,$B$5,$B$1)</f>
        <v>-837.67612500000007</v>
      </c>
      <c r="C13" s="53">
        <f t="shared" ref="C13:D13" si="0">IPMT($B$3,C12,$B$5,$B$1)</f>
        <v>-825.34273877712599</v>
      </c>
      <c r="D13" s="53">
        <f t="shared" si="0"/>
        <v>-812.95847733608264</v>
      </c>
    </row>
    <row r="14" spans="1:4" x14ac:dyDescent="0.25">
      <c r="A14" s="7" t="s">
        <v>57</v>
      </c>
      <c r="B14" s="54">
        <f>PPMT($B$3,B12,$B$5,$B$1)</f>
        <v>-2989.9118116058057</v>
      </c>
      <c r="C14" s="54">
        <f t="shared" ref="C14:D14" si="1">PPMT($B$3,C12,$B$5,$B$1)</f>
        <v>-3002.2451978286795</v>
      </c>
      <c r="D14" s="54">
        <f t="shared" si="1"/>
        <v>-3014.6294592697232</v>
      </c>
    </row>
    <row r="15" spans="1:4" x14ac:dyDescent="0.25">
      <c r="A15" s="48" t="s">
        <v>58</v>
      </c>
      <c r="B15" s="55">
        <f>SUM(B13:B14)</f>
        <v>-3827.5879366058057</v>
      </c>
      <c r="C15" s="55">
        <f t="shared" ref="C15:D15" si="2">SUM(C13:C14)</f>
        <v>-3827.5879366058052</v>
      </c>
      <c r="D15" s="55">
        <f t="shared" si="2"/>
        <v>-3827.5879366058057</v>
      </c>
    </row>
    <row r="17" spans="1:2" x14ac:dyDescent="0.25">
      <c r="A17" s="39" t="s">
        <v>59</v>
      </c>
      <c r="B17" s="56">
        <f>B1-B6</f>
        <v>200000</v>
      </c>
    </row>
    <row r="19" spans="1:2" x14ac:dyDescent="0.25">
      <c r="A19" s="47" t="s">
        <v>60</v>
      </c>
      <c r="B19" s="111">
        <f>RATE(B5,B10,B17)</f>
        <v>5.4109580355160046E-3</v>
      </c>
    </row>
    <row r="20" spans="1:2" x14ac:dyDescent="0.25">
      <c r="A20" s="44" t="s">
        <v>61</v>
      </c>
      <c r="B20" s="112">
        <f>(1+B19)^12-1</f>
        <v>6.6899156666409665E-2</v>
      </c>
    </row>
    <row r="22" spans="1:2" x14ac:dyDescent="0.25">
      <c r="A22" s="47" t="s">
        <v>62</v>
      </c>
      <c r="B22" s="113">
        <v>0.02</v>
      </c>
    </row>
    <row r="23" spans="1:2" x14ac:dyDescent="0.25">
      <c r="A23" s="44" t="s">
        <v>34</v>
      </c>
      <c r="B23" s="114">
        <v>0.22</v>
      </c>
    </row>
    <row r="25" spans="1:2" x14ac:dyDescent="0.25">
      <c r="A25" s="39" t="s">
        <v>63</v>
      </c>
      <c r="B25" s="115">
        <f>(B20*(1-B23)-B22)/(1+B22)</f>
        <v>3.1550335489999547E-2</v>
      </c>
    </row>
    <row r="27" spans="1:2" x14ac:dyDescent="0.25">
      <c r="A27" s="39" t="s">
        <v>64</v>
      </c>
      <c r="B27" s="116">
        <f>(1+B3)^12-1</f>
        <v>5.0638617198243585E-2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5F8C-45A3-48ED-97E4-39BA50382B24}">
  <dimension ref="A1:D45"/>
  <sheetViews>
    <sheetView workbookViewId="0">
      <selection activeCell="H18" sqref="H18"/>
    </sheetView>
  </sheetViews>
  <sheetFormatPr baseColWidth="10" defaultColWidth="11.42578125" defaultRowHeight="15" x14ac:dyDescent="0.25"/>
  <cols>
    <col min="1" max="1" width="21.5703125" customWidth="1"/>
    <col min="2" max="2" width="13.42578125" customWidth="1"/>
    <col min="3" max="3" width="13.28515625" customWidth="1"/>
    <col min="4" max="4" width="12.7109375" customWidth="1"/>
  </cols>
  <sheetData>
    <row r="1" spans="1:4" x14ac:dyDescent="0.25">
      <c r="A1" s="62" t="s">
        <v>65</v>
      </c>
      <c r="B1" s="63" t="s">
        <v>66</v>
      </c>
      <c r="C1" s="63" t="s">
        <v>67</v>
      </c>
      <c r="D1" s="63" t="s">
        <v>68</v>
      </c>
    </row>
    <row r="2" spans="1:4" x14ac:dyDescent="0.25">
      <c r="A2" s="3" t="s">
        <v>69</v>
      </c>
      <c r="B2" s="64">
        <v>0.2</v>
      </c>
      <c r="C2" s="65">
        <v>0.2</v>
      </c>
      <c r="D2" s="65">
        <v>0.3</v>
      </c>
    </row>
    <row r="3" spans="1:4" x14ac:dyDescent="0.25">
      <c r="A3" s="5" t="s">
        <v>70</v>
      </c>
      <c r="B3" s="66">
        <v>0.6</v>
      </c>
      <c r="C3" s="67">
        <v>0.1</v>
      </c>
      <c r="D3" s="67">
        <v>0.2</v>
      </c>
    </row>
    <row r="4" spans="1:4" x14ac:dyDescent="0.25">
      <c r="A4" s="7" t="s">
        <v>71</v>
      </c>
      <c r="B4" s="68">
        <v>0.2</v>
      </c>
      <c r="C4" s="69">
        <v>0.03</v>
      </c>
      <c r="D4" s="69">
        <v>-0.05</v>
      </c>
    </row>
    <row r="6" spans="1:4" x14ac:dyDescent="0.25">
      <c r="A6" s="70" t="s">
        <v>72</v>
      </c>
      <c r="B6" s="71"/>
      <c r="C6" s="72">
        <f>SUMPRODUCT($B$2:$B$4,C2:C4)</f>
        <v>0.10600000000000001</v>
      </c>
      <c r="D6" s="72">
        <f>SUMPRODUCT($B$2:$B$4,D2:D4)</f>
        <v>0.16999999999999998</v>
      </c>
    </row>
    <row r="7" spans="1:4" x14ac:dyDescent="0.25">
      <c r="A7" s="73" t="s">
        <v>73</v>
      </c>
      <c r="B7" s="74"/>
      <c r="C7" s="75">
        <f>(C2-C6)^2*$B$2+(C3-C6)^2*$B$3+(C4-C6)^2*B4</f>
        <v>2.9440000000000004E-3</v>
      </c>
      <c r="D7" s="75">
        <f>(D2-D6)^2*$B$2+(D3-D6)^2*$B$3+(D4-D6)^2*B4</f>
        <v>1.3600000000000001E-2</v>
      </c>
    </row>
    <row r="8" spans="1:4" x14ac:dyDescent="0.25">
      <c r="A8" s="76" t="s">
        <v>74</v>
      </c>
      <c r="B8" s="77"/>
      <c r="C8" s="78">
        <f>C7^0.5</f>
        <v>5.4258639865002151E-2</v>
      </c>
      <c r="D8" s="78">
        <f>D7^0.5</f>
        <v>0.11661903789690602</v>
      </c>
    </row>
    <row r="9" spans="1:4" x14ac:dyDescent="0.25">
      <c r="C9" s="79"/>
      <c r="D9" s="79"/>
    </row>
    <row r="10" spans="1:4" x14ac:dyDescent="0.25">
      <c r="A10" s="80" t="s">
        <v>75</v>
      </c>
      <c r="B10" s="80"/>
      <c r="C10" s="81"/>
      <c r="D10" s="81"/>
    </row>
    <row r="12" spans="1:4" x14ac:dyDescent="0.25">
      <c r="A12" s="47" t="s">
        <v>76</v>
      </c>
      <c r="B12" s="82">
        <f>(C2-C6)*(D2-D6)*B2+(C3-C6)*(D3-D6)*B3+(C4-C6)*(D4-D6)*B4</f>
        <v>5.680000000000001E-3</v>
      </c>
    </row>
    <row r="13" spans="1:4" x14ac:dyDescent="0.25">
      <c r="A13" s="57"/>
      <c r="B13" s="83"/>
    </row>
    <row r="14" spans="1:4" x14ac:dyDescent="0.25">
      <c r="A14" s="57" t="s">
        <v>77</v>
      </c>
      <c r="B14" s="83">
        <v>0.75</v>
      </c>
    </row>
    <row r="15" spans="1:4" x14ac:dyDescent="0.25">
      <c r="A15" s="57" t="s">
        <v>78</v>
      </c>
      <c r="B15" s="83">
        <f>1-B14</f>
        <v>0.25</v>
      </c>
    </row>
    <row r="16" spans="1:4" x14ac:dyDescent="0.25">
      <c r="A16" s="57"/>
      <c r="B16" s="84"/>
    </row>
    <row r="17" spans="1:4" x14ac:dyDescent="0.25">
      <c r="A17" s="57" t="s">
        <v>72</v>
      </c>
      <c r="B17" s="85">
        <f>C6*B14+D6*B15</f>
        <v>0.12200000000000001</v>
      </c>
    </row>
    <row r="18" spans="1:4" x14ac:dyDescent="0.25">
      <c r="A18" s="57" t="s">
        <v>73</v>
      </c>
      <c r="B18" s="83">
        <f>B14^2*C7+B15^2*D7+2*B14*B15*B12</f>
        <v>4.6360000000000012E-3</v>
      </c>
    </row>
    <row r="19" spans="1:4" x14ac:dyDescent="0.25">
      <c r="A19" s="44" t="s">
        <v>74</v>
      </c>
      <c r="B19" s="86">
        <f>B18^0.5</f>
        <v>6.8088178122196821E-2</v>
      </c>
    </row>
    <row r="21" spans="1:4" x14ac:dyDescent="0.25">
      <c r="A21" s="80" t="s">
        <v>79</v>
      </c>
      <c r="B21" s="80"/>
      <c r="C21" s="81"/>
      <c r="D21" s="81"/>
    </row>
    <row r="23" spans="1:4" x14ac:dyDescent="0.25">
      <c r="A23" s="62" t="s">
        <v>65</v>
      </c>
      <c r="B23" s="63" t="s">
        <v>66</v>
      </c>
      <c r="C23" s="63" t="s">
        <v>80</v>
      </c>
    </row>
    <row r="24" spans="1:4" x14ac:dyDescent="0.25">
      <c r="A24" s="3" t="s">
        <v>69</v>
      </c>
      <c r="B24" s="87">
        <v>0.2</v>
      </c>
      <c r="C24" s="88">
        <f>$B$14*C2+$B$15*D2</f>
        <v>0.22500000000000003</v>
      </c>
    </row>
    <row r="25" spans="1:4" x14ac:dyDescent="0.25">
      <c r="A25" s="5" t="s">
        <v>70</v>
      </c>
      <c r="B25" s="89">
        <v>0.6</v>
      </c>
      <c r="C25" s="90">
        <f t="shared" ref="C25:C26" si="0">$B$14*C3+$B$15*D3</f>
        <v>0.125</v>
      </c>
    </row>
    <row r="26" spans="1:4" x14ac:dyDescent="0.25">
      <c r="A26" s="7" t="s">
        <v>71</v>
      </c>
      <c r="B26" s="91">
        <v>0.2</v>
      </c>
      <c r="C26" s="92">
        <f t="shared" si="0"/>
        <v>9.9999999999999985E-3</v>
      </c>
    </row>
    <row r="27" spans="1:4" x14ac:dyDescent="0.25">
      <c r="A27" s="93" t="s">
        <v>72</v>
      </c>
      <c r="B27" s="94"/>
      <c r="C27" s="95">
        <f>C24*B24+C25*B25+C26*B26</f>
        <v>0.12200000000000001</v>
      </c>
    </row>
    <row r="28" spans="1:4" x14ac:dyDescent="0.25">
      <c r="A28" s="96" t="s">
        <v>73</v>
      </c>
      <c r="B28" s="97"/>
      <c r="C28" s="75">
        <f>(C24-C27)^2*B24+(C25-C27)^2*B25+(C26-C27)^2*B26</f>
        <v>4.6360000000000012E-3</v>
      </c>
    </row>
    <row r="29" spans="1:4" x14ac:dyDescent="0.25">
      <c r="A29" s="98" t="str">
        <f>A19</f>
        <v>Standardavvik</v>
      </c>
      <c r="B29" s="77"/>
      <c r="C29" s="99">
        <f>C28^0.5</f>
        <v>6.8088178122196821E-2</v>
      </c>
    </row>
    <row r="31" spans="1:4" x14ac:dyDescent="0.25">
      <c r="A31" s="47" t="s">
        <v>81</v>
      </c>
      <c r="B31" s="117">
        <v>0.5</v>
      </c>
    </row>
    <row r="32" spans="1:4" x14ac:dyDescent="0.25">
      <c r="A32" s="57" t="s">
        <v>82</v>
      </c>
      <c r="B32" s="118">
        <v>0.2</v>
      </c>
    </row>
    <row r="33" spans="1:2" x14ac:dyDescent="0.25">
      <c r="A33" s="57" t="s">
        <v>83</v>
      </c>
      <c r="B33" s="118">
        <v>0.7</v>
      </c>
    </row>
    <row r="34" spans="1:2" x14ac:dyDescent="0.25">
      <c r="A34" s="57" t="s">
        <v>84</v>
      </c>
      <c r="B34" s="118">
        <v>0.3</v>
      </c>
    </row>
    <row r="35" spans="1:2" x14ac:dyDescent="0.25">
      <c r="A35" s="57" t="s">
        <v>85</v>
      </c>
      <c r="B35" s="118">
        <v>0.35</v>
      </c>
    </row>
    <row r="36" spans="1:2" x14ac:dyDescent="0.25">
      <c r="A36" s="44" t="s">
        <v>86</v>
      </c>
      <c r="B36" s="119">
        <v>0.3</v>
      </c>
    </row>
    <row r="38" spans="1:2" x14ac:dyDescent="0.25">
      <c r="A38" s="47" t="s">
        <v>87</v>
      </c>
      <c r="B38" s="100">
        <f>B32*B35*B31/B35^2</f>
        <v>0.2857142857142857</v>
      </c>
    </row>
    <row r="39" spans="1:2" x14ac:dyDescent="0.25">
      <c r="A39" s="44" t="s">
        <v>88</v>
      </c>
      <c r="B39" s="101">
        <f>B33*B34*B35/(B35^2)</f>
        <v>0.60000000000000009</v>
      </c>
    </row>
    <row r="41" spans="1:2" x14ac:dyDescent="0.25">
      <c r="A41" s="47" t="s">
        <v>89</v>
      </c>
      <c r="B41" s="10">
        <v>0.3</v>
      </c>
    </row>
    <row r="42" spans="1:2" x14ac:dyDescent="0.25">
      <c r="A42" s="44" t="s">
        <v>90</v>
      </c>
      <c r="B42" s="12">
        <f>1-B41</f>
        <v>0.7</v>
      </c>
    </row>
    <row r="44" spans="1:2" x14ac:dyDescent="0.25">
      <c r="A44" s="47" t="s">
        <v>73</v>
      </c>
      <c r="B44" s="10">
        <f>B41^2*B32^2+B42^2*B33^2+2*B41*B42*B32*B33*B36</f>
        <v>0.26133999999999991</v>
      </c>
    </row>
    <row r="45" spans="1:2" x14ac:dyDescent="0.25">
      <c r="A45" s="44" t="s">
        <v>74</v>
      </c>
      <c r="B45" s="29">
        <f>SQRT(B44)</f>
        <v>0.51121424080320754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2018-08-30T13:50:26Z</dcterms:created>
  <dcterms:modified xsi:type="dcterms:W3CDTF">2023-06-29T10:17:12Z</dcterms:modified>
  <cp:category/>
  <cp:contentStatus/>
</cp:coreProperties>
</file>