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1790" windowHeight="5955"/>
  </bookViews>
  <sheets>
    <sheet name="Oppgaver 5.1 – 5.6" sheetId="1" r:id="rId1"/>
    <sheet name="Oppgave 5.7" sheetId="4" r:id="rId2"/>
    <sheet name="Oppgave 5.8" sheetId="5" r:id="rId3"/>
    <sheet name="Oppgave 5.9 – 5.11" sheetId="6" r:id="rId4"/>
    <sheet name="Oppgave 5.12" sheetId="7" r:id="rId5"/>
  </sheets>
  <calcPr calcId="145621"/>
</workbook>
</file>

<file path=xl/calcChain.xml><?xml version="1.0" encoding="utf-8"?>
<calcChain xmlns="http://schemas.openxmlformats.org/spreadsheetml/2006/main">
  <c r="E51" i="7" l="1"/>
  <c r="E52" i="7" s="1"/>
  <c r="F52" i="7" s="1"/>
  <c r="F53" i="7" s="1"/>
  <c r="E42" i="7"/>
  <c r="F35" i="7"/>
  <c r="E26" i="7"/>
  <c r="F23" i="7"/>
  <c r="C18" i="7"/>
  <c r="E17" i="7"/>
  <c r="E16" i="7"/>
  <c r="E25" i="7" s="1"/>
  <c r="E27" i="7" s="1"/>
  <c r="F27" i="7" s="1"/>
  <c r="F28" i="7" s="1"/>
  <c r="E18" i="7" l="1"/>
  <c r="D91" i="1" l="1"/>
  <c r="D89" i="1"/>
  <c r="B89" i="1"/>
  <c r="D85" i="1"/>
  <c r="D75" i="6" l="1"/>
  <c r="D74" i="6"/>
  <c r="E62" i="6"/>
  <c r="G60" i="6"/>
  <c r="G61" i="6"/>
  <c r="D76" i="6" s="1"/>
  <c r="G59" i="6"/>
  <c r="G62" i="6" s="1"/>
  <c r="F37" i="6"/>
  <c r="F40" i="6" s="1"/>
  <c r="E28" i="6"/>
  <c r="D77" i="6" l="1"/>
  <c r="B21" i="6"/>
  <c r="E20" i="6"/>
  <c r="B20" i="6"/>
  <c r="E19" i="6"/>
  <c r="B19" i="6"/>
  <c r="G10" i="6" l="1"/>
  <c r="E15" i="6" s="1"/>
  <c r="G9" i="6"/>
  <c r="E14" i="6" s="1"/>
  <c r="E16" i="6" l="1"/>
  <c r="E27" i="6" s="1"/>
  <c r="E21" i="6"/>
  <c r="E22" i="6" s="1"/>
  <c r="C19" i="5"/>
  <c r="C18" i="5"/>
  <c r="C20" i="5" s="1"/>
  <c r="C23" i="5" s="1"/>
  <c r="C6" i="5" l="1"/>
  <c r="C7" i="5" s="1"/>
  <c r="C5" i="5"/>
  <c r="C8" i="5" l="1"/>
  <c r="E14" i="5" s="1"/>
  <c r="C22" i="5" s="1"/>
  <c r="C25" i="5" s="1"/>
  <c r="C30" i="5" s="1"/>
  <c r="C31" i="5" s="1"/>
  <c r="C126" i="1"/>
  <c r="C124" i="1"/>
  <c r="E122" i="1"/>
  <c r="C118" i="1"/>
  <c r="C117" i="1"/>
  <c r="C116" i="1"/>
  <c r="C115" i="1"/>
  <c r="C109" i="1"/>
  <c r="C112" i="1" s="1"/>
  <c r="C41" i="4" l="1"/>
  <c r="C22" i="4"/>
  <c r="C21" i="4"/>
  <c r="C23" i="4" s="1"/>
  <c r="C14" i="4"/>
  <c r="C30" i="4" s="1"/>
  <c r="C10" i="4"/>
  <c r="C29" i="4" l="1"/>
  <c r="C31" i="4" s="1"/>
  <c r="C34" i="4" s="1"/>
  <c r="C35" i="4" s="1"/>
  <c r="C37" i="4" s="1"/>
  <c r="E25" i="4"/>
  <c r="E27" i="4" s="1"/>
  <c r="B65" i="1" l="1"/>
  <c r="D59" i="1"/>
  <c r="D57" i="1"/>
  <c r="D58" i="1" s="1"/>
  <c r="D60" i="1" s="1"/>
  <c r="C65" i="1" s="1"/>
  <c r="C66" i="1" s="1"/>
  <c r="D54" i="1"/>
  <c r="D38" i="1"/>
  <c r="D41" i="1"/>
  <c r="D42" i="1" s="1"/>
  <c r="D44" i="1" s="1"/>
  <c r="D48" i="1" s="1"/>
  <c r="C33" i="1"/>
  <c r="D28" i="1"/>
  <c r="C6" i="1" l="1"/>
  <c r="C10" i="1" s="1"/>
  <c r="C12" i="1" s="1"/>
  <c r="C14" i="1" s="1"/>
  <c r="C18" i="1" l="1"/>
  <c r="C22" i="1" s="1"/>
  <c r="C16" i="1"/>
  <c r="C21" i="1" s="1"/>
  <c r="C20" i="1"/>
  <c r="C23" i="1" l="1"/>
</calcChain>
</file>

<file path=xl/sharedStrings.xml><?xml version="1.0" encoding="utf-8"?>
<sst xmlns="http://schemas.openxmlformats.org/spreadsheetml/2006/main" count="310" uniqueCount="225">
  <si>
    <t>a)</t>
  </si>
  <si>
    <t>b)</t>
  </si>
  <si>
    <t>–</t>
  </si>
  <si>
    <t>+</t>
  </si>
  <si>
    <t>=</t>
  </si>
  <si>
    <t>c)</t>
  </si>
  <si>
    <t>Løsning oppgave 5.1</t>
  </si>
  <si>
    <t>Varebil</t>
  </si>
  <si>
    <t>Omregistreringsavgift</t>
  </si>
  <si>
    <t>Tilhengerfeste</t>
  </si>
  <si>
    <t>Anskaffelseskost</t>
  </si>
  <si>
    <t>Utrangeringsverdi</t>
  </si>
  <si>
    <t>Samlet avskrivningsbeløp</t>
  </si>
  <si>
    <t>Avskrivning i 20x2 =</t>
  </si>
  <si>
    <t>Avskrivning i 20x1</t>
  </si>
  <si>
    <t>Avskrivning i 20x2</t>
  </si>
  <si>
    <t>Regnskapsmessig verdi 31.12.20x2</t>
  </si>
  <si>
    <t>Årlig avskrivning: 114 000 : 6 =</t>
  </si>
  <si>
    <r>
      <t xml:space="preserve">Avskrivning i 20x1: 19 000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3/12 =</t>
    </r>
  </si>
  <si>
    <t>Forsikring er en ordinær driftskostnad og skal ikke være med i anskaffelseskost.</t>
  </si>
  <si>
    <t>Løsning oppgave 5.2</t>
  </si>
  <si>
    <r>
      <t xml:space="preserve">Anskaffelseskost: kr 445 000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100/125 =</t>
    </r>
  </si>
  <si>
    <t xml:space="preserve">Adal Hageland AS vil få inngående merverdiavgift på kr 89 000 </t>
  </si>
  <si>
    <t>tilbake ved avgiftsoppgjøret.</t>
  </si>
  <si>
    <t>Årlig avskrivning: kr 356 000 : 10 =</t>
  </si>
  <si>
    <t>Løsning oppgave 5.3</t>
  </si>
  <si>
    <t>Regnskapsmessig verdi før nedskrivning</t>
  </si>
  <si>
    <t>Avskrivning år 1 – 5</t>
  </si>
  <si>
    <t>Nedskrivning per 31.12. år 5</t>
  </si>
  <si>
    <t>Regnskapsmessig verdi 31.12. år 5</t>
  </si>
  <si>
    <t>Resterende levetid = 45 år</t>
  </si>
  <si>
    <t>Avskrivning fra og med år 6: kr 9 000 000 : 45 =</t>
  </si>
  <si>
    <t>Årlig avskrivning: kr 13 500 000 : 50 =</t>
  </si>
  <si>
    <t>Løsning oppgave 5.4</t>
  </si>
  <si>
    <t>Årlig avskrivning: 12,5 % av kr 280 000 =</t>
  </si>
  <si>
    <t>Avskrivning år 1 – 6</t>
  </si>
  <si>
    <t>Avskrivning i år 7: 35 000 : 2 =</t>
  </si>
  <si>
    <t>Salgssum</t>
  </si>
  <si>
    <t>Gevinst</t>
  </si>
  <si>
    <t>Det blir halv avskrivning i år 7. Vi avskriver altså for perioden 1.1. – 30.6.</t>
  </si>
  <si>
    <t>Spesifikk vurdering:</t>
  </si>
  <si>
    <t>Regnskapsloven § 5-5</t>
  </si>
  <si>
    <t>Eiendeler skal tilordnes anskaffelskost spesifikt.</t>
  </si>
  <si>
    <t>De to båtene skal dermed vurderes slik:</t>
  </si>
  <si>
    <t xml:space="preserve">Båten som ble kjøpt i februar </t>
  </si>
  <si>
    <t>Båten som ble kjøpt i april</t>
  </si>
  <si>
    <t>FIFO-prinsippet</t>
  </si>
  <si>
    <t>De båtene som blir kjøpt først, blir også solgt først. Dermed skal</t>
  </si>
  <si>
    <t>beholdningen vurderes til</t>
  </si>
  <si>
    <t xml:space="preserve"> (2 båter à kr 325 000)</t>
  </si>
  <si>
    <t>Vi vurderer altså båtene til den siste innkjøpsprisen</t>
  </si>
  <si>
    <t>6 båter à kr 300 000</t>
  </si>
  <si>
    <t>4 båter à kr 325 000</t>
  </si>
  <si>
    <t>Totalt kjøp</t>
  </si>
  <si>
    <t>Gjennomsnittlig anskaffelseskost: 3 100 000 : 10 =</t>
  </si>
  <si>
    <t>Beholdningen 31.12.: 2 båter à kr 310 000 =</t>
  </si>
  <si>
    <t>d)</t>
  </si>
  <si>
    <t>Årets varekjøp</t>
  </si>
  <si>
    <t>Beholdning 31.12.</t>
  </si>
  <si>
    <t>Varekostnad</t>
  </si>
  <si>
    <t>Salgsinntekter</t>
  </si>
  <si>
    <t>Bruttofortjeneste</t>
  </si>
  <si>
    <t>Bruttofortjeneste i prosent</t>
  </si>
  <si>
    <t>e)</t>
  </si>
  <si>
    <t>Kurant båt</t>
  </si>
  <si>
    <t>Ukurant båt</t>
  </si>
  <si>
    <t>Bokført verdi</t>
  </si>
  <si>
    <t>Vise til generell regel for vurdering av omløpsmidler, rskl. § 5-2</t>
  </si>
  <si>
    <t>Løsning oppgave 5.5</t>
  </si>
  <si>
    <t>Beholdning per 1.1.</t>
  </si>
  <si>
    <t>Antall</t>
  </si>
  <si>
    <t>Salg 10.2.</t>
  </si>
  <si>
    <t>Kjøp 30.6.</t>
  </si>
  <si>
    <t>Salg 15.8.</t>
  </si>
  <si>
    <t>Kjøp 9.10.</t>
  </si>
  <si>
    <t>Salg 22.11.</t>
  </si>
  <si>
    <t>Kjøp 30.6.: 1 500 à kr 10 =</t>
  </si>
  <si>
    <t>Kjøp 9.10.: 1 000 à kr 12 =</t>
  </si>
  <si>
    <t>Inngående beholdning: 500 à kr 9 =</t>
  </si>
  <si>
    <t>Sum</t>
  </si>
  <si>
    <t>Gjennomsnittlig anskaffelseskost per enhet: 32 400 : 3 000 =</t>
  </si>
  <si>
    <t>Gjennomsnittlig anskaffelseskost</t>
  </si>
  <si>
    <t>300 enheter à kr 12 =</t>
  </si>
  <si>
    <t>300 enheter à kr 10,80 =</t>
  </si>
  <si>
    <t>300 enheter à kr 10 =</t>
  </si>
  <si>
    <t>Løsning oppgave 5.6</t>
  </si>
  <si>
    <t>Løsning oppgave 5.7</t>
  </si>
  <si>
    <t>Merverdiavgift</t>
  </si>
  <si>
    <t>Forventet salgspris inkl. mva.</t>
  </si>
  <si>
    <t>Salgspris ekskl. mva</t>
  </si>
  <si>
    <t>10 % salgskostnader</t>
  </si>
  <si>
    <t>Virkelig verdi er definert som netto salgsverdi. Det betyr salgsverdien</t>
  </si>
  <si>
    <t>ekskl. merverdiavgift. Deretter blir verdien redusert med 10 % på grunn</t>
  </si>
  <si>
    <t>av kalkulerte salgskostnader.</t>
  </si>
  <si>
    <t>Virkelig verdi per enhet</t>
  </si>
  <si>
    <t>Virkelig verdi for beholdningen: 20 apparater à kr 2 160 =</t>
  </si>
  <si>
    <t>Komfyrer</t>
  </si>
  <si>
    <t>10 komfyrer à kr 3 200 =</t>
  </si>
  <si>
    <t>5 komfyrer à kr 2 000 =</t>
  </si>
  <si>
    <t>Andre elektriske artikler</t>
  </si>
  <si>
    <t>TV-apparater</t>
  </si>
  <si>
    <t>Komfyrene vurderes til</t>
  </si>
  <si>
    <t>Regnskapsmessig verdi</t>
  </si>
  <si>
    <t>Beholdning per 1.1.20x1</t>
  </si>
  <si>
    <t>Varekjøp i 20x1</t>
  </si>
  <si>
    <t>Beholdning per 31.12.20x1</t>
  </si>
  <si>
    <t>Varekostnader i 20x1</t>
  </si>
  <si>
    <t>Direkte materialer</t>
  </si>
  <si>
    <t>Direkte lønn</t>
  </si>
  <si>
    <t>Indirekte faste tilvirkningskostnader per år</t>
  </si>
  <si>
    <t>Indirekte variable tilvirkningskostnader per år</t>
  </si>
  <si>
    <t>Normal produksjonskapasitet per år</t>
  </si>
  <si>
    <t>Løsning oppgave 5.8</t>
  </si>
  <si>
    <t>Indirekte kostnader per enhet:</t>
  </si>
  <si>
    <t>Ind. faste tilvirkningskostnader: kr 1 500 000 : 12 000 =</t>
  </si>
  <si>
    <t>Ind. variable tilvirkningskostnader per enhet: kr 120 000 : 12 000 =</t>
  </si>
  <si>
    <t>Ind. variable tilv.kostnader</t>
  </si>
  <si>
    <t>Ind. faste tilvirkningskostnader</t>
  </si>
  <si>
    <t>Tilvirkningkost per enhet</t>
  </si>
  <si>
    <t>Variabel tilvirkningskost</t>
  </si>
  <si>
    <t>Beholdningsøkning ferdige varer</t>
  </si>
  <si>
    <t>Materialkostnader</t>
  </si>
  <si>
    <t>Løsning oppgave 5.9</t>
  </si>
  <si>
    <t>Fordring sendt til inkasso</t>
  </si>
  <si>
    <t>Usikre fordringer</t>
  </si>
  <si>
    <t>Balanseverdi kundefordringer</t>
  </si>
  <si>
    <t>Både de fordringene som er sendt til inkasso uten resultat og de usikre fordringene</t>
  </si>
  <si>
    <t>per 31.12. vil føre til økte kostnader, med til sammen kr 32 000.</t>
  </si>
  <si>
    <t>Netto virkning på resultatet før skatt vil være netto kr 31 000 (negativt).</t>
  </si>
  <si>
    <t>Pengeposter i utenlandsk valuta skal vurderes til kursen på oppgjørstidspunktet.</t>
  </si>
  <si>
    <t>Derfor vil kursøkningen på euro føre til en økt finansinntekt på kr 1 000.</t>
  </si>
  <si>
    <t xml:space="preserve">Driftsresultatet vil bli redusert med kr 32 000, mens finansinntektene vil øke </t>
  </si>
  <si>
    <t>med kr 1 000.</t>
  </si>
  <si>
    <t>Løsning oppgave 5.10</t>
  </si>
  <si>
    <t>Selskap</t>
  </si>
  <si>
    <t>DNB</t>
  </si>
  <si>
    <t>Gjensidige</t>
  </si>
  <si>
    <t>Norwegian Air Shuttle</t>
  </si>
  <si>
    <t>Anskaffet for</t>
  </si>
  <si>
    <t xml:space="preserve">Antall </t>
  </si>
  <si>
    <t>aksjer</t>
  </si>
  <si>
    <t>Kurs 31.12.</t>
  </si>
  <si>
    <t>Verdi</t>
  </si>
  <si>
    <t>31.12.</t>
  </si>
  <si>
    <t>Det er tillatt å vurdere disse aksjene til virkelig verdi, nemlig kr 962 000.</t>
  </si>
  <si>
    <t>Det vil bety en netto verdiøkning på kr 962 000 – kr 935 000 = kr 37 000.</t>
  </si>
  <si>
    <t>Vi vil derfor føre kr 37 000 som finansinntekt i resultatregnskapet, og</t>
  </si>
  <si>
    <t>resultatet vil derfor påvirkes positivt med samme beløp.</t>
  </si>
  <si>
    <t>Laveste verdis prinsipp betyr at aksjene vurderes til den laveste verdien av</t>
  </si>
  <si>
    <t>anskaffelseskost og virkelig verdi. Da vil de tre aksjepostene bli vurdert slik:</t>
  </si>
  <si>
    <t>Balanseverdi 31.12.</t>
  </si>
  <si>
    <t>Det betyr at samlet verdi i balansen vil bli kr 835 000. Vi merker oss at hver</t>
  </si>
  <si>
    <t>Den virkelige verdien per 31.12. er jo kr 962 000.</t>
  </si>
  <si>
    <t>Bruk av laveste verdis prinsipp vil dessuten bety et verdifall på kr 935 000 –</t>
  </si>
  <si>
    <t>kr 835 000 = kr 100 000. Vi vil altså kostnadsføre kr 100 000. Ved vurdering</t>
  </si>
  <si>
    <t>til virkelig verdi vil vi få en inntektsføring med kr 37 000.</t>
  </si>
  <si>
    <t>Laveste verdis prinsipp vil derfor føre til et resultat som er kr 137 000</t>
  </si>
  <si>
    <t>lavere sammenlignet med vurdering til virkelig verdi.</t>
  </si>
  <si>
    <t>Regnskapsmessig verdi 31.12. år 6</t>
  </si>
  <si>
    <t>Regnskapsmessig verdi på salgstidspunktet</t>
  </si>
  <si>
    <t>Årlig avskrivning: 2 % av kr 6 000 000 =</t>
  </si>
  <si>
    <t>Årlige avskrivninger fra og med 2014: 3 400 000 : 42,5 =</t>
  </si>
  <si>
    <t>I 20x1 avskriver vi i 6 måneder, dvs. halvparten</t>
  </si>
  <si>
    <t>Avskrivning for årene 20x1 – 20x7</t>
  </si>
  <si>
    <r>
      <t xml:space="preserve">Avskrivning 20x2 – 20x7: 120 000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6 =</t>
    </r>
  </si>
  <si>
    <r>
      <t xml:space="preserve">Eiendommen er avskrevet i 7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år</t>
    </r>
  </si>
  <si>
    <r>
      <t xml:space="preserve">Resterende levetid er 42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år</t>
    </r>
  </si>
  <si>
    <t>Avskrivning 20x1 – 20x7</t>
  </si>
  <si>
    <t>Bokført verdi 31.12.20x7</t>
  </si>
  <si>
    <t>Avskrivning i 20x8</t>
  </si>
  <si>
    <t>Nedskrivning i 20x8</t>
  </si>
  <si>
    <t>Bokført verdi 31.12.20x8</t>
  </si>
  <si>
    <t>Bokført verdi etter avskrivning i 20x8</t>
  </si>
  <si>
    <t>Da må eiendommen nedskrives med kr 1 700 000 per 31.12.20x8</t>
  </si>
  <si>
    <t>Antall enheter: IB + kjøp = 500 + 1 500 + 1 000 = 3 000</t>
  </si>
  <si>
    <t>Løsning oppgave 5.11</t>
  </si>
  <si>
    <t>Gjennomsnittsmetoden</t>
  </si>
  <si>
    <t>i driftskostnadene.</t>
  </si>
  <si>
    <t xml:space="preserve">Beholdningsøkning på 200 à kr 285 = kr 57 000 kommer til fradrag </t>
  </si>
  <si>
    <t>Kundefordringer ekskl. fordring i euro</t>
  </si>
  <si>
    <t>Fordring i euro som skal vurderes til kurs 8,20 =</t>
  </si>
  <si>
    <t>Tap på fordringer er en driftskostnad og fører til redusert driftsresultat.</t>
  </si>
  <si>
    <t>aksjepost vurderes for seg. Vi ser at aksjene på denne måten blir undervurdert.</t>
  </si>
  <si>
    <t>Anleggsmidler er eiendeler bestemt for varig eie eller bruk.</t>
  </si>
  <si>
    <t>I praksis snakkes det gjerne om en bindingstid på minst 1 år</t>
  </si>
  <si>
    <t>Typiske anleggsmidler er eiendommer, biler, inventar etc., men</t>
  </si>
  <si>
    <t>vi har også immaterielle eiendeler og finansielle anleggsmidler</t>
  </si>
  <si>
    <t>Omløpsmidler er bundet for kortere tid enn 1 år.</t>
  </si>
  <si>
    <t>Eiendeler som hører til "varekretsløpet" er omløpsmidler.</t>
  </si>
  <si>
    <t>Eksempler: Varebeholdninger, kundefordringer, betalingsmidler</t>
  </si>
  <si>
    <t>og kortsiktige pengeplasseringer (for eksempel aksjer)</t>
  </si>
  <si>
    <t>Kortsiktige aksjer</t>
  </si>
  <si>
    <t>Kjøpt i:</t>
  </si>
  <si>
    <t>Kurs</t>
  </si>
  <si>
    <t>Kostpris</t>
  </si>
  <si>
    <t>April</t>
  </si>
  <si>
    <t>Mai</t>
  </si>
  <si>
    <t>August: Solgt 4 000 aksjer til en kurs på kr 210,-</t>
  </si>
  <si>
    <t>FIFO</t>
  </si>
  <si>
    <t>Salgssum: 4 000 aksjer à kr 205 =</t>
  </si>
  <si>
    <t>Anskaffelseskost:</t>
  </si>
  <si>
    <t>2 500 aksjer à kr 220 =</t>
  </si>
  <si>
    <t>1 500 aksjer à kr 188 =</t>
  </si>
  <si>
    <t>Tap ved salg av aksjer</t>
  </si>
  <si>
    <t>Kursen 31.12.2014 er kr 215</t>
  </si>
  <si>
    <t>Hovedregelen for vurdering av omløpsmidler er at de skal vurderes</t>
  </si>
  <si>
    <t>til laveste av anskaffelseskost og virkelig verdi. Se rskl. § 5-2.</t>
  </si>
  <si>
    <t>Anskaffelsesverdien er 4 000 aksjer à kr 188 =</t>
  </si>
  <si>
    <t>Så har vi en spesialregel i rskl. § 5-8. Den sier at vi kan vurdere</t>
  </si>
  <si>
    <t>børsnoterte aksjer til virkelig dersom visse betingelser er oppfylt, se</t>
  </si>
  <si>
    <t>pkt. 1 – 4.</t>
  </si>
  <si>
    <t>Hvis nevnte betingelser er oppfylt, kan vi vurdere aksjene slik:</t>
  </si>
  <si>
    <t>4 000 aksjer à kr 215 =</t>
  </si>
  <si>
    <t>Dersom aksjene er en langsiktig plassering, skal de vurderes</t>
  </si>
  <si>
    <t>til anskaffelseskost i henhold til regnskapsloven § 5-3 første ledd.</t>
  </si>
  <si>
    <t>Da blir balanseverdien kr 1 584 000.</t>
  </si>
  <si>
    <t>f)</t>
  </si>
  <si>
    <t>Kurante varer vurderes til anskaffelseskost</t>
  </si>
  <si>
    <t>Ukurante varer vurderes til virkelig verdi:</t>
  </si>
  <si>
    <t>Forventet salgsverdi</t>
  </si>
  <si>
    <t>Salgskostnader, 10 %</t>
  </si>
  <si>
    <t>Virkelig verdi</t>
  </si>
  <si>
    <t>Varebeholdning verdsettes til</t>
  </si>
  <si>
    <t>Løsning oppgave 5.12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</si>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</sst>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kr&quot;\ * #,##0_ ;_ &quot;kr&quot;\ * \-#,##0_ ;_ &quot;kr&quot;\ * &quot;-&quot;_ ;_ @_ "/>
    <numFmt numFmtId="44" formatCode="_ &quot;kr&quot;\ * #,##0.00_ ;_ &quot;kr&quot;\ * \-#,##0.00_ ;_ &quot;kr&quot;\ * &quot;-&quot;??_ ;_ @_ "/>
    <numFmt numFmtId="164" formatCode="&quot;kr&quot;\ #,##0"/>
    <numFmt numFmtId="165" formatCode="0.0\ %"/>
    <numFmt numFmtId="166" formatCode="_ &quot;kr&quot;\ * #,##0_ ;_ &quot;kr&quot;\ * \-#,##0_ ;_ &quot;kr&quot;\ * &quot;-&quot;??_ ;_ @_ "/>
    <numFmt numFmtId="167" formatCode="_ [$kr-414]\ * #,##0.00_ ;_ [$kr-414]\ * \-#,##0.00_ ;_ [$kr-414]\ * &quot;-&quot;??_ ;_ @_ "/>
    <numFmt numFmtId="168" formatCode="_ [$kr-414]\ * #,##0_ ;_ [$kr-414]\ * \-#,##0_ ;_ [$kr-414]\ * &quot;-&quot;??_ ;_ @_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164" fontId="1" fillId="0" borderId="2" xfId="0" applyNumberFormat="1" applyFont="1" applyBorder="1"/>
    <xf numFmtId="3" fontId="1" fillId="0" borderId="3" xfId="0" applyNumberFormat="1" applyFont="1" applyBorder="1"/>
    <xf numFmtId="0" fontId="6" fillId="0" borderId="0" xfId="0" applyFont="1"/>
    <xf numFmtId="165" fontId="1" fillId="0" borderId="2" xfId="1" applyNumberFormat="1" applyFont="1" applyBorder="1"/>
    <xf numFmtId="3" fontId="3" fillId="0" borderId="0" xfId="0" applyNumberFormat="1" applyFont="1"/>
    <xf numFmtId="44" fontId="1" fillId="0" borderId="2" xfId="3" applyFont="1" applyBorder="1"/>
    <xf numFmtId="0" fontId="8" fillId="0" borderId="0" xfId="0" applyFont="1"/>
    <xf numFmtId="166" fontId="1" fillId="0" borderId="2" xfId="3" applyNumberFormat="1" applyFont="1" applyBorder="1"/>
    <xf numFmtId="167" fontId="1" fillId="0" borderId="0" xfId="0" applyNumberFormat="1" applyFont="1"/>
    <xf numFmtId="168" fontId="1" fillId="0" borderId="0" xfId="0" applyNumberFormat="1" applyFont="1"/>
    <xf numFmtId="168" fontId="1" fillId="0" borderId="2" xfId="0" applyNumberFormat="1" applyFont="1" applyBorder="1"/>
    <xf numFmtId="168" fontId="1" fillId="0" borderId="1" xfId="0" applyNumberFormat="1" applyFont="1" applyBorder="1"/>
    <xf numFmtId="44" fontId="1" fillId="0" borderId="0" xfId="0" applyNumberFormat="1" applyFont="1"/>
    <xf numFmtId="42" fontId="1" fillId="0" borderId="0" xfId="0" applyNumberFormat="1" applyFont="1"/>
    <xf numFmtId="44" fontId="1" fillId="0" borderId="1" xfId="0" applyNumberFormat="1" applyFont="1" applyBorder="1"/>
    <xf numFmtId="3" fontId="1" fillId="0" borderId="0" xfId="0" applyNumberFormat="1" applyFont="1" applyBorder="1"/>
    <xf numFmtId="0" fontId="1" fillId="0" borderId="5" xfId="0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3" fontId="1" fillId="0" borderId="8" xfId="0" quotePrefix="1" applyNumberFormat="1" applyFont="1" applyBorder="1" applyAlignment="1">
      <alignment horizontal="center"/>
    </xf>
    <xf numFmtId="3" fontId="1" fillId="0" borderId="6" xfId="0" applyNumberFormat="1" applyFont="1" applyBorder="1"/>
    <xf numFmtId="0" fontId="1" fillId="0" borderId="9" xfId="0" applyFont="1" applyBorder="1"/>
    <xf numFmtId="3" fontId="1" fillId="0" borderId="8" xfId="0" applyNumberFormat="1" applyFont="1" applyBorder="1"/>
    <xf numFmtId="0" fontId="1" fillId="0" borderId="10" xfId="0" applyFont="1" applyBorder="1"/>
    <xf numFmtId="0" fontId="1" fillId="0" borderId="1" xfId="0" applyFont="1" applyBorder="1"/>
    <xf numFmtId="3" fontId="1" fillId="0" borderId="11" xfId="0" applyNumberFormat="1" applyFont="1" applyBorder="1"/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/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14" xfId="0" applyNumberFormat="1" applyFont="1" applyBorder="1"/>
    <xf numFmtId="168" fontId="1" fillId="0" borderId="0" xfId="0" applyNumberFormat="1" applyFont="1" applyFill="1"/>
    <xf numFmtId="3" fontId="2" fillId="0" borderId="0" xfId="0" applyNumberFormat="1" applyFont="1" applyAlignment="1">
      <alignment horizontal="right"/>
    </xf>
    <xf numFmtId="0" fontId="10" fillId="0" borderId="0" xfId="0" applyFont="1"/>
    <xf numFmtId="0" fontId="0" fillId="0" borderId="0" xfId="0"/>
    <xf numFmtId="0" fontId="1" fillId="0" borderId="0" xfId="0" applyFont="1"/>
    <xf numFmtId="0" fontId="9" fillId="0" borderId="0" xfId="0" applyFont="1"/>
    <xf numFmtId="3" fontId="1" fillId="0" borderId="0" xfId="0" applyNumberFormat="1" applyFont="1"/>
    <xf numFmtId="0" fontId="3" fillId="0" borderId="0" xfId="0" applyFont="1"/>
    <xf numFmtId="0" fontId="2" fillId="0" borderId="0" xfId="0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Border="1"/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1" fillId="0" borderId="0" xfId="0" applyFont="1"/>
    <xf numFmtId="0" fontId="1" fillId="0" borderId="0" xfId="0" applyFont="1" applyFill="1"/>
    <xf numFmtId="3" fontId="1" fillId="0" borderId="2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Alignment="1">
      <alignment horizontal="left" indent="2"/>
    </xf>
  </cellXfs>
  <cellStyles count="5">
    <cellStyle name="Normal" xfId="0" builtinId="0"/>
    <cellStyle name="Normal 2" xfId="2"/>
    <cellStyle name="Prosent" xfId="1" builtinId="5"/>
    <cellStyle name="Prosent 2" xfId="4"/>
    <cellStyle name="Valuta" xfId="3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abSelected="1" workbookViewId="0">
      <selection activeCell="A2" sqref="A2"/>
    </sheetView>
  </sheetViews>
  <sheetFormatPr baseColWidth="10" defaultColWidth="9.140625" defaultRowHeight="15.75" x14ac:dyDescent="0.25"/>
  <cols>
    <col min="1" max="1" width="4.5703125" style="1" customWidth="1"/>
    <col min="2" max="2" width="32.140625" style="1" customWidth="1"/>
    <col min="3" max="4" width="11.42578125" style="2" customWidth="1"/>
    <col min="5" max="5" width="11.140625" style="2" customWidth="1"/>
    <col min="6" max="6" width="10.140625" style="2" bestFit="1" customWidth="1"/>
    <col min="7" max="9" width="9.140625" style="2"/>
    <col min="10" max="16384" width="9.140625" style="1"/>
  </cols>
  <sheetData>
    <row r="1" spans="1:13" x14ac:dyDescent="0.25">
      <c r="A1" s="3" t="s">
        <v>6</v>
      </c>
    </row>
    <row r="2" spans="1:13" x14ac:dyDescent="0.25">
      <c r="A2" s="1" t="s">
        <v>224</v>
      </c>
    </row>
    <row r="3" spans="1:13" x14ac:dyDescent="0.25">
      <c r="A3" s="1" t="s">
        <v>0</v>
      </c>
      <c r="B3" s="1" t="s">
        <v>7</v>
      </c>
      <c r="C3" s="2">
        <v>123000</v>
      </c>
    </row>
    <row r="4" spans="1:13" x14ac:dyDescent="0.25">
      <c r="A4" s="8" t="s">
        <v>3</v>
      </c>
      <c r="B4" s="1" t="s">
        <v>8</v>
      </c>
      <c r="C4" s="2">
        <v>5000</v>
      </c>
    </row>
    <row r="5" spans="1:13" x14ac:dyDescent="0.25">
      <c r="A5" s="8" t="s">
        <v>3</v>
      </c>
      <c r="B5" s="1" t="s">
        <v>9</v>
      </c>
      <c r="C5" s="2">
        <v>6000</v>
      </c>
    </row>
    <row r="6" spans="1:13" s="4" customFormat="1" ht="20.25" x14ac:dyDescent="0.3">
      <c r="A6" s="8" t="s">
        <v>4</v>
      </c>
      <c r="B6" s="1" t="s">
        <v>10</v>
      </c>
      <c r="C6" s="5">
        <f>SUM(C3:C5)</f>
        <v>134000</v>
      </c>
      <c r="D6" s="2"/>
      <c r="E6" s="2"/>
      <c r="F6" s="2"/>
      <c r="G6" s="2"/>
      <c r="H6" s="2"/>
      <c r="I6" s="2"/>
      <c r="J6" s="1"/>
      <c r="K6" s="1"/>
      <c r="L6" s="1"/>
    </row>
    <row r="8" spans="1:13" x14ac:dyDescent="0.25">
      <c r="B8" s="1" t="s">
        <v>19</v>
      </c>
    </row>
    <row r="10" spans="1:13" x14ac:dyDescent="0.25">
      <c r="A10" s="1" t="s">
        <v>1</v>
      </c>
      <c r="B10" s="1" t="s">
        <v>10</v>
      </c>
      <c r="C10" s="2">
        <f>C6</f>
        <v>134000</v>
      </c>
    </row>
    <row r="11" spans="1:13" x14ac:dyDescent="0.25">
      <c r="A11" s="7" t="s">
        <v>2</v>
      </c>
      <c r="B11" s="1" t="s">
        <v>11</v>
      </c>
      <c r="C11" s="2">
        <v>20000</v>
      </c>
    </row>
    <row r="12" spans="1:13" s="4" customFormat="1" ht="20.25" x14ac:dyDescent="0.3">
      <c r="A12" s="8" t="s">
        <v>4</v>
      </c>
      <c r="B12" s="1" t="s">
        <v>12</v>
      </c>
      <c r="C12" s="5">
        <f>C10-C11</f>
        <v>114000</v>
      </c>
      <c r="D12" s="2"/>
      <c r="E12" s="2"/>
      <c r="F12" s="2"/>
      <c r="G12" s="2"/>
      <c r="H12" s="2"/>
      <c r="I12" s="2"/>
      <c r="J12" s="1"/>
      <c r="K12" s="1"/>
      <c r="L12" s="1"/>
      <c r="M12" s="1"/>
    </row>
    <row r="14" spans="1:13" x14ac:dyDescent="0.25">
      <c r="B14" s="1" t="s">
        <v>17</v>
      </c>
      <c r="C14" s="6">
        <f>C12/6</f>
        <v>19000</v>
      </c>
      <c r="D14" s="1"/>
    </row>
    <row r="15" spans="1:13" x14ac:dyDescent="0.25">
      <c r="D15" s="1"/>
    </row>
    <row r="16" spans="1:13" x14ac:dyDescent="0.25">
      <c r="B16" s="1" t="s">
        <v>18</v>
      </c>
      <c r="C16" s="6">
        <f>C14*3/12</f>
        <v>4750</v>
      </c>
      <c r="D16" s="1"/>
    </row>
    <row r="17" spans="1:12" x14ac:dyDescent="0.25">
      <c r="D17" s="1"/>
    </row>
    <row r="18" spans="1:12" x14ac:dyDescent="0.25">
      <c r="B18" s="1" t="s">
        <v>13</v>
      </c>
      <c r="C18" s="6">
        <f>C14</f>
        <v>19000</v>
      </c>
      <c r="D18" s="1"/>
    </row>
    <row r="20" spans="1:12" x14ac:dyDescent="0.25">
      <c r="A20" s="1" t="s">
        <v>5</v>
      </c>
      <c r="B20" s="1" t="s">
        <v>10</v>
      </c>
      <c r="C20" s="2">
        <f>C6</f>
        <v>134000</v>
      </c>
    </row>
    <row r="21" spans="1:12" x14ac:dyDescent="0.25">
      <c r="A21" s="7" t="s">
        <v>2</v>
      </c>
      <c r="B21" s="1" t="s">
        <v>14</v>
      </c>
      <c r="C21" s="2">
        <f>C16</f>
        <v>4750</v>
      </c>
    </row>
    <row r="22" spans="1:12" x14ac:dyDescent="0.25">
      <c r="A22" s="7" t="s">
        <v>2</v>
      </c>
      <c r="B22" s="1" t="s">
        <v>15</v>
      </c>
      <c r="C22" s="2">
        <f>C18</f>
        <v>19000</v>
      </c>
    </row>
    <row r="23" spans="1:12" s="4" customFormat="1" ht="20.25" x14ac:dyDescent="0.3">
      <c r="A23" s="8" t="s">
        <v>4</v>
      </c>
      <c r="B23" s="1" t="s">
        <v>16</v>
      </c>
      <c r="C23" s="5">
        <f>C20-C21-C22</f>
        <v>110250</v>
      </c>
      <c r="D23" s="2"/>
      <c r="E23" s="2"/>
      <c r="F23" s="2"/>
      <c r="G23" s="2"/>
      <c r="H23" s="2"/>
      <c r="I23" s="2"/>
      <c r="J23" s="1"/>
      <c r="K23" s="1"/>
      <c r="L23" s="1"/>
    </row>
    <row r="26" spans="1:12" x14ac:dyDescent="0.25">
      <c r="A26" s="3" t="s">
        <v>20</v>
      </c>
    </row>
    <row r="28" spans="1:12" x14ac:dyDescent="0.25">
      <c r="A28" s="1" t="s">
        <v>0</v>
      </c>
      <c r="B28" s="1" t="s">
        <v>21</v>
      </c>
      <c r="D28" s="9">
        <f>445000/1.25</f>
        <v>356000</v>
      </c>
    </row>
    <row r="30" spans="1:12" x14ac:dyDescent="0.25">
      <c r="B30" s="1" t="s">
        <v>22</v>
      </c>
    </row>
    <row r="31" spans="1:12" x14ac:dyDescent="0.25">
      <c r="B31" s="1" t="s">
        <v>23</v>
      </c>
    </row>
    <row r="33" spans="1:12" x14ac:dyDescent="0.25">
      <c r="A33" s="1" t="s">
        <v>1</v>
      </c>
      <c r="B33" s="1" t="s">
        <v>24</v>
      </c>
      <c r="C33" s="9">
        <f>D28/10</f>
        <v>35600</v>
      </c>
    </row>
    <row r="36" spans="1:12" x14ac:dyDescent="0.25">
      <c r="A36" s="3" t="s">
        <v>25</v>
      </c>
    </row>
    <row r="38" spans="1:12" x14ac:dyDescent="0.25">
      <c r="A38" s="1" t="s">
        <v>0</v>
      </c>
      <c r="B38" s="1" t="s">
        <v>32</v>
      </c>
      <c r="D38" s="9">
        <f>13500000/50</f>
        <v>270000</v>
      </c>
    </row>
    <row r="40" spans="1:12" x14ac:dyDescent="0.25">
      <c r="A40" s="1" t="s">
        <v>1</v>
      </c>
      <c r="B40" s="1" t="s">
        <v>10</v>
      </c>
      <c r="D40" s="2">
        <v>12500000</v>
      </c>
    </row>
    <row r="41" spans="1:12" x14ac:dyDescent="0.25">
      <c r="A41" s="7" t="s">
        <v>2</v>
      </c>
      <c r="B41" s="1" t="s">
        <v>27</v>
      </c>
      <c r="D41" s="2">
        <f>D38*5</f>
        <v>1350000</v>
      </c>
    </row>
    <row r="42" spans="1:12" s="4" customFormat="1" ht="20.25" x14ac:dyDescent="0.3">
      <c r="A42" s="8" t="s">
        <v>4</v>
      </c>
      <c r="B42" s="1" t="s">
        <v>26</v>
      </c>
      <c r="C42" s="2"/>
      <c r="D42" s="10">
        <f>D40-D41</f>
        <v>11150000</v>
      </c>
      <c r="E42" s="2"/>
      <c r="F42" s="2"/>
      <c r="G42" s="2"/>
      <c r="H42" s="2"/>
      <c r="I42" s="2"/>
      <c r="J42" s="1"/>
      <c r="K42" s="1"/>
      <c r="L42" s="1"/>
    </row>
    <row r="43" spans="1:12" x14ac:dyDescent="0.25">
      <c r="A43" s="7" t="s">
        <v>2</v>
      </c>
      <c r="B43" s="1" t="s">
        <v>28</v>
      </c>
      <c r="D43" s="2">
        <v>2150000</v>
      </c>
    </row>
    <row r="44" spans="1:12" s="4" customFormat="1" ht="20.25" x14ac:dyDescent="0.3">
      <c r="A44" s="8" t="s">
        <v>4</v>
      </c>
      <c r="B44" s="1" t="s">
        <v>29</v>
      </c>
      <c r="C44" s="2"/>
      <c r="D44" s="5">
        <f>D42-D43</f>
        <v>9000000</v>
      </c>
      <c r="E44" s="2"/>
      <c r="F44" s="2"/>
      <c r="G44" s="2"/>
      <c r="H44" s="2"/>
      <c r="I44" s="2"/>
      <c r="J44" s="1"/>
    </row>
    <row r="46" spans="1:12" x14ac:dyDescent="0.25">
      <c r="B46" s="1" t="s">
        <v>30</v>
      </c>
    </row>
    <row r="48" spans="1:12" x14ac:dyDescent="0.25">
      <c r="B48" s="1" t="s">
        <v>31</v>
      </c>
      <c r="D48" s="9">
        <f>D44/45</f>
        <v>200000</v>
      </c>
    </row>
    <row r="52" spans="1:12" x14ac:dyDescent="0.25">
      <c r="A52" s="3" t="s">
        <v>33</v>
      </c>
    </row>
    <row r="54" spans="1:12" x14ac:dyDescent="0.25">
      <c r="A54" s="1" t="s">
        <v>0</v>
      </c>
      <c r="B54" s="1" t="s">
        <v>34</v>
      </c>
      <c r="D54" s="2">
        <f>280000*0.125</f>
        <v>35000</v>
      </c>
    </row>
    <row r="56" spans="1:12" x14ac:dyDescent="0.25">
      <c r="B56" s="1" t="s">
        <v>10</v>
      </c>
      <c r="D56" s="2">
        <v>280000</v>
      </c>
    </row>
    <row r="57" spans="1:12" x14ac:dyDescent="0.25">
      <c r="A57" s="7" t="s">
        <v>2</v>
      </c>
      <c r="B57" s="1" t="s">
        <v>35</v>
      </c>
      <c r="D57" s="6">
        <f>D54*6</f>
        <v>210000</v>
      </c>
    </row>
    <row r="58" spans="1:12" s="4" customFormat="1" ht="20.25" x14ac:dyDescent="0.3">
      <c r="A58" s="8" t="s">
        <v>4</v>
      </c>
      <c r="B58" s="1" t="s">
        <v>158</v>
      </c>
      <c r="D58" s="2">
        <f>D56-D57</f>
        <v>70000</v>
      </c>
      <c r="E58" s="2"/>
      <c r="F58" s="2"/>
      <c r="G58" s="2"/>
      <c r="H58" s="2"/>
      <c r="I58" s="2"/>
      <c r="J58" s="1"/>
      <c r="K58" s="1"/>
    </row>
    <row r="59" spans="1:12" x14ac:dyDescent="0.25">
      <c r="A59" s="7" t="s">
        <v>2</v>
      </c>
      <c r="B59" s="1" t="s">
        <v>36</v>
      </c>
      <c r="D59" s="2">
        <f>D54/2</f>
        <v>17500</v>
      </c>
    </row>
    <row r="60" spans="1:12" s="4" customFormat="1" ht="20.25" x14ac:dyDescent="0.3">
      <c r="A60" s="8" t="s">
        <v>4</v>
      </c>
      <c r="B60" s="1" t="s">
        <v>159</v>
      </c>
      <c r="D60" s="5">
        <f>D58-D59</f>
        <v>52500</v>
      </c>
      <c r="E60" s="2"/>
      <c r="F60" s="2"/>
      <c r="G60" s="2"/>
      <c r="H60" s="2"/>
      <c r="I60" s="2"/>
      <c r="J60" s="1"/>
      <c r="K60" s="1"/>
      <c r="L60" s="1"/>
    </row>
    <row r="62" spans="1:12" x14ac:dyDescent="0.25">
      <c r="B62" s="1" t="s">
        <v>39</v>
      </c>
    </row>
    <row r="64" spans="1:12" x14ac:dyDescent="0.25">
      <c r="A64" s="7"/>
      <c r="B64" s="1" t="s">
        <v>37</v>
      </c>
      <c r="C64" s="2">
        <v>55000</v>
      </c>
    </row>
    <row r="65" spans="1:10" x14ac:dyDescent="0.25">
      <c r="A65" s="7" t="s">
        <v>2</v>
      </c>
      <c r="B65" s="1" t="str">
        <f>B60</f>
        <v>Regnskapsmessig verdi på salgstidspunktet</v>
      </c>
      <c r="C65" s="2">
        <f>D60</f>
        <v>52500</v>
      </c>
    </row>
    <row r="66" spans="1:10" s="4" customFormat="1" ht="20.25" x14ac:dyDescent="0.3">
      <c r="A66" s="8" t="s">
        <v>4</v>
      </c>
      <c r="B66" s="1" t="s">
        <v>38</v>
      </c>
      <c r="C66" s="5">
        <f>C64-C65</f>
        <v>2500</v>
      </c>
      <c r="D66" s="2"/>
      <c r="E66" s="2"/>
      <c r="F66" s="2"/>
      <c r="G66" s="2"/>
      <c r="H66" s="2"/>
      <c r="I66" s="2"/>
      <c r="J66" s="1"/>
    </row>
    <row r="68" spans="1:10" s="49" customFormat="1" x14ac:dyDescent="0.25">
      <c r="C68" s="51"/>
      <c r="D68" s="51"/>
      <c r="E68" s="51"/>
      <c r="F68" s="51"/>
      <c r="G68" s="51"/>
      <c r="H68" s="51"/>
      <c r="I68" s="51"/>
    </row>
    <row r="69" spans="1:10" s="49" customFormat="1" x14ac:dyDescent="0.25">
      <c r="A69" s="53" t="s">
        <v>68</v>
      </c>
      <c r="B69" s="47"/>
      <c r="C69" s="47"/>
      <c r="D69" s="47"/>
      <c r="E69" s="47"/>
      <c r="F69" s="47"/>
      <c r="G69" s="47"/>
      <c r="H69" s="51"/>
      <c r="I69" s="51"/>
    </row>
    <row r="70" spans="1:10" s="49" customFormat="1" x14ac:dyDescent="0.25">
      <c r="A70" s="53"/>
      <c r="B70" s="47"/>
      <c r="C70" s="47"/>
      <c r="D70" s="47"/>
      <c r="E70" s="47"/>
      <c r="F70" s="47"/>
      <c r="G70" s="47"/>
      <c r="H70" s="51"/>
      <c r="I70" s="51"/>
    </row>
    <row r="71" spans="1:10" s="49" customFormat="1" x14ac:dyDescent="0.25">
      <c r="A71" s="49" t="s">
        <v>0</v>
      </c>
      <c r="B71" s="49" t="s">
        <v>160</v>
      </c>
      <c r="C71" s="47"/>
      <c r="D71" s="51">
        <v>120000</v>
      </c>
      <c r="G71" s="47"/>
      <c r="H71" s="51"/>
      <c r="I71" s="51"/>
    </row>
    <row r="72" spans="1:10" s="49" customFormat="1" x14ac:dyDescent="0.25">
      <c r="H72" s="51"/>
      <c r="I72" s="51"/>
    </row>
    <row r="73" spans="1:10" s="49" customFormat="1" x14ac:dyDescent="0.25">
      <c r="A73" s="47"/>
      <c r="B73" s="49" t="s">
        <v>162</v>
      </c>
      <c r="C73" s="47"/>
      <c r="D73" s="55">
        <v>60000</v>
      </c>
      <c r="G73" s="47"/>
      <c r="H73" s="51"/>
      <c r="I73" s="51"/>
    </row>
    <row r="74" spans="1:10" s="49" customFormat="1" x14ac:dyDescent="0.25">
      <c r="H74" s="51"/>
      <c r="I74" s="51"/>
    </row>
    <row r="75" spans="1:10" s="49" customFormat="1" x14ac:dyDescent="0.25">
      <c r="A75" s="49" t="s">
        <v>1</v>
      </c>
      <c r="B75" s="49" t="s">
        <v>14</v>
      </c>
      <c r="C75" s="47"/>
      <c r="D75" s="51">
        <v>60000</v>
      </c>
      <c r="F75" s="47"/>
      <c r="G75" s="47"/>
      <c r="H75" s="51"/>
      <c r="I75" s="51"/>
    </row>
    <row r="76" spans="1:10" s="49" customFormat="1" x14ac:dyDescent="0.25">
      <c r="A76" s="47"/>
      <c r="B76" s="49" t="s">
        <v>164</v>
      </c>
      <c r="C76" s="47"/>
      <c r="D76" s="51">
        <v>720000</v>
      </c>
      <c r="F76" s="47"/>
      <c r="G76" s="47"/>
      <c r="H76" s="51"/>
      <c r="I76" s="51"/>
    </row>
    <row r="77" spans="1:10" s="52" customFormat="1" ht="20.25" x14ac:dyDescent="0.3">
      <c r="A77" s="49"/>
      <c r="B77" s="49" t="s">
        <v>163</v>
      </c>
      <c r="C77" s="49"/>
      <c r="D77" s="54">
        <v>780000</v>
      </c>
      <c r="E77" s="49"/>
      <c r="F77" s="51"/>
      <c r="H77" s="13"/>
      <c r="I77" s="13"/>
    </row>
    <row r="78" spans="1:10" s="49" customFormat="1" x14ac:dyDescent="0.25">
      <c r="H78" s="51"/>
      <c r="I78" s="51"/>
    </row>
    <row r="79" spans="1:10" s="49" customFormat="1" x14ac:dyDescent="0.25">
      <c r="A79" s="47"/>
      <c r="B79" s="49" t="s">
        <v>10</v>
      </c>
      <c r="C79" s="47"/>
      <c r="D79" s="51">
        <v>6000000</v>
      </c>
      <c r="F79" s="47"/>
      <c r="G79" s="47"/>
      <c r="H79" s="51"/>
      <c r="I79" s="51"/>
    </row>
    <row r="80" spans="1:10" s="49" customFormat="1" x14ac:dyDescent="0.25">
      <c r="A80" s="47"/>
      <c r="B80" s="49" t="s">
        <v>167</v>
      </c>
      <c r="C80" s="47"/>
      <c r="D80" s="51">
        <v>780000</v>
      </c>
      <c r="F80" s="47"/>
      <c r="G80" s="47"/>
      <c r="H80" s="51"/>
      <c r="I80" s="51"/>
    </row>
    <row r="81" spans="1:15" s="52" customFormat="1" ht="20.25" x14ac:dyDescent="0.3">
      <c r="A81" s="49"/>
      <c r="B81" s="49" t="s">
        <v>168</v>
      </c>
      <c r="C81" s="49"/>
      <c r="D81" s="54">
        <v>5220000</v>
      </c>
      <c r="E81" s="49"/>
      <c r="F81" s="51"/>
      <c r="H81" s="13"/>
      <c r="I81" s="13"/>
    </row>
    <row r="82" spans="1:15" s="49" customFormat="1" x14ac:dyDescent="0.25">
      <c r="H82" s="51"/>
      <c r="I82" s="51"/>
    </row>
    <row r="83" spans="1:15" s="49" customFormat="1" x14ac:dyDescent="0.25">
      <c r="A83" s="49" t="s">
        <v>5</v>
      </c>
      <c r="B83" s="49" t="s">
        <v>168</v>
      </c>
      <c r="C83" s="47"/>
      <c r="D83" s="51">
        <v>5220000</v>
      </c>
      <c r="F83" s="47"/>
      <c r="G83" s="47"/>
      <c r="H83" s="51"/>
      <c r="I83" s="51"/>
    </row>
    <row r="84" spans="1:15" s="49" customFormat="1" x14ac:dyDescent="0.25">
      <c r="A84" s="7" t="s">
        <v>2</v>
      </c>
      <c r="B84" s="49" t="s">
        <v>169</v>
      </c>
      <c r="C84" s="47"/>
      <c r="D84" s="55">
        <v>120000</v>
      </c>
      <c r="F84" s="47"/>
      <c r="G84" s="47"/>
      <c r="H84" s="51"/>
      <c r="I84" s="51"/>
    </row>
    <row r="85" spans="1:15" s="52" customFormat="1" ht="20.25" x14ac:dyDescent="0.3">
      <c r="A85" s="8" t="s">
        <v>4</v>
      </c>
      <c r="B85" s="49" t="s">
        <v>172</v>
      </c>
      <c r="C85" s="47"/>
      <c r="D85" s="54">
        <f>D83-D84</f>
        <v>5100000</v>
      </c>
      <c r="E85" s="49"/>
      <c r="F85" s="47"/>
      <c r="G85" s="47"/>
      <c r="H85" s="51"/>
      <c r="I85" s="51"/>
      <c r="J85" s="49"/>
      <c r="K85" s="49"/>
      <c r="L85" s="49"/>
      <c r="M85" s="49"/>
      <c r="N85" s="49"/>
      <c r="O85" s="49"/>
    </row>
    <row r="86" spans="1:15" s="49" customFormat="1" x14ac:dyDescent="0.25">
      <c r="A86" s="7"/>
      <c r="C86" s="47"/>
      <c r="D86" s="56"/>
      <c r="F86" s="47"/>
      <c r="G86" s="47"/>
      <c r="H86" s="51"/>
      <c r="I86" s="51"/>
    </row>
    <row r="87" spans="1:15" s="49" customFormat="1" x14ac:dyDescent="0.25">
      <c r="A87" s="7"/>
      <c r="B87" s="49" t="s">
        <v>173</v>
      </c>
      <c r="C87" s="47"/>
      <c r="D87" s="51"/>
      <c r="F87" s="47"/>
      <c r="G87" s="47"/>
      <c r="H87" s="51"/>
      <c r="I87" s="51"/>
    </row>
    <row r="88" spans="1:15" s="49" customFormat="1" x14ac:dyDescent="0.25">
      <c r="A88" s="7"/>
      <c r="C88" s="47"/>
      <c r="D88" s="51"/>
      <c r="F88" s="47"/>
      <c r="G88" s="47"/>
      <c r="H88" s="51"/>
      <c r="I88" s="51"/>
    </row>
    <row r="89" spans="1:15" s="49" customFormat="1" x14ac:dyDescent="0.25">
      <c r="A89" s="7"/>
      <c r="B89" s="49" t="str">
        <f>B85</f>
        <v>Bokført verdi etter avskrivning i 20x8</v>
      </c>
      <c r="C89" s="47"/>
      <c r="D89" s="51">
        <f>D85</f>
        <v>5100000</v>
      </c>
      <c r="F89" s="47"/>
      <c r="G89" s="47"/>
      <c r="H89" s="51"/>
      <c r="I89" s="51"/>
    </row>
    <row r="90" spans="1:15" s="49" customFormat="1" x14ac:dyDescent="0.25">
      <c r="A90" s="7"/>
      <c r="B90" s="49" t="s">
        <v>170</v>
      </c>
      <c r="C90" s="47"/>
      <c r="D90" s="51">
        <v>1700000</v>
      </c>
      <c r="F90" s="47"/>
      <c r="G90" s="47"/>
      <c r="H90" s="51"/>
      <c r="I90" s="51"/>
    </row>
    <row r="91" spans="1:15" s="52" customFormat="1" ht="20.25" x14ac:dyDescent="0.3">
      <c r="A91" s="8" t="s">
        <v>4</v>
      </c>
      <c r="B91" s="49" t="s">
        <v>171</v>
      </c>
      <c r="C91" s="49"/>
      <c r="D91" s="54">
        <f>D89-D90</f>
        <v>3400000</v>
      </c>
      <c r="E91" s="49"/>
      <c r="F91" s="51"/>
      <c r="H91" s="13"/>
      <c r="I91" s="13"/>
    </row>
    <row r="92" spans="1:15" s="49" customFormat="1" x14ac:dyDescent="0.25">
      <c r="H92" s="51"/>
      <c r="I92" s="51"/>
    </row>
    <row r="93" spans="1:15" s="49" customFormat="1" x14ac:dyDescent="0.25">
      <c r="A93" s="49" t="s">
        <v>56</v>
      </c>
      <c r="B93" s="49" t="s">
        <v>165</v>
      </c>
      <c r="C93" s="47"/>
      <c r="D93" s="47"/>
      <c r="E93" s="47"/>
      <c r="F93" s="47"/>
      <c r="G93" s="47"/>
      <c r="H93" s="51"/>
      <c r="I93" s="51"/>
    </row>
    <row r="94" spans="1:15" s="49" customFormat="1" x14ac:dyDescent="0.25">
      <c r="A94" s="47"/>
      <c r="B94" s="49" t="s">
        <v>166</v>
      </c>
      <c r="C94" s="47"/>
      <c r="D94" s="47"/>
      <c r="E94" s="47"/>
      <c r="F94" s="47"/>
      <c r="G94" s="47"/>
      <c r="H94" s="51"/>
      <c r="I94" s="51"/>
    </row>
    <row r="95" spans="1:15" s="49" customFormat="1" x14ac:dyDescent="0.25">
      <c r="H95" s="51"/>
      <c r="I95" s="51"/>
    </row>
    <row r="96" spans="1:15" s="49" customFormat="1" x14ac:dyDescent="0.25">
      <c r="A96" s="47"/>
      <c r="B96" s="49" t="s">
        <v>161</v>
      </c>
      <c r="C96" s="47"/>
      <c r="D96" s="47"/>
      <c r="E96" s="55">
        <v>80000</v>
      </c>
      <c r="F96" s="47"/>
      <c r="H96" s="51"/>
      <c r="I96" s="51"/>
    </row>
    <row r="97" spans="1:18" s="49" customFormat="1" x14ac:dyDescent="0.25">
      <c r="C97" s="51"/>
      <c r="D97" s="51"/>
      <c r="E97" s="51"/>
      <c r="F97" s="51"/>
      <c r="G97" s="51"/>
      <c r="H97" s="51"/>
      <c r="I97" s="51"/>
    </row>
    <row r="98" spans="1:18" s="49" customFormat="1" x14ac:dyDescent="0.25">
      <c r="C98" s="51"/>
      <c r="D98" s="51"/>
      <c r="E98" s="51"/>
      <c r="F98" s="51"/>
      <c r="G98" s="51"/>
      <c r="H98" s="51"/>
      <c r="I98" s="51"/>
    </row>
    <row r="100" spans="1:18" x14ac:dyDescent="0.25">
      <c r="A100" s="3" t="s">
        <v>85</v>
      </c>
    </row>
    <row r="101" spans="1:18" x14ac:dyDescent="0.25">
      <c r="R101" s="48"/>
    </row>
    <row r="102" spans="1:18" x14ac:dyDescent="0.25">
      <c r="A102" s="1" t="s">
        <v>0</v>
      </c>
      <c r="C102" s="46" t="s">
        <v>70</v>
      </c>
      <c r="R102" s="48"/>
    </row>
    <row r="103" spans="1:18" x14ac:dyDescent="0.25">
      <c r="A103" s="7"/>
      <c r="B103" s="1" t="s">
        <v>69</v>
      </c>
      <c r="C103" s="2">
        <v>500</v>
      </c>
      <c r="R103" s="48"/>
    </row>
    <row r="104" spans="1:18" x14ac:dyDescent="0.25">
      <c r="A104" s="8" t="s">
        <v>2</v>
      </c>
      <c r="B104" s="1" t="s">
        <v>71</v>
      </c>
      <c r="C104" s="2">
        <v>400</v>
      </c>
    </row>
    <row r="105" spans="1:18" x14ac:dyDescent="0.25">
      <c r="A105" s="8" t="s">
        <v>3</v>
      </c>
      <c r="B105" s="1" t="s">
        <v>72</v>
      </c>
      <c r="C105" s="2">
        <v>1500</v>
      </c>
      <c r="R105" s="48"/>
    </row>
    <row r="106" spans="1:18" x14ac:dyDescent="0.25">
      <c r="A106" s="7" t="s">
        <v>2</v>
      </c>
      <c r="B106" s="1" t="s">
        <v>73</v>
      </c>
      <c r="C106" s="2">
        <v>1300</v>
      </c>
    </row>
    <row r="107" spans="1:18" x14ac:dyDescent="0.25">
      <c r="A107" s="8" t="s">
        <v>3</v>
      </c>
      <c r="B107" s="1" t="s">
        <v>74</v>
      </c>
      <c r="C107" s="2">
        <v>1000</v>
      </c>
      <c r="R107" s="48"/>
    </row>
    <row r="108" spans="1:18" x14ac:dyDescent="0.25">
      <c r="A108" s="7" t="s">
        <v>2</v>
      </c>
      <c r="B108" s="1" t="s">
        <v>75</v>
      </c>
      <c r="C108" s="2">
        <v>1000</v>
      </c>
      <c r="R108" s="48"/>
    </row>
    <row r="109" spans="1:18" s="4" customFormat="1" ht="20.25" x14ac:dyDescent="0.3">
      <c r="A109" s="8" t="s">
        <v>4</v>
      </c>
      <c r="B109" s="1" t="s">
        <v>58</v>
      </c>
      <c r="C109" s="5">
        <f>C103-C104+C105-C106+C107-C108</f>
        <v>300</v>
      </c>
      <c r="D109" s="2"/>
      <c r="E109" s="2"/>
      <c r="F109" s="2"/>
      <c r="G109" s="2"/>
      <c r="H109" s="2"/>
      <c r="I109" s="13"/>
      <c r="R109" s="50"/>
    </row>
    <row r="111" spans="1:18" x14ac:dyDescent="0.25">
      <c r="A111" s="1">
        <v>1</v>
      </c>
      <c r="B111" s="15" t="s">
        <v>46</v>
      </c>
      <c r="R111" s="48"/>
    </row>
    <row r="112" spans="1:18" x14ac:dyDescent="0.25">
      <c r="B112" s="1" t="s">
        <v>82</v>
      </c>
      <c r="C112" s="16">
        <f>C109*12</f>
        <v>3600</v>
      </c>
      <c r="R112" s="48"/>
    </row>
    <row r="113" spans="1:18" x14ac:dyDescent="0.25">
      <c r="R113" s="50"/>
    </row>
    <row r="114" spans="1:18" x14ac:dyDescent="0.25">
      <c r="A114" s="1">
        <v>2</v>
      </c>
      <c r="B114" s="15" t="s">
        <v>81</v>
      </c>
    </row>
    <row r="115" spans="1:18" x14ac:dyDescent="0.25">
      <c r="B115" s="1" t="s">
        <v>78</v>
      </c>
      <c r="C115" s="2">
        <f>600*9</f>
        <v>5400</v>
      </c>
      <c r="R115" s="48"/>
    </row>
    <row r="116" spans="1:18" x14ac:dyDescent="0.25">
      <c r="B116" s="1" t="s">
        <v>76</v>
      </c>
      <c r="C116" s="2">
        <f>1500*10</f>
        <v>15000</v>
      </c>
      <c r="R116" s="48"/>
    </row>
    <row r="117" spans="1:18" x14ac:dyDescent="0.25">
      <c r="B117" s="1" t="s">
        <v>77</v>
      </c>
      <c r="C117" s="2">
        <f>1000*12</f>
        <v>12000</v>
      </c>
      <c r="R117" s="48"/>
    </row>
    <row r="118" spans="1:18" s="4" customFormat="1" ht="20.25" x14ac:dyDescent="0.3">
      <c r="A118" s="1"/>
      <c r="B118" s="1" t="s">
        <v>79</v>
      </c>
      <c r="C118" s="5">
        <f>SUM(C115:C117)</f>
        <v>32400</v>
      </c>
      <c r="D118" s="2"/>
      <c r="E118" s="2"/>
      <c r="F118" s="2"/>
      <c r="G118" s="2"/>
      <c r="H118" s="2"/>
      <c r="I118" s="2"/>
      <c r="J118" s="1"/>
      <c r="R118" s="50"/>
    </row>
    <row r="120" spans="1:18" s="49" customFormat="1" x14ac:dyDescent="0.25">
      <c r="B120" s="49" t="s">
        <v>174</v>
      </c>
      <c r="C120" s="51"/>
      <c r="D120" s="51"/>
      <c r="E120" s="51"/>
      <c r="F120" s="51"/>
      <c r="G120" s="51"/>
      <c r="H120" s="51"/>
      <c r="I120" s="51"/>
    </row>
    <row r="121" spans="1:18" s="49" customFormat="1" x14ac:dyDescent="0.25">
      <c r="C121" s="51"/>
      <c r="D121" s="51"/>
      <c r="E121" s="51"/>
      <c r="F121" s="51"/>
      <c r="G121" s="51"/>
      <c r="H121" s="51"/>
      <c r="I121" s="51"/>
    </row>
    <row r="122" spans="1:18" x14ac:dyDescent="0.25">
      <c r="B122" s="1" t="s">
        <v>80</v>
      </c>
      <c r="E122" s="14">
        <f>C118/3000</f>
        <v>10.8</v>
      </c>
      <c r="R122" s="48"/>
    </row>
    <row r="123" spans="1:18" x14ac:dyDescent="0.25">
      <c r="R123" s="48"/>
    </row>
    <row r="124" spans="1:18" x14ac:dyDescent="0.25">
      <c r="B124" s="1" t="s">
        <v>83</v>
      </c>
      <c r="C124" s="16">
        <f>E122*300</f>
        <v>3240</v>
      </c>
    </row>
    <row r="125" spans="1:18" x14ac:dyDescent="0.25">
      <c r="R125" s="48"/>
    </row>
    <row r="126" spans="1:18" x14ac:dyDescent="0.25">
      <c r="A126" s="1" t="s">
        <v>1</v>
      </c>
      <c r="B126" s="1" t="s">
        <v>84</v>
      </c>
      <c r="C126" s="16">
        <f>300*10</f>
        <v>3000</v>
      </c>
    </row>
  </sheetData>
  <sortState ref="B3:C16">
    <sortCondition ref="B3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baseColWidth="10" defaultRowHeight="15.75" x14ac:dyDescent="0.25"/>
  <cols>
    <col min="1" max="1" width="5.85546875" style="1" customWidth="1"/>
    <col min="2" max="2" width="27.42578125" style="1" customWidth="1"/>
    <col min="3" max="7" width="11.42578125" style="2"/>
    <col min="8" max="16384" width="11.42578125" style="1"/>
  </cols>
  <sheetData>
    <row r="1" spans="1:9" x14ac:dyDescent="0.25">
      <c r="A1" s="3" t="s">
        <v>86</v>
      </c>
    </row>
    <row r="3" spans="1:9" x14ac:dyDescent="0.25">
      <c r="A3" s="1" t="s">
        <v>0</v>
      </c>
      <c r="B3" s="3" t="s">
        <v>40</v>
      </c>
    </row>
    <row r="4" spans="1:9" x14ac:dyDescent="0.25">
      <c r="B4" s="3" t="s">
        <v>41</v>
      </c>
    </row>
    <row r="5" spans="1:9" x14ac:dyDescent="0.25">
      <c r="B5" s="11" t="s">
        <v>42</v>
      </c>
    </row>
    <row r="6" spans="1:9" x14ac:dyDescent="0.25">
      <c r="B6" s="3"/>
    </row>
    <row r="7" spans="1:9" x14ac:dyDescent="0.25">
      <c r="B7" s="1" t="s">
        <v>43</v>
      </c>
    </row>
    <row r="8" spans="1:9" x14ac:dyDescent="0.25">
      <c r="B8" s="1" t="s">
        <v>44</v>
      </c>
      <c r="C8" s="2">
        <v>300000</v>
      </c>
    </row>
    <row r="9" spans="1:9" x14ac:dyDescent="0.25">
      <c r="B9" s="1" t="s">
        <v>45</v>
      </c>
      <c r="C9" s="2">
        <v>325000</v>
      </c>
    </row>
    <row r="10" spans="1:9" s="4" customFormat="1" ht="20.25" x14ac:dyDescent="0.3">
      <c r="A10" s="1"/>
      <c r="B10" s="1"/>
      <c r="C10" s="5">
        <f>SUM(C8:C9)</f>
        <v>625000</v>
      </c>
      <c r="D10" s="2"/>
      <c r="E10" s="2"/>
      <c r="F10" s="2"/>
      <c r="G10" s="2"/>
      <c r="H10" s="1"/>
      <c r="I10" s="1"/>
    </row>
    <row r="12" spans="1:9" x14ac:dyDescent="0.25">
      <c r="A12" s="1" t="s">
        <v>1</v>
      </c>
      <c r="B12" s="3" t="s">
        <v>46</v>
      </c>
    </row>
    <row r="13" spans="1:9" x14ac:dyDescent="0.25">
      <c r="B13" s="1" t="s">
        <v>47</v>
      </c>
    </row>
    <row r="14" spans="1:9" x14ac:dyDescent="0.25">
      <c r="B14" s="1" t="s">
        <v>48</v>
      </c>
      <c r="C14" s="6">
        <f>325000*2</f>
        <v>650000</v>
      </c>
      <c r="D14" s="2" t="s">
        <v>49</v>
      </c>
    </row>
    <row r="16" spans="1:9" x14ac:dyDescent="0.25">
      <c r="B16" s="1" t="s">
        <v>50</v>
      </c>
    </row>
    <row r="19" spans="1:11" x14ac:dyDescent="0.25">
      <c r="A19" s="1" t="s">
        <v>5</v>
      </c>
      <c r="B19" s="3" t="s">
        <v>176</v>
      </c>
    </row>
    <row r="21" spans="1:11" x14ac:dyDescent="0.25">
      <c r="B21" s="1" t="s">
        <v>51</v>
      </c>
      <c r="C21" s="2">
        <f>300000*6</f>
        <v>1800000</v>
      </c>
    </row>
    <row r="22" spans="1:11" x14ac:dyDescent="0.25">
      <c r="B22" s="1" t="s">
        <v>52</v>
      </c>
      <c r="C22" s="2">
        <f>325000*4</f>
        <v>1300000</v>
      </c>
    </row>
    <row r="23" spans="1:11" s="4" customFormat="1" ht="20.25" x14ac:dyDescent="0.3">
      <c r="A23" s="1"/>
      <c r="B23" s="1" t="s">
        <v>53</v>
      </c>
      <c r="C23" s="5">
        <f>SUM(C21:C22)</f>
        <v>3100000</v>
      </c>
      <c r="D23" s="2"/>
      <c r="E23" s="2"/>
      <c r="F23" s="2"/>
      <c r="G23" s="2"/>
      <c r="H23" s="1"/>
      <c r="I23" s="1"/>
      <c r="J23" s="1"/>
      <c r="K23" s="1"/>
    </row>
    <row r="25" spans="1:11" x14ac:dyDescent="0.25">
      <c r="B25" s="1" t="s">
        <v>54</v>
      </c>
      <c r="E25" s="6">
        <f>C23/10</f>
        <v>310000</v>
      </c>
    </row>
    <row r="27" spans="1:11" x14ac:dyDescent="0.25">
      <c r="B27" s="1" t="s">
        <v>55</v>
      </c>
      <c r="E27" s="6">
        <f>E25*2</f>
        <v>620000</v>
      </c>
    </row>
    <row r="29" spans="1:11" x14ac:dyDescent="0.25">
      <c r="A29" s="1" t="s">
        <v>56</v>
      </c>
      <c r="B29" s="1" t="s">
        <v>57</v>
      </c>
      <c r="C29" s="2">
        <f>C23</f>
        <v>3100000</v>
      </c>
    </row>
    <row r="30" spans="1:11" x14ac:dyDescent="0.25">
      <c r="A30" s="7" t="s">
        <v>2</v>
      </c>
      <c r="B30" s="1" t="s">
        <v>58</v>
      </c>
      <c r="C30" s="2">
        <f>C14</f>
        <v>650000</v>
      </c>
    </row>
    <row r="31" spans="1:11" s="4" customFormat="1" ht="20.25" x14ac:dyDescent="0.3">
      <c r="A31" s="8" t="s">
        <v>4</v>
      </c>
      <c r="B31" s="1" t="s">
        <v>59</v>
      </c>
      <c r="C31" s="5">
        <f>C29-C30</f>
        <v>2450000</v>
      </c>
      <c r="D31" s="2"/>
      <c r="E31" s="2"/>
      <c r="F31" s="2"/>
      <c r="G31" s="2"/>
      <c r="H31" s="1"/>
      <c r="I31" s="1"/>
      <c r="J31" s="1"/>
      <c r="K31" s="1"/>
    </row>
    <row r="33" spans="1:10" x14ac:dyDescent="0.25">
      <c r="A33" s="7"/>
      <c r="B33" s="1" t="s">
        <v>60</v>
      </c>
      <c r="C33" s="2">
        <v>3000000</v>
      </c>
    </row>
    <row r="34" spans="1:10" x14ac:dyDescent="0.25">
      <c r="A34" s="7" t="s">
        <v>2</v>
      </c>
      <c r="B34" s="1" t="s">
        <v>59</v>
      </c>
      <c r="C34" s="2">
        <f>C31</f>
        <v>2450000</v>
      </c>
    </row>
    <row r="35" spans="1:10" s="4" customFormat="1" ht="20.25" x14ac:dyDescent="0.3">
      <c r="A35" s="8" t="s">
        <v>4</v>
      </c>
      <c r="B35" s="1" t="s">
        <v>61</v>
      </c>
      <c r="C35" s="5">
        <f>C33-C34</f>
        <v>550000</v>
      </c>
      <c r="D35" s="2"/>
      <c r="E35" s="2"/>
      <c r="F35" s="2"/>
      <c r="G35" s="2"/>
      <c r="H35" s="1"/>
      <c r="I35" s="1"/>
      <c r="J35" s="1"/>
    </row>
    <row r="37" spans="1:10" x14ac:dyDescent="0.25">
      <c r="B37" s="1" t="s">
        <v>62</v>
      </c>
      <c r="C37" s="12">
        <f>C35/C33</f>
        <v>0.18333333333333332</v>
      </c>
    </row>
    <row r="39" spans="1:10" x14ac:dyDescent="0.25">
      <c r="A39" s="1" t="s">
        <v>63</v>
      </c>
      <c r="B39" s="1" t="s">
        <v>64</v>
      </c>
      <c r="C39" s="2">
        <v>325000</v>
      </c>
    </row>
    <row r="40" spans="1:10" x14ac:dyDescent="0.25">
      <c r="B40" s="1" t="s">
        <v>65</v>
      </c>
      <c r="C40" s="2">
        <v>250000</v>
      </c>
    </row>
    <row r="41" spans="1:10" s="4" customFormat="1" ht="20.25" x14ac:dyDescent="0.3">
      <c r="A41" s="1"/>
      <c r="B41" s="1" t="s">
        <v>66</v>
      </c>
      <c r="C41" s="5">
        <f>SUM(C39:C40)</f>
        <v>575000</v>
      </c>
      <c r="D41" s="2"/>
      <c r="E41" s="2"/>
      <c r="F41" s="2"/>
      <c r="G41" s="2"/>
      <c r="H41" s="1"/>
      <c r="I41" s="1"/>
      <c r="J41" s="1"/>
    </row>
    <row r="43" spans="1:10" x14ac:dyDescent="0.25">
      <c r="B43" s="1" t="s">
        <v>67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baseColWidth="10" defaultRowHeight="15.75" x14ac:dyDescent="0.25"/>
  <cols>
    <col min="1" max="1" width="4.85546875" style="1" customWidth="1"/>
    <col min="2" max="2" width="27.5703125" style="1" bestFit="1" customWidth="1"/>
    <col min="3" max="3" width="14.85546875" style="17" bestFit="1" customWidth="1"/>
    <col min="4" max="16384" width="11.42578125" style="1"/>
  </cols>
  <sheetData>
    <row r="1" spans="1:5" x14ac:dyDescent="0.25">
      <c r="A1" s="3" t="s">
        <v>112</v>
      </c>
    </row>
    <row r="3" spans="1:5" x14ac:dyDescent="0.25">
      <c r="A3" s="1" t="s">
        <v>0</v>
      </c>
      <c r="B3" s="15" t="s">
        <v>100</v>
      </c>
    </row>
    <row r="4" spans="1:5" x14ac:dyDescent="0.25">
      <c r="B4" s="1" t="s">
        <v>88</v>
      </c>
      <c r="C4" s="18">
        <v>3000</v>
      </c>
    </row>
    <row r="5" spans="1:5" x14ac:dyDescent="0.25">
      <c r="A5" s="7" t="s">
        <v>2</v>
      </c>
      <c r="B5" s="1" t="s">
        <v>87</v>
      </c>
      <c r="C5" s="19">
        <f>C4*0.2</f>
        <v>600</v>
      </c>
    </row>
    <row r="6" spans="1:5" s="4" customFormat="1" ht="20.25" x14ac:dyDescent="0.3">
      <c r="A6" s="8" t="s">
        <v>4</v>
      </c>
      <c r="B6" s="1" t="s">
        <v>89</v>
      </c>
      <c r="C6" s="18">
        <f>C4-C5</f>
        <v>2400</v>
      </c>
      <c r="D6" s="1"/>
      <c r="E6" s="1"/>
    </row>
    <row r="7" spans="1:5" x14ac:dyDescent="0.25">
      <c r="A7" s="7" t="s">
        <v>2</v>
      </c>
      <c r="B7" s="1" t="s">
        <v>90</v>
      </c>
      <c r="C7" s="18">
        <f>C6*0.1</f>
        <v>240</v>
      </c>
    </row>
    <row r="8" spans="1:5" s="4" customFormat="1" ht="20.25" x14ac:dyDescent="0.3">
      <c r="A8" s="8" t="s">
        <v>4</v>
      </c>
      <c r="B8" s="1" t="s">
        <v>94</v>
      </c>
      <c r="C8" s="20">
        <f>C6-C7</f>
        <v>2160</v>
      </c>
      <c r="D8" s="1"/>
      <c r="E8" s="1"/>
    </row>
    <row r="10" spans="1:5" x14ac:dyDescent="0.25">
      <c r="B10" s="1" t="s">
        <v>91</v>
      </c>
    </row>
    <row r="11" spans="1:5" x14ac:dyDescent="0.25">
      <c r="B11" s="1" t="s">
        <v>92</v>
      </c>
    </row>
    <row r="12" spans="1:5" x14ac:dyDescent="0.25">
      <c r="B12" s="1" t="s">
        <v>93</v>
      </c>
    </row>
    <row r="14" spans="1:5" x14ac:dyDescent="0.25">
      <c r="B14" s="1" t="s">
        <v>95</v>
      </c>
      <c r="E14" s="19">
        <f>C8*20</f>
        <v>43200</v>
      </c>
    </row>
    <row r="17" spans="1:7" x14ac:dyDescent="0.25">
      <c r="B17" s="15" t="s">
        <v>96</v>
      </c>
    </row>
    <row r="18" spans="1:7" x14ac:dyDescent="0.25">
      <c r="B18" s="1" t="s">
        <v>98</v>
      </c>
      <c r="C18" s="18">
        <f>2000*5</f>
        <v>10000</v>
      </c>
    </row>
    <row r="19" spans="1:7" x14ac:dyDescent="0.25">
      <c r="B19" s="1" t="s">
        <v>97</v>
      </c>
      <c r="C19" s="18">
        <f>10*3200</f>
        <v>32000</v>
      </c>
    </row>
    <row r="20" spans="1:7" s="4" customFormat="1" ht="20.25" x14ac:dyDescent="0.3">
      <c r="A20" s="1"/>
      <c r="B20" s="1" t="s">
        <v>101</v>
      </c>
      <c r="C20" s="20">
        <f>SUM(C18:C19)</f>
        <v>42000</v>
      </c>
      <c r="D20" s="1"/>
      <c r="E20" s="1"/>
    </row>
    <row r="22" spans="1:7" x14ac:dyDescent="0.25">
      <c r="B22" s="1" t="s">
        <v>100</v>
      </c>
      <c r="C22" s="18">
        <f>E14</f>
        <v>43200</v>
      </c>
    </row>
    <row r="23" spans="1:7" x14ac:dyDescent="0.25">
      <c r="B23" s="1" t="s">
        <v>96</v>
      </c>
      <c r="C23" s="18">
        <f>C20</f>
        <v>42000</v>
      </c>
    </row>
    <row r="24" spans="1:7" x14ac:dyDescent="0.25">
      <c r="B24" s="1" t="s">
        <v>99</v>
      </c>
      <c r="C24" s="18">
        <v>2454800</v>
      </c>
    </row>
    <row r="25" spans="1:7" s="4" customFormat="1" ht="20.25" x14ac:dyDescent="0.3">
      <c r="A25" s="1"/>
      <c r="B25" s="1" t="s">
        <v>102</v>
      </c>
      <c r="C25" s="20">
        <f>SUM(C22:C24)</f>
        <v>2540000</v>
      </c>
      <c r="D25" s="1"/>
      <c r="E25" s="1"/>
      <c r="F25" s="1"/>
    </row>
    <row r="28" spans="1:7" x14ac:dyDescent="0.25">
      <c r="A28" s="1" t="s">
        <v>1</v>
      </c>
      <c r="B28" s="1" t="s">
        <v>103</v>
      </c>
      <c r="C28" s="45">
        <v>3150000</v>
      </c>
    </row>
    <row r="29" spans="1:7" x14ac:dyDescent="0.25">
      <c r="A29" s="8" t="s">
        <v>3</v>
      </c>
      <c r="B29" s="1" t="s">
        <v>104</v>
      </c>
      <c r="C29" s="18">
        <v>19450000</v>
      </c>
    </row>
    <row r="30" spans="1:7" x14ac:dyDescent="0.25">
      <c r="A30" s="7" t="s">
        <v>2</v>
      </c>
      <c r="B30" s="1" t="s">
        <v>105</v>
      </c>
      <c r="C30" s="18">
        <f>C25</f>
        <v>2540000</v>
      </c>
    </row>
    <row r="31" spans="1:7" s="4" customFormat="1" ht="20.25" x14ac:dyDescent="0.3">
      <c r="A31" s="8" t="s">
        <v>4</v>
      </c>
      <c r="B31" s="1" t="s">
        <v>106</v>
      </c>
      <c r="C31" s="20">
        <f>C28+C29-C30</f>
        <v>20060000</v>
      </c>
      <c r="D31" s="1"/>
      <c r="E31" s="1"/>
      <c r="F31" s="1"/>
      <c r="G31" s="1"/>
    </row>
    <row r="32" spans="1:7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  <row r="36" spans="3:3" x14ac:dyDescent="0.25">
      <c r="C36" s="18"/>
    </row>
    <row r="37" spans="3:3" x14ac:dyDescent="0.25">
      <c r="C37" s="18"/>
    </row>
    <row r="38" spans="3:3" x14ac:dyDescent="0.25">
      <c r="C38" s="18"/>
    </row>
    <row r="39" spans="3:3" x14ac:dyDescent="0.25">
      <c r="C39" s="18"/>
    </row>
    <row r="40" spans="3:3" x14ac:dyDescent="0.25">
      <c r="C40" s="18"/>
    </row>
    <row r="41" spans="3:3" x14ac:dyDescent="0.25">
      <c r="C41" s="1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/>
  </sheetViews>
  <sheetFormatPr baseColWidth="10" defaultRowHeight="15.75" x14ac:dyDescent="0.25"/>
  <cols>
    <col min="1" max="1" width="4.28515625" style="1" customWidth="1"/>
    <col min="2" max="3" width="11.42578125" style="1"/>
    <col min="4" max="4" width="11.42578125" style="2"/>
    <col min="5" max="5" width="12.85546875" style="2" customWidth="1"/>
    <col min="6" max="6" width="13.7109375" style="2" bestFit="1" customWidth="1"/>
    <col min="7" max="7" width="11.42578125" style="2"/>
    <col min="8" max="16384" width="11.42578125" style="1"/>
  </cols>
  <sheetData>
    <row r="1" spans="1:11" x14ac:dyDescent="0.25">
      <c r="A1" s="3" t="s">
        <v>122</v>
      </c>
    </row>
    <row r="3" spans="1:11" x14ac:dyDescent="0.25">
      <c r="B3" s="1" t="s">
        <v>109</v>
      </c>
      <c r="F3" s="22">
        <v>1500000</v>
      </c>
    </row>
    <row r="4" spans="1:11" x14ac:dyDescent="0.25">
      <c r="B4" s="1" t="s">
        <v>110</v>
      </c>
      <c r="F4" s="22">
        <v>120000</v>
      </c>
    </row>
    <row r="5" spans="1:11" x14ac:dyDescent="0.25">
      <c r="F5" s="22"/>
    </row>
    <row r="6" spans="1:11" x14ac:dyDescent="0.25">
      <c r="B6" s="1" t="s">
        <v>111</v>
      </c>
      <c r="E6" s="2">
        <v>12000</v>
      </c>
      <c r="F6" s="22"/>
    </row>
    <row r="7" spans="1:11" x14ac:dyDescent="0.25">
      <c r="D7" s="1"/>
    </row>
    <row r="8" spans="1:11" x14ac:dyDescent="0.25">
      <c r="A8" s="1" t="s">
        <v>0</v>
      </c>
      <c r="B8" s="1" t="s">
        <v>113</v>
      </c>
      <c r="D8" s="1"/>
    </row>
    <row r="9" spans="1:11" x14ac:dyDescent="0.25">
      <c r="B9" s="1" t="s">
        <v>114</v>
      </c>
      <c r="G9" s="21">
        <f>F3/E6</f>
        <v>125</v>
      </c>
    </row>
    <row r="10" spans="1:11" x14ac:dyDescent="0.25">
      <c r="B10" s="1" t="s">
        <v>115</v>
      </c>
      <c r="F10" s="1"/>
      <c r="G10" s="21">
        <f>F4/E6</f>
        <v>10</v>
      </c>
    </row>
    <row r="11" spans="1:11" x14ac:dyDescent="0.25">
      <c r="D11" s="1"/>
      <c r="E11" s="1"/>
      <c r="F11" s="1"/>
    </row>
    <row r="12" spans="1:11" x14ac:dyDescent="0.25">
      <c r="B12" s="1" t="s">
        <v>107</v>
      </c>
      <c r="E12" s="21">
        <v>100</v>
      </c>
    </row>
    <row r="13" spans="1:11" x14ac:dyDescent="0.25">
      <c r="B13" s="1" t="s">
        <v>108</v>
      </c>
      <c r="D13" s="1"/>
      <c r="E13" s="21">
        <v>50</v>
      </c>
    </row>
    <row r="14" spans="1:11" x14ac:dyDescent="0.25">
      <c r="B14" s="1" t="s">
        <v>117</v>
      </c>
      <c r="E14" s="21">
        <f>G9</f>
        <v>125</v>
      </c>
    </row>
    <row r="15" spans="1:11" x14ac:dyDescent="0.25">
      <c r="B15" s="1" t="s">
        <v>116</v>
      </c>
      <c r="D15" s="1"/>
      <c r="E15" s="21">
        <f>G10</f>
        <v>10</v>
      </c>
      <c r="F15" s="1"/>
    </row>
    <row r="16" spans="1:11" s="4" customFormat="1" ht="20.25" x14ac:dyDescent="0.3">
      <c r="A16" s="1"/>
      <c r="B16" s="1" t="s">
        <v>118</v>
      </c>
      <c r="C16" s="1"/>
      <c r="D16" s="1"/>
      <c r="E16" s="23">
        <f>SUM(E12:E15)</f>
        <v>285</v>
      </c>
      <c r="F16" s="1"/>
      <c r="G16" s="2"/>
      <c r="H16" s="1"/>
      <c r="I16" s="1"/>
      <c r="J16" s="1"/>
      <c r="K16" s="1"/>
    </row>
    <row r="19" spans="1:12" x14ac:dyDescent="0.25">
      <c r="A19" s="1" t="s">
        <v>1</v>
      </c>
      <c r="B19" s="1" t="str">
        <f>B12</f>
        <v>Direkte materialer</v>
      </c>
      <c r="D19" s="1"/>
      <c r="E19" s="21">
        <f t="shared" ref="E19" si="0">E12</f>
        <v>100</v>
      </c>
    </row>
    <row r="20" spans="1:12" x14ac:dyDescent="0.25">
      <c r="B20" s="1" t="str">
        <f>B13</f>
        <v>Direkte lønn</v>
      </c>
      <c r="E20" s="21">
        <f>E13</f>
        <v>50</v>
      </c>
    </row>
    <row r="21" spans="1:12" x14ac:dyDescent="0.25">
      <c r="B21" s="1" t="str">
        <f>B15</f>
        <v>Ind. variable tilv.kostnader</v>
      </c>
      <c r="E21" s="21">
        <f>E15</f>
        <v>10</v>
      </c>
    </row>
    <row r="22" spans="1:12" s="4" customFormat="1" ht="20.25" x14ac:dyDescent="0.3">
      <c r="B22" s="1" t="s">
        <v>119</v>
      </c>
      <c r="C22" s="1"/>
      <c r="D22" s="2"/>
      <c r="E22" s="23">
        <f>SUM(E19:E21)</f>
        <v>160</v>
      </c>
      <c r="F22" s="2"/>
      <c r="G22" s="2"/>
      <c r="H22" s="1"/>
      <c r="I22" s="1"/>
      <c r="J22" s="1"/>
      <c r="K22" s="1"/>
      <c r="L22" s="1"/>
    </row>
    <row r="25" spans="1:12" x14ac:dyDescent="0.25">
      <c r="A25" s="1" t="s">
        <v>5</v>
      </c>
      <c r="B25" s="1" t="s">
        <v>60</v>
      </c>
      <c r="E25" s="6">
        <v>5900000</v>
      </c>
    </row>
    <row r="27" spans="1:12" x14ac:dyDescent="0.25">
      <c r="B27" s="1" t="s">
        <v>120</v>
      </c>
      <c r="E27" s="2">
        <f>-200*E16</f>
        <v>-57000</v>
      </c>
    </row>
    <row r="28" spans="1:12" x14ac:dyDescent="0.25">
      <c r="B28" s="1" t="s">
        <v>121</v>
      </c>
      <c r="E28" s="5">
        <f>12000*100</f>
        <v>1200000</v>
      </c>
    </row>
    <row r="30" spans="1:12" x14ac:dyDescent="0.25">
      <c r="B30" s="1" t="s">
        <v>178</v>
      </c>
    </row>
    <row r="31" spans="1:12" x14ac:dyDescent="0.25">
      <c r="B31" s="1" t="s">
        <v>177</v>
      </c>
    </row>
    <row r="33" spans="1:12" s="49" customFormat="1" x14ac:dyDescent="0.25">
      <c r="D33" s="51"/>
      <c r="E33" s="51"/>
      <c r="F33" s="51"/>
      <c r="G33" s="51"/>
    </row>
    <row r="34" spans="1:12" x14ac:dyDescent="0.25">
      <c r="A34" s="3" t="s">
        <v>133</v>
      </c>
    </row>
    <row r="36" spans="1:12" x14ac:dyDescent="0.25">
      <c r="A36" s="1" t="s">
        <v>0</v>
      </c>
      <c r="B36" s="1" t="s">
        <v>179</v>
      </c>
      <c r="E36" s="1"/>
      <c r="F36" s="2">
        <v>710000</v>
      </c>
    </row>
    <row r="37" spans="1:12" x14ac:dyDescent="0.25">
      <c r="A37" s="8" t="s">
        <v>3</v>
      </c>
      <c r="B37" s="1" t="s">
        <v>180</v>
      </c>
      <c r="E37" s="1"/>
      <c r="F37" s="2">
        <f>5000*8.2</f>
        <v>41000</v>
      </c>
    </row>
    <row r="38" spans="1:12" x14ac:dyDescent="0.25">
      <c r="A38" s="7" t="s">
        <v>2</v>
      </c>
      <c r="B38" s="1" t="s">
        <v>123</v>
      </c>
      <c r="E38" s="1"/>
      <c r="F38" s="24">
        <v>20000</v>
      </c>
    </row>
    <row r="39" spans="1:12" x14ac:dyDescent="0.25">
      <c r="A39" s="7" t="s">
        <v>2</v>
      </c>
      <c r="B39" s="1" t="s">
        <v>124</v>
      </c>
      <c r="E39" s="1"/>
      <c r="F39" s="6">
        <v>12000</v>
      </c>
    </row>
    <row r="40" spans="1:12" s="4" customFormat="1" ht="20.25" x14ac:dyDescent="0.3">
      <c r="A40" s="8" t="s">
        <v>4</v>
      </c>
      <c r="B40" s="1" t="s">
        <v>125</v>
      </c>
      <c r="C40" s="1"/>
      <c r="D40" s="2"/>
      <c r="F40" s="5">
        <f>F36+F37+F38+F39</f>
        <v>783000</v>
      </c>
      <c r="G40" s="2"/>
      <c r="H40" s="1"/>
      <c r="I40" s="1"/>
      <c r="J40" s="1"/>
      <c r="K40" s="1"/>
      <c r="L40" s="1"/>
    </row>
    <row r="42" spans="1:12" x14ac:dyDescent="0.25">
      <c r="A42" s="1" t="s">
        <v>1</v>
      </c>
      <c r="B42" s="1" t="s">
        <v>126</v>
      </c>
    </row>
    <row r="43" spans="1:12" x14ac:dyDescent="0.25">
      <c r="B43" s="1" t="s">
        <v>127</v>
      </c>
    </row>
    <row r="44" spans="1:12" s="49" customFormat="1" x14ac:dyDescent="0.25">
      <c r="B44" s="49" t="s">
        <v>181</v>
      </c>
      <c r="D44" s="51"/>
      <c r="E44" s="51"/>
      <c r="F44" s="51"/>
      <c r="G44" s="51"/>
    </row>
    <row r="46" spans="1:12" x14ac:dyDescent="0.25">
      <c r="B46" s="1" t="s">
        <v>129</v>
      </c>
    </row>
    <row r="47" spans="1:12" x14ac:dyDescent="0.25">
      <c r="B47" s="1" t="s">
        <v>130</v>
      </c>
    </row>
    <row r="49" spans="1:11" x14ac:dyDescent="0.25">
      <c r="B49" s="1" t="s">
        <v>128</v>
      </c>
    </row>
    <row r="51" spans="1:11" x14ac:dyDescent="0.25">
      <c r="B51" s="1" t="s">
        <v>131</v>
      </c>
    </row>
    <row r="52" spans="1:11" x14ac:dyDescent="0.25">
      <c r="B52" s="1" t="s">
        <v>132</v>
      </c>
    </row>
    <row r="55" spans="1:11" x14ac:dyDescent="0.25">
      <c r="A55" s="3" t="s">
        <v>175</v>
      </c>
    </row>
    <row r="57" spans="1:11" x14ac:dyDescent="0.25">
      <c r="B57" s="25" t="s">
        <v>134</v>
      </c>
      <c r="C57" s="26"/>
      <c r="D57" s="38" t="s">
        <v>139</v>
      </c>
      <c r="E57" s="27" t="s">
        <v>138</v>
      </c>
      <c r="F57" s="38" t="s">
        <v>141</v>
      </c>
      <c r="G57" s="28" t="s">
        <v>142</v>
      </c>
    </row>
    <row r="58" spans="1:11" x14ac:dyDescent="0.25">
      <c r="B58" s="29"/>
      <c r="C58" s="30"/>
      <c r="D58" s="39" t="s">
        <v>140</v>
      </c>
      <c r="E58" s="6"/>
      <c r="F58" s="42"/>
      <c r="G58" s="31" t="s">
        <v>143</v>
      </c>
    </row>
    <row r="59" spans="1:11" x14ac:dyDescent="0.25">
      <c r="B59" s="25" t="s">
        <v>135</v>
      </c>
      <c r="C59" s="26"/>
      <c r="D59" s="40">
        <v>2000</v>
      </c>
      <c r="E59" s="10">
        <v>180000</v>
      </c>
      <c r="F59" s="38">
        <v>116</v>
      </c>
      <c r="G59" s="32">
        <f>D59*F59</f>
        <v>232000</v>
      </c>
    </row>
    <row r="60" spans="1:11" x14ac:dyDescent="0.25">
      <c r="B60" s="35" t="s">
        <v>136</v>
      </c>
      <c r="C60" s="36"/>
      <c r="D60" s="41">
        <v>3000</v>
      </c>
      <c r="E60" s="5">
        <v>255000</v>
      </c>
      <c r="F60" s="43">
        <v>110</v>
      </c>
      <c r="G60" s="37">
        <f t="shared" ref="G60:G61" si="1">D60*F60</f>
        <v>330000</v>
      </c>
    </row>
    <row r="61" spans="1:11" x14ac:dyDescent="0.25">
      <c r="B61" s="29" t="s">
        <v>137</v>
      </c>
      <c r="C61" s="30"/>
      <c r="D61" s="42">
        <v>2000</v>
      </c>
      <c r="E61" s="6">
        <v>500000</v>
      </c>
      <c r="F61" s="39">
        <v>200</v>
      </c>
      <c r="G61" s="34">
        <f t="shared" si="1"/>
        <v>400000</v>
      </c>
    </row>
    <row r="62" spans="1:11" s="4" customFormat="1" ht="20.25" x14ac:dyDescent="0.3">
      <c r="A62" s="1"/>
      <c r="B62" s="35"/>
      <c r="C62" s="36"/>
      <c r="D62" s="41"/>
      <c r="E62" s="5">
        <f>SUM(E59:E61)</f>
        <v>935000</v>
      </c>
      <c r="F62" s="41"/>
      <c r="G62" s="37">
        <f>SUM(G59:G61)</f>
        <v>962000</v>
      </c>
      <c r="H62" s="1"/>
      <c r="I62" s="1"/>
      <c r="J62" s="1"/>
      <c r="K62" s="1"/>
    </row>
    <row r="65" spans="1:11" x14ac:dyDescent="0.25">
      <c r="A65" s="1" t="s">
        <v>0</v>
      </c>
      <c r="B65" s="1" t="s">
        <v>144</v>
      </c>
    </row>
    <row r="66" spans="1:11" x14ac:dyDescent="0.25">
      <c r="B66" s="1" t="s">
        <v>145</v>
      </c>
    </row>
    <row r="67" spans="1:11" x14ac:dyDescent="0.25">
      <c r="B67" s="1" t="s">
        <v>146</v>
      </c>
    </row>
    <row r="68" spans="1:11" x14ac:dyDescent="0.25">
      <c r="B68" s="1" t="s">
        <v>147</v>
      </c>
    </row>
    <row r="71" spans="1:11" x14ac:dyDescent="0.25">
      <c r="A71" s="1" t="s">
        <v>1</v>
      </c>
      <c r="B71" s="1" t="s">
        <v>148</v>
      </c>
    </row>
    <row r="72" spans="1:11" x14ac:dyDescent="0.25">
      <c r="B72" s="1" t="s">
        <v>149</v>
      </c>
    </row>
    <row r="74" spans="1:11" x14ac:dyDescent="0.25">
      <c r="B74" s="35" t="s">
        <v>135</v>
      </c>
      <c r="C74" s="36"/>
      <c r="D74" s="41">
        <f>E59</f>
        <v>180000</v>
      </c>
    </row>
    <row r="75" spans="1:11" x14ac:dyDescent="0.25">
      <c r="B75" s="35" t="s">
        <v>136</v>
      </c>
      <c r="C75" s="36"/>
      <c r="D75" s="41">
        <f>E60</f>
        <v>255000</v>
      </c>
    </row>
    <row r="76" spans="1:11" x14ac:dyDescent="0.25">
      <c r="B76" s="33" t="s">
        <v>137</v>
      </c>
      <c r="D76" s="44">
        <f>G61</f>
        <v>400000</v>
      </c>
    </row>
    <row r="77" spans="1:11" s="4" customFormat="1" ht="20.25" x14ac:dyDescent="0.3">
      <c r="A77" s="1"/>
      <c r="B77" s="35" t="s">
        <v>150</v>
      </c>
      <c r="C77" s="36"/>
      <c r="D77" s="41">
        <f>SUM(D74:D76)</f>
        <v>835000</v>
      </c>
      <c r="E77" s="2"/>
      <c r="F77" s="2"/>
      <c r="G77" s="2"/>
      <c r="H77" s="1"/>
      <c r="I77" s="1"/>
      <c r="J77" s="1"/>
      <c r="K77" s="1"/>
    </row>
    <row r="79" spans="1:11" x14ac:dyDescent="0.25">
      <c r="B79" s="1" t="s">
        <v>151</v>
      </c>
    </row>
    <row r="80" spans="1:11" x14ac:dyDescent="0.25">
      <c r="B80" s="1" t="s">
        <v>182</v>
      </c>
    </row>
    <row r="81" spans="2:2" x14ac:dyDescent="0.25">
      <c r="B81" s="1" t="s">
        <v>152</v>
      </c>
    </row>
    <row r="83" spans="2:2" x14ac:dyDescent="0.25">
      <c r="B83" s="1" t="s">
        <v>153</v>
      </c>
    </row>
    <row r="84" spans="2:2" x14ac:dyDescent="0.25">
      <c r="B84" s="1" t="s">
        <v>154</v>
      </c>
    </row>
    <row r="85" spans="2:2" x14ac:dyDescent="0.25">
      <c r="B85" s="1" t="s">
        <v>155</v>
      </c>
    </row>
    <row r="87" spans="2:2" x14ac:dyDescent="0.25">
      <c r="B87" s="1" t="s">
        <v>156</v>
      </c>
    </row>
    <row r="88" spans="2:2" x14ac:dyDescent="0.25">
      <c r="B88" s="1" t="s">
        <v>157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&amp;CSide &amp;P av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/>
  </sheetViews>
  <sheetFormatPr baseColWidth="10" defaultColWidth="9.140625" defaultRowHeight="15.75" x14ac:dyDescent="0.25"/>
  <cols>
    <col min="1" max="1" width="6.140625" style="49" customWidth="1"/>
    <col min="2" max="8" width="10.7109375" style="49" customWidth="1"/>
    <col min="9" max="16384" width="9.140625" style="49"/>
  </cols>
  <sheetData>
    <row r="1" spans="1:8" x14ac:dyDescent="0.25">
      <c r="A1" s="53" t="s">
        <v>223</v>
      </c>
    </row>
    <row r="2" spans="1:8" x14ac:dyDescent="0.25">
      <c r="A2" s="53" t="s">
        <v>224</v>
      </c>
    </row>
    <row r="3" spans="1:8" x14ac:dyDescent="0.25">
      <c r="A3" s="49" t="s">
        <v>0</v>
      </c>
      <c r="B3" s="49" t="s">
        <v>183</v>
      </c>
    </row>
    <row r="4" spans="1:8" x14ac:dyDescent="0.25">
      <c r="B4" s="49" t="s">
        <v>184</v>
      </c>
    </row>
    <row r="5" spans="1:8" x14ac:dyDescent="0.25">
      <c r="B5" s="49" t="s">
        <v>185</v>
      </c>
    </row>
    <row r="6" spans="1:8" x14ac:dyDescent="0.25">
      <c r="B6" s="49" t="s">
        <v>186</v>
      </c>
    </row>
    <row r="8" spans="1:8" x14ac:dyDescent="0.25">
      <c r="A8" s="49" t="s">
        <v>1</v>
      </c>
      <c r="B8" s="49" t="s">
        <v>187</v>
      </c>
    </row>
    <row r="9" spans="1:8" x14ac:dyDescent="0.25">
      <c r="B9" s="49" t="s">
        <v>188</v>
      </c>
    </row>
    <row r="10" spans="1:8" x14ac:dyDescent="0.25">
      <c r="B10" s="49" t="s">
        <v>189</v>
      </c>
    </row>
    <row r="11" spans="1:8" x14ac:dyDescent="0.25">
      <c r="B11" s="49" t="s">
        <v>190</v>
      </c>
    </row>
    <row r="13" spans="1:8" x14ac:dyDescent="0.25">
      <c r="A13" s="49" t="s">
        <v>5</v>
      </c>
      <c r="B13" s="53" t="s">
        <v>191</v>
      </c>
    </row>
    <row r="14" spans="1:8" x14ac:dyDescent="0.25">
      <c r="B14" s="53"/>
    </row>
    <row r="15" spans="1:8" x14ac:dyDescent="0.25">
      <c r="B15" s="53" t="s">
        <v>192</v>
      </c>
      <c r="C15" s="57" t="s">
        <v>70</v>
      </c>
      <c r="D15" s="57" t="s">
        <v>193</v>
      </c>
      <c r="E15" s="57" t="s">
        <v>194</v>
      </c>
    </row>
    <row r="16" spans="1:8" x14ac:dyDescent="0.25">
      <c r="B16" s="49" t="s">
        <v>195</v>
      </c>
      <c r="C16" s="51">
        <v>2500</v>
      </c>
      <c r="D16" s="58">
        <v>220</v>
      </c>
      <c r="E16" s="51">
        <f>C16*D16</f>
        <v>550000</v>
      </c>
      <c r="F16" s="51"/>
      <c r="G16" s="51"/>
      <c r="H16" s="51"/>
    </row>
    <row r="17" spans="1:21" x14ac:dyDescent="0.25">
      <c r="B17" s="49" t="s">
        <v>196</v>
      </c>
      <c r="C17" s="51">
        <v>5500</v>
      </c>
      <c r="D17" s="58">
        <v>188</v>
      </c>
      <c r="E17" s="51">
        <f>C17*D17</f>
        <v>1034000</v>
      </c>
      <c r="F17" s="51"/>
      <c r="G17" s="51"/>
      <c r="H17" s="51"/>
    </row>
    <row r="18" spans="1:21" s="52" customFormat="1" ht="20.25" x14ac:dyDescent="0.3">
      <c r="A18" s="49"/>
      <c r="B18" s="49"/>
      <c r="C18" s="54">
        <f>SUM(C16:C17)</f>
        <v>8000</v>
      </c>
      <c r="D18" s="51"/>
      <c r="E18" s="54">
        <f>SUM(E16:E17)</f>
        <v>1584000</v>
      </c>
      <c r="F18" s="51"/>
      <c r="G18" s="51"/>
      <c r="H18" s="51"/>
      <c r="I18" s="49"/>
      <c r="J18" s="49"/>
      <c r="K18" s="49"/>
      <c r="L18" s="49"/>
      <c r="M18" s="49"/>
      <c r="N18" s="49"/>
      <c r="O18" s="59"/>
      <c r="P18" s="59"/>
      <c r="Q18" s="59"/>
      <c r="R18" s="59"/>
      <c r="S18" s="59"/>
      <c r="T18" s="59"/>
      <c r="U18" s="59"/>
    </row>
    <row r="19" spans="1:21" x14ac:dyDescent="0.25">
      <c r="C19" s="51"/>
      <c r="D19" s="51"/>
      <c r="E19" s="51"/>
      <c r="F19" s="51"/>
      <c r="G19" s="51"/>
      <c r="H19" s="51"/>
    </row>
    <row r="20" spans="1:21" x14ac:dyDescent="0.25">
      <c r="B20" s="49" t="s">
        <v>197</v>
      </c>
    </row>
    <row r="22" spans="1:21" x14ac:dyDescent="0.25">
      <c r="B22" s="53" t="s">
        <v>198</v>
      </c>
    </row>
    <row r="23" spans="1:21" x14ac:dyDescent="0.25">
      <c r="B23" s="49" t="s">
        <v>199</v>
      </c>
      <c r="E23" s="51"/>
      <c r="F23" s="51">
        <f>4000*205</f>
        <v>820000</v>
      </c>
    </row>
    <row r="24" spans="1:21" x14ac:dyDescent="0.25">
      <c r="B24" s="49" t="s">
        <v>200</v>
      </c>
      <c r="E24" s="51"/>
      <c r="F24" s="51"/>
    </row>
    <row r="25" spans="1:21" x14ac:dyDescent="0.25">
      <c r="B25" s="49" t="s">
        <v>201</v>
      </c>
      <c r="E25" s="51">
        <f>E16</f>
        <v>550000</v>
      </c>
      <c r="F25" s="51"/>
    </row>
    <row r="26" spans="1:21" x14ac:dyDescent="0.25">
      <c r="B26" s="49" t="s">
        <v>202</v>
      </c>
      <c r="E26" s="51">
        <f>1500*D17</f>
        <v>282000</v>
      </c>
      <c r="F26" s="51"/>
    </row>
    <row r="27" spans="1:21" s="52" customFormat="1" ht="20.25" x14ac:dyDescent="0.3">
      <c r="A27" s="49"/>
      <c r="B27" s="49"/>
      <c r="C27" s="49"/>
      <c r="D27" s="49"/>
      <c r="E27" s="54">
        <f>SUM(E25:E26)</f>
        <v>832000</v>
      </c>
      <c r="F27" s="51">
        <f>E27</f>
        <v>832000</v>
      </c>
      <c r="G27" s="49"/>
      <c r="H27" s="49"/>
      <c r="I27" s="49"/>
      <c r="J27" s="49"/>
      <c r="K27" s="49"/>
      <c r="L27" s="49"/>
      <c r="M27" s="49"/>
      <c r="N27" s="49"/>
    </row>
    <row r="28" spans="1:21" s="52" customFormat="1" ht="20.25" x14ac:dyDescent="0.3">
      <c r="A28" s="49"/>
      <c r="B28" s="49" t="s">
        <v>203</v>
      </c>
      <c r="C28" s="49"/>
      <c r="D28" s="49"/>
      <c r="E28" s="51"/>
      <c r="F28" s="54">
        <f>F27-F23</f>
        <v>12000</v>
      </c>
      <c r="G28" s="49"/>
      <c r="H28" s="49"/>
      <c r="I28" s="49"/>
      <c r="J28" s="49"/>
      <c r="K28" s="49"/>
      <c r="L28" s="49"/>
      <c r="M28" s="49"/>
      <c r="N28" s="49"/>
    </row>
    <row r="30" spans="1:21" x14ac:dyDescent="0.25">
      <c r="A30" s="49" t="s">
        <v>56</v>
      </c>
      <c r="B30" s="60" t="s">
        <v>204</v>
      </c>
      <c r="C30" s="60"/>
      <c r="D30" s="60"/>
      <c r="E30" s="60"/>
      <c r="F30" s="60"/>
    </row>
    <row r="31" spans="1:21" x14ac:dyDescent="0.25">
      <c r="B31" s="60"/>
      <c r="C31" s="60"/>
      <c r="D31" s="60"/>
      <c r="E31" s="60"/>
      <c r="F31" s="60"/>
    </row>
    <row r="32" spans="1:21" x14ac:dyDescent="0.25">
      <c r="B32" s="60" t="s">
        <v>205</v>
      </c>
      <c r="C32" s="60"/>
      <c r="D32" s="60"/>
      <c r="E32" s="60"/>
      <c r="F32" s="60"/>
    </row>
    <row r="33" spans="1:6" x14ac:dyDescent="0.25">
      <c r="B33" s="60" t="s">
        <v>206</v>
      </c>
      <c r="C33" s="60"/>
      <c r="D33" s="60"/>
      <c r="E33" s="60"/>
      <c r="F33" s="60"/>
    </row>
    <row r="34" spans="1:6" x14ac:dyDescent="0.25">
      <c r="B34" s="60"/>
      <c r="C34" s="60"/>
      <c r="D34" s="60"/>
      <c r="E34" s="60"/>
      <c r="F34" s="60"/>
    </row>
    <row r="35" spans="1:6" x14ac:dyDescent="0.25">
      <c r="B35" s="60" t="s">
        <v>207</v>
      </c>
      <c r="C35" s="60"/>
      <c r="D35" s="60"/>
      <c r="E35" s="60"/>
      <c r="F35" s="61">
        <f>4000*188</f>
        <v>752000</v>
      </c>
    </row>
    <row r="36" spans="1:6" x14ac:dyDescent="0.25">
      <c r="B36" s="60"/>
      <c r="C36" s="60"/>
      <c r="D36" s="60"/>
      <c r="E36" s="60"/>
      <c r="F36" s="60"/>
    </row>
    <row r="37" spans="1:6" x14ac:dyDescent="0.25">
      <c r="B37" s="60" t="s">
        <v>208</v>
      </c>
      <c r="C37" s="60"/>
      <c r="D37" s="60"/>
      <c r="E37" s="60"/>
      <c r="F37" s="62"/>
    </row>
    <row r="38" spans="1:6" x14ac:dyDescent="0.25">
      <c r="B38" s="60" t="s">
        <v>209</v>
      </c>
      <c r="C38" s="60"/>
      <c r="D38" s="60"/>
      <c r="E38" s="60"/>
      <c r="F38" s="60"/>
    </row>
    <row r="39" spans="1:6" x14ac:dyDescent="0.25">
      <c r="B39" s="60" t="s">
        <v>210</v>
      </c>
      <c r="C39" s="60"/>
      <c r="D39" s="60"/>
      <c r="E39" s="60"/>
      <c r="F39" s="60"/>
    </row>
    <row r="40" spans="1:6" x14ac:dyDescent="0.25">
      <c r="B40" s="60"/>
      <c r="C40" s="60"/>
      <c r="D40" s="60"/>
      <c r="E40" s="60"/>
      <c r="F40" s="60"/>
    </row>
    <row r="41" spans="1:6" x14ac:dyDescent="0.25">
      <c r="B41" s="60" t="s">
        <v>211</v>
      </c>
      <c r="C41" s="60"/>
      <c r="D41" s="60"/>
      <c r="E41" s="60"/>
      <c r="F41" s="62"/>
    </row>
    <row r="42" spans="1:6" x14ac:dyDescent="0.25">
      <c r="B42" s="49" t="s">
        <v>212</v>
      </c>
      <c r="E42" s="55">
        <f>4000*215</f>
        <v>860000</v>
      </c>
    </row>
    <row r="44" spans="1:6" x14ac:dyDescent="0.25">
      <c r="A44" s="49" t="s">
        <v>63</v>
      </c>
      <c r="B44" s="49" t="s">
        <v>213</v>
      </c>
    </row>
    <row r="45" spans="1:6" x14ac:dyDescent="0.25">
      <c r="B45" s="49" t="s">
        <v>214</v>
      </c>
    </row>
    <row r="46" spans="1:6" x14ac:dyDescent="0.25">
      <c r="B46" s="49" t="s">
        <v>215</v>
      </c>
    </row>
    <row r="48" spans="1:6" x14ac:dyDescent="0.25">
      <c r="A48" s="49" t="s">
        <v>216</v>
      </c>
      <c r="B48" s="49" t="s">
        <v>217</v>
      </c>
      <c r="E48" s="51"/>
      <c r="F48" s="51">
        <v>710000</v>
      </c>
    </row>
    <row r="49" spans="1:13" x14ac:dyDescent="0.25">
      <c r="B49" s="49" t="s">
        <v>218</v>
      </c>
      <c r="E49" s="51"/>
      <c r="F49" s="51"/>
    </row>
    <row r="50" spans="1:13" x14ac:dyDescent="0.25">
      <c r="B50" s="63" t="s">
        <v>219</v>
      </c>
      <c r="E50" s="51">
        <v>15000</v>
      </c>
      <c r="F50" s="51"/>
    </row>
    <row r="51" spans="1:13" x14ac:dyDescent="0.25">
      <c r="B51" s="63" t="s">
        <v>220</v>
      </c>
      <c r="E51" s="55">
        <f>E50*0.1</f>
        <v>1500</v>
      </c>
      <c r="F51" s="51"/>
    </row>
    <row r="52" spans="1:13" s="52" customFormat="1" ht="20.25" x14ac:dyDescent="0.3">
      <c r="A52" s="49"/>
      <c r="B52" s="49" t="s">
        <v>221</v>
      </c>
      <c r="C52" s="49"/>
      <c r="D52" s="49"/>
      <c r="E52" s="54">
        <f>E50-E51</f>
        <v>13500</v>
      </c>
      <c r="F52" s="55">
        <f>E52</f>
        <v>13500</v>
      </c>
      <c r="G52" s="49"/>
      <c r="H52" s="49"/>
      <c r="I52" s="49"/>
      <c r="J52" s="49"/>
      <c r="K52" s="49"/>
      <c r="L52" s="49"/>
      <c r="M52" s="49"/>
    </row>
    <row r="53" spans="1:13" s="52" customFormat="1" ht="20.25" x14ac:dyDescent="0.3">
      <c r="A53" s="49"/>
      <c r="B53" s="49" t="s">
        <v>222</v>
      </c>
      <c r="C53" s="49"/>
      <c r="D53" s="49"/>
      <c r="E53" s="51"/>
      <c r="F53" s="54">
        <f>SUM(F48:F52)</f>
        <v>723500</v>
      </c>
      <c r="G53" s="49"/>
      <c r="H53" s="49"/>
      <c r="I53" s="49"/>
      <c r="J53" s="49"/>
      <c r="K53" s="49"/>
      <c r="L53" s="49"/>
      <c r="M53" s="4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Oppgaver 5.1 – 5.6</vt:lpstr>
      <vt:lpstr>Oppgave 5.7</vt:lpstr>
      <vt:lpstr>Oppgave 5.8</vt:lpstr>
      <vt:lpstr>Oppgave 5.9 – 5.11</vt:lpstr>
      <vt:lpstr>Oppgave 5.12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2015-09-02T13:41:40Z</dcterms:modified>
</cp:coreProperties>
</file>