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defaultThemeVersion="124226"/>
  <xr:revisionPtr revIDLastSave="0" documentId="13_ncr:1_{21A6EFA6-E919-4D4B-80E8-BD407D5D8153}" xr6:coauthVersionLast="47" xr6:coauthVersionMax="47" xr10:uidLastSave="{00000000-0000-0000-0000-000000000000}"/>
  <bookViews>
    <workbookView xWindow="4500" yWindow="2655" windowWidth="23400" windowHeight="12630" activeTab="3" xr2:uid="{00000000-000D-0000-FFFF-FFFF00000000}"/>
  </bookViews>
  <sheets>
    <sheet name="Oppgave 3.1-3.6" sheetId="1" r:id="rId1"/>
    <sheet name="Oppgave 3.7-3.12" sheetId="2" r:id="rId2"/>
    <sheet name="Oppgave 3.13-3.17" sheetId="4" r:id="rId3"/>
    <sheet name="Oppgave 3.18-3.20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2" l="1"/>
  <c r="E71" i="3" l="1"/>
  <c r="E67" i="3"/>
  <c r="E57" i="3"/>
  <c r="E56" i="3"/>
  <c r="B56" i="3"/>
  <c r="E53" i="3"/>
  <c r="E51" i="3"/>
  <c r="E49" i="3"/>
  <c r="G39" i="3"/>
  <c r="G36" i="3"/>
  <c r="G37" i="3"/>
  <c r="G38" i="3" s="1"/>
  <c r="E38" i="3"/>
  <c r="F38" i="3"/>
  <c r="D38" i="3"/>
  <c r="G35" i="3"/>
  <c r="J5" i="3"/>
  <c r="E82" i="2"/>
  <c r="G173" i="4" l="1"/>
  <c r="F165" i="4"/>
  <c r="F167" i="4" s="1"/>
  <c r="F161" i="4"/>
  <c r="F157" i="4"/>
  <c r="F127" i="4"/>
  <c r="F123" i="4"/>
  <c r="F124" i="4" s="1"/>
  <c r="F134" i="4"/>
  <c r="E113" i="4"/>
  <c r="E73" i="4"/>
  <c r="E78" i="4" s="1"/>
  <c r="H130" i="4" l="1"/>
  <c r="H131" i="4" s="1"/>
  <c r="F116" i="4"/>
  <c r="F117" i="4" s="1"/>
  <c r="F119" i="4" s="1"/>
  <c r="F133" i="4" s="1"/>
  <c r="F135" i="4" s="1"/>
  <c r="E76" i="4"/>
  <c r="E77" i="4" s="1"/>
  <c r="E80" i="4" s="1"/>
  <c r="E95" i="4"/>
  <c r="E96" i="4" s="1"/>
  <c r="G60" i="4"/>
  <c r="F53" i="4"/>
  <c r="F55" i="4" s="1"/>
  <c r="G61" i="4" s="1"/>
  <c r="F67" i="4" s="1"/>
  <c r="F45" i="4"/>
  <c r="F44" i="4"/>
  <c r="F40" i="4"/>
  <c r="F39" i="4"/>
  <c r="H28" i="4"/>
  <c r="H15" i="4"/>
  <c r="H29" i="4" s="1"/>
  <c r="F3" i="4"/>
  <c r="D5" i="4" s="1"/>
  <c r="B12" i="4" s="1"/>
  <c r="C12" i="4" s="1"/>
  <c r="C13" i="4" s="1"/>
  <c r="F41" i="4" l="1"/>
  <c r="F136" i="4"/>
  <c r="E141" i="4" s="1"/>
  <c r="E142" i="4" s="1"/>
  <c r="E86" i="4"/>
  <c r="F84" i="4"/>
  <c r="G59" i="4"/>
  <c r="G63" i="4" s="1"/>
  <c r="H30" i="4"/>
  <c r="B15" i="4" s="1"/>
  <c r="H19" i="4"/>
  <c r="H20" i="4" s="1"/>
  <c r="H24" i="4" s="1"/>
  <c r="H22" i="4"/>
  <c r="F137" i="4" l="1"/>
  <c r="F66" i="4"/>
  <c r="F68" i="4" s="1"/>
  <c r="B16" i="4"/>
  <c r="H32" i="4"/>
  <c r="B17" i="4" s="1"/>
  <c r="E87" i="4"/>
  <c r="E88" i="4" s="1"/>
  <c r="E98" i="4" s="1"/>
  <c r="E99" i="4"/>
  <c r="B14" i="4"/>
  <c r="C14" i="4" s="1"/>
  <c r="C15" i="4" s="1"/>
  <c r="C16" i="4" s="1"/>
  <c r="H25" i="4"/>
  <c r="E81" i="2"/>
  <c r="F69" i="2"/>
  <c r="E79" i="2" s="1"/>
  <c r="E50" i="2"/>
  <c r="C60" i="2" s="1"/>
  <c r="F41" i="2"/>
  <c r="E43" i="2" s="1"/>
  <c r="F32" i="2"/>
  <c r="D30" i="2"/>
  <c r="E36" i="2" s="1"/>
  <c r="E101" i="4" l="1"/>
  <c r="C17" i="4"/>
  <c r="C59" i="2"/>
  <c r="C58" i="2"/>
  <c r="C57" i="2"/>
  <c r="E76" i="2"/>
  <c r="E77" i="2" s="1"/>
  <c r="C61" i="2"/>
  <c r="E52" i="2"/>
  <c r="C56" i="2" s="1"/>
  <c r="D56" i="2" s="1"/>
  <c r="G103" i="1"/>
  <c r="G101" i="1"/>
  <c r="D57" i="2" l="1"/>
  <c r="D58" i="2" s="1"/>
  <c r="D59" i="2" s="1"/>
  <c r="D60" i="2" s="1"/>
  <c r="D61" i="2" s="1"/>
  <c r="D62" i="2" s="1"/>
  <c r="E82" i="1"/>
  <c r="E80" i="1"/>
  <c r="I71" i="1" l="1"/>
  <c r="I68" i="1"/>
  <c r="I67" i="1"/>
  <c r="E71" i="1"/>
  <c r="E68" i="1"/>
  <c r="I58" i="1"/>
  <c r="I57" i="1"/>
  <c r="E61" i="1"/>
  <c r="E58" i="1"/>
  <c r="E57" i="1"/>
  <c r="I59" i="1" l="1"/>
  <c r="I66" i="1"/>
  <c r="I69" i="1" s="1"/>
  <c r="I72" i="1" s="1"/>
  <c r="I73" i="1" s="1"/>
  <c r="E59" i="1"/>
  <c r="E62" i="1" s="1"/>
  <c r="E63" i="1" s="1"/>
  <c r="E66" i="1"/>
  <c r="E69" i="1" s="1"/>
  <c r="E72" i="1" s="1"/>
  <c r="E73" i="1" s="1"/>
</calcChain>
</file>

<file path=xl/sharedStrings.xml><?xml version="1.0" encoding="utf-8"?>
<sst xmlns="http://schemas.openxmlformats.org/spreadsheetml/2006/main" count="449" uniqueCount="329">
  <si>
    <t>Oppgave 3.1</t>
  </si>
  <si>
    <t>I dette tilfellet består salgsavtalen av to elementer, nemlig salg av en bil og salg av en</t>
  </si>
  <si>
    <t>serviceavtale. Inntekten knyttet til salget av bilen er opptjent ved levering av bilen,</t>
  </si>
  <si>
    <t>mens inntekten knyttet til serviceavtalen opptjenes når servicen blir gjennomført.</t>
  </si>
  <si>
    <t>Salgsvederlag totalt</t>
  </si>
  <si>
    <t>Verdi av service</t>
  </si>
  <si>
    <t>=</t>
  </si>
  <si>
    <t>Verdi av bilsalget</t>
  </si>
  <si>
    <t>–</t>
  </si>
  <si>
    <t>Dette betyr at vi inntektsfører kr 285 000 i 20x1, kr 5 000 blir inntektsført for</t>
  </si>
  <si>
    <t xml:space="preserve">hvert av årene 20x2, 20x3 og 20x4. Kunden blir fakturert for og betaler kr 300 000 </t>
  </si>
  <si>
    <t xml:space="preserve"> Salgsinntekter</t>
  </si>
  <si>
    <t>Kundefordringer</t>
  </si>
  <si>
    <t>inntekt</t>
  </si>
  <si>
    <t>2970 Uopptjent</t>
  </si>
  <si>
    <t>Salg av bil</t>
  </si>
  <si>
    <t>Vi ser at kr 15 000 blir oppført som gjeld (uopptjent inntekt) per 31.12.20x1. Året etter,</t>
  </si>
  <si>
    <t>altså i 20x2, når første service blir gjennomført, debiterer vi denne gjeldsposten med</t>
  </si>
  <si>
    <t>kr 5 000 samtidig som vi krediterer en inntektskonto. Dermed reduserer vi gjelden</t>
  </si>
  <si>
    <t>til kr 10 000 per 31.12.20x2.</t>
  </si>
  <si>
    <t>30.9.</t>
  </si>
  <si>
    <t>i 20x1. Rent regnskapsteknisk kan bokføringen av fakturaen i 20x1 skje slik:</t>
  </si>
  <si>
    <t>Oppgave 3.3</t>
  </si>
  <si>
    <t>20x1</t>
  </si>
  <si>
    <t>Petter</t>
  </si>
  <si>
    <t>Bruttofortjeneste</t>
  </si>
  <si>
    <t>Lukas</t>
  </si>
  <si>
    <t>Innkjøp: 100 à kr 300 =</t>
  </si>
  <si>
    <t>Varekostnad</t>
  </si>
  <si>
    <t>UB: 40 à kr 300 =</t>
  </si>
  <si>
    <t>Salgsinntekter: 60 à kr 750 =</t>
  </si>
  <si>
    <t>Innkjøp: 25 à kr 500 =</t>
  </si>
  <si>
    <t>UB: 25 à kr 500 =</t>
  </si>
  <si>
    <t>20x2</t>
  </si>
  <si>
    <t>IB: 40 à kr 300 =</t>
  </si>
  <si>
    <t>+</t>
  </si>
  <si>
    <t>Kjøp</t>
  </si>
  <si>
    <t>UB: 15 à kr 300 =</t>
  </si>
  <si>
    <t>Salgsinntekter: 25 à 750 =</t>
  </si>
  <si>
    <t>IB: 25 à kr 500 =</t>
  </si>
  <si>
    <t>Kjøp: 35 à kr 500 =</t>
  </si>
  <si>
    <t>UB: 10 à kr 500 =</t>
  </si>
  <si>
    <t>Salgsinntekter: 50 à kr 950 =</t>
  </si>
  <si>
    <t>Av dressen Petter har vi kjøpt 100 og solgt 60. Dermed blir varekostnaden</t>
  </si>
  <si>
    <t>60 enheter à kr 300 = 18 000. Av dressen Lukas har vi ikke solgt noen dresser.</t>
  </si>
  <si>
    <t>Da blir kostnaden 0</t>
  </si>
  <si>
    <t>Oppgave 3.4</t>
  </si>
  <si>
    <t>Husleieinntekt</t>
  </si>
  <si>
    <r>
      <t xml:space="preserve">Husleieinntekt: 120 000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</rPr>
      <t>⅓</t>
    </r>
    <r>
      <rPr>
        <sz val="12"/>
        <color theme="1"/>
        <rFont val="Times New Roman"/>
        <family val="1"/>
      </rPr>
      <t xml:space="preserve"> =</t>
    </r>
  </si>
  <si>
    <r>
      <t xml:space="preserve">Forsikring: 80 000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</rPr>
      <t>¾</t>
    </r>
    <r>
      <rPr>
        <sz val="12"/>
        <color theme="1"/>
        <rFont val="Times New Roman"/>
        <family val="1"/>
      </rPr>
      <t xml:space="preserve"> =</t>
    </r>
  </si>
  <si>
    <t>Renter</t>
  </si>
  <si>
    <t>Andel</t>
  </si>
  <si>
    <t>Lønn</t>
  </si>
  <si>
    <t>Forsikring</t>
  </si>
  <si>
    <t>Betalt forsikring gjelder fra og med oktober til og med januar neste år,</t>
  </si>
  <si>
    <t>Depositum</t>
  </si>
  <si>
    <t>For Herdis Eiendom AS skal mottatt despositum på kr 30 000 føres</t>
  </si>
  <si>
    <t>som gjeld i regnskapet. Beløpet skal hverken inntekts- eller kostnadsføres.</t>
  </si>
  <si>
    <t>Oppgave 3.5</t>
  </si>
  <si>
    <t>a)</t>
  </si>
  <si>
    <t>Inntekter i desember: 400 timer à kr 250 =</t>
  </si>
  <si>
    <t xml:space="preserve">Kostnader: 100 à kr 180 + 100 à kr 240 + </t>
  </si>
  <si>
    <t>100 à kr 230 + 100 à kr 210 =</t>
  </si>
  <si>
    <t>b)</t>
  </si>
  <si>
    <t>Når vi skal beregne resultatet for en periode, starter vi med inntektene.</t>
  </si>
  <si>
    <t xml:space="preserve">Spenning AS har levert 400 timer i desember à kr 250 og har altså </t>
  </si>
  <si>
    <t>ifølge opptjeningsprinsippet inntekter på kr 100 000. Fakturerings-</t>
  </si>
  <si>
    <t>tidspunktet har altså ingen betydning for inntektsfastsettelsen.</t>
  </si>
  <si>
    <t>Når inntektene er fastsatt, må vi i henhold til sammenstillingsprinsippet</t>
  </si>
  <si>
    <t>finne hvor mye kostnader er medgått for å generere disse inntektene.</t>
  </si>
  <si>
    <t>I dette tilfellet blir kostnadene kr 86 000.</t>
  </si>
  <si>
    <t>Oppgave 3.6</t>
  </si>
  <si>
    <t>Uhellet skjedde i 20x1. Når vi avlegger regnskap for 20x1 i april 20x2,</t>
  </si>
  <si>
    <t>må vi derfor sette av alle kostnadene som vi mener vil påløpe i forbindelse</t>
  </si>
  <si>
    <t>med uhellet.</t>
  </si>
  <si>
    <t>Verkstedregningen på kr 40 000 og regningen fra brannvesenet på kr 5 000</t>
  </si>
  <si>
    <t xml:space="preserve">må kostnadsføres. I tillegg må det mest sannsynlige beløpet (beste estimat) </t>
  </si>
  <si>
    <t>for resten av kostnadene avsettes. Ut fra opplysningene avsetter vi</t>
  </si>
  <si>
    <t>kr 200 000, som er regningen transportselskapet har sendt.</t>
  </si>
  <si>
    <t>Oppgave 3.7</t>
  </si>
  <si>
    <t>Ifølge rskl. § 5-2 skal omløpsmidler vurderes til laveste av anskaffelseskost</t>
  </si>
  <si>
    <t>Forsiktighetsprinsippet er et viktig prinsipp i norsk regnskap. Det innebærer at</t>
  </si>
  <si>
    <t>verdifall skal resultatføres umiddelbart, når virkelig verdi er lavere enn historisk kost.</t>
  </si>
  <si>
    <t>Ifølge rskl. § 5-13 skal kortsiktig gjeld vurderes tilsvarende rskl. § 5-2. Kortsiktig gjeld</t>
  </si>
  <si>
    <t>skal i tråd med forsiktighetsprinsippet vurderes til det høyeste beløpet av lånesummen</t>
  </si>
  <si>
    <t>og det beløpet vi forventer å måtte betale.</t>
  </si>
  <si>
    <t>c)</t>
  </si>
  <si>
    <t>Den generelle vurderingsregelen bygger (som sagt ovenfor) på forsiktighetsprinsippet,</t>
  </si>
  <si>
    <t>jf. rskl. § 4-1 nr. 4. Urealisert tap skal kostnadsføres.</t>
  </si>
  <si>
    <t>Oppgave 3.8</t>
  </si>
  <si>
    <t>Kundefordringer, aksjer og kassekredittgjeld er finansielle instrumenter.</t>
  </si>
  <si>
    <t>Kundefordringer blir gjort opp ved at kundene gjør opp ved å betale sin gjeld.</t>
  </si>
  <si>
    <t>Aksjer gir oss innbetalinger ved at det utbetales utbytte eller ved at aksjene blir solgt.</t>
  </si>
  <si>
    <t>Kassekredittgjeld må vi gjøre opp ved en utbetaling.</t>
  </si>
  <si>
    <t>(Se NRS (F) Finansielle eiendeler og forpliktelser.)</t>
  </si>
  <si>
    <t>Varelager og goodwill er ikke definert som et finansielt instrument.</t>
  </si>
  <si>
    <t>Oppgave 3.9</t>
  </si>
  <si>
    <t>Kjøpesum</t>
  </si>
  <si>
    <t>Omregistreringsavgift</t>
  </si>
  <si>
    <t>Tilhengerfeste</t>
  </si>
  <si>
    <t>Anskaffelseskost</t>
  </si>
  <si>
    <t>Årlig avskrivning: (166 000 – 25 000) : 5 =</t>
  </si>
  <si>
    <r>
      <t xml:space="preserve">Avskrivning i 20x1: 28 200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8/12 =</t>
    </r>
  </si>
  <si>
    <t>Oppgave 3.10</t>
  </si>
  <si>
    <r>
      <t xml:space="preserve">Anskaffelseskost: 490 000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100/125 =</t>
    </r>
  </si>
  <si>
    <t>Årlig avskrivning: 392 000 : 10 =</t>
  </si>
  <si>
    <t>Oppgave 3.11</t>
  </si>
  <si>
    <t>Årlig avskrivning: (276 000 – 60 000) : 6 =</t>
  </si>
  <si>
    <r>
      <t xml:space="preserve">Avskrivning i 20x1: 36 000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8/12 =</t>
    </r>
  </si>
  <si>
    <t>År</t>
  </si>
  <si>
    <t>20x3</t>
  </si>
  <si>
    <t>20x4</t>
  </si>
  <si>
    <t>20x5</t>
  </si>
  <si>
    <t>20x6</t>
  </si>
  <si>
    <t>20x7</t>
  </si>
  <si>
    <t>Avskrivning</t>
  </si>
  <si>
    <t>31.12.</t>
  </si>
  <si>
    <t xml:space="preserve">R-verdi </t>
  </si>
  <si>
    <t>Det forutsettes at bilen skiftes ut 30. april 20x7, altså etter nøyaktig seks år.</t>
  </si>
  <si>
    <t>Oppgave 3.12</t>
  </si>
  <si>
    <r>
      <t xml:space="preserve">Årlig avskrivning for maskinen: 200 000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0,2 =</t>
    </r>
  </si>
  <si>
    <t>Anskaffelsesverdi</t>
  </si>
  <si>
    <t>Avskrivning i 20x1</t>
  </si>
  <si>
    <t>Regnskapsmessig verdi 31.12.20x1</t>
  </si>
  <si>
    <t>Ny komponent tilkoblet i begynnelsen av september 20x2. Da er maskinen brukt i 12 + 8 = 20</t>
  </si>
  <si>
    <t>måneder. Gjenværende levetid er 60 – 20 = 40 måneder. Da må den nye komponenten</t>
  </si>
  <si>
    <t>Avskrivning maskin i 20x2</t>
  </si>
  <si>
    <t>Avskrivning ny komponent i 20x2:</t>
  </si>
  <si>
    <t>Regnskapsmessig verdi 31.12.20x2</t>
  </si>
  <si>
    <t>Ny komponent</t>
  </si>
  <si>
    <t>avskrives over 40 måneder. Avskrivning pr. måned: 50 000 : 40 = 1 250.</t>
  </si>
  <si>
    <t>4 måneder à 1 250 =</t>
  </si>
  <si>
    <t>Oppgave 3.13</t>
  </si>
  <si>
    <t>Årlig avskrivning: (3 500 000 – 500 000) : 5 =</t>
  </si>
  <si>
    <r>
      <t xml:space="preserve">Avskrivning år 1: 600 000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</rPr>
      <t>½</t>
    </r>
    <r>
      <rPr>
        <sz val="12"/>
        <color theme="1"/>
        <rFont val="Times New Roman"/>
        <family val="1"/>
      </rPr>
      <t xml:space="preserve"> =</t>
    </r>
  </si>
  <si>
    <t>avskrivningen.</t>
  </si>
  <si>
    <t xml:space="preserve">Vedlikeholdskostnader og reparasjoner påvirker ikke avskrivningsgrunnlaget og derfor heller ikke </t>
  </si>
  <si>
    <t>R-verdi</t>
  </si>
  <si>
    <t>Påkostning i oktober i år 3 vil påvirke avskrivnings-</t>
  </si>
  <si>
    <t>grunnlag og derfor avskrivningen fra og med år 3.</t>
  </si>
  <si>
    <t xml:space="preserve">Gjenværende levetid i slutten av oktober år 3 </t>
  </si>
  <si>
    <t>Avskrivning år 3:</t>
  </si>
  <si>
    <t>Avskrivning av opprinnelig kostpris</t>
  </si>
  <si>
    <t>Sum</t>
  </si>
  <si>
    <t>Årlig avskrivning år 4 og 5</t>
  </si>
  <si>
    <t>Avskrivning opprinnelig kostpris</t>
  </si>
  <si>
    <t>Bokført verdi 31.12. år 2</t>
  </si>
  <si>
    <t>Påkostning år 3</t>
  </si>
  <si>
    <t>Avskrivning år 3</t>
  </si>
  <si>
    <t>Bokført verdi 31.12. år 3</t>
  </si>
  <si>
    <t>Avskrivning pr. måned: 800 000 : 32 =</t>
  </si>
  <si>
    <r>
      <t xml:space="preserve">Avskrivning påkostning: 25 000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2 =</t>
    </r>
  </si>
  <si>
    <r>
      <t xml:space="preserve">Avskrivning påkostning: 25 000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12 =</t>
    </r>
  </si>
  <si>
    <t>Avskrivning år 6 fram til og med juni år 6: 900 000 : 2 =</t>
  </si>
  <si>
    <t>Vi forutsetter at driftsmidlet skiftes ut i slutten av juni i år 6.</t>
  </si>
  <si>
    <t>Oppgave 3.14</t>
  </si>
  <si>
    <t>Årlige avskrivninger:</t>
  </si>
  <si>
    <t>Mekanisk komponent: 8 000 000 : 10 =</t>
  </si>
  <si>
    <t>Elektronisk komponent: 2 500 000 : 5 =</t>
  </si>
  <si>
    <t>Regnskapsmessig (bokført) verdi 31.12.20x3</t>
  </si>
  <si>
    <r>
      <t xml:space="preserve">Mekanisk komponent: 8 000 000 – 800 000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3 =</t>
    </r>
  </si>
  <si>
    <r>
      <t xml:space="preserve">Elektronisk komponent: 2 500 000 – 500 000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3 =</t>
    </r>
  </si>
  <si>
    <t>Bokført verdi ved utskiftning: 1 000 000 – 250 000 = 750 000</t>
  </si>
  <si>
    <r>
      <t xml:space="preserve">Avskrivning elektronisk komponent 1.1.x4 - 30.6.x4 = 500 000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</rPr>
      <t>½</t>
    </r>
    <r>
      <rPr>
        <sz val="12"/>
        <color theme="1"/>
        <rFont val="Times New Roman"/>
        <family val="1"/>
      </rPr>
      <t xml:space="preserve"> = 250 000</t>
    </r>
  </si>
  <si>
    <t>Vi må føre denne verdien, altså 750 000, som tap i resultatregnskapet for 20x4</t>
  </si>
  <si>
    <t>Årlig avskrivning ny komponent: 3 900 000 : 6,5 =</t>
  </si>
  <si>
    <r>
      <t xml:space="preserve">Avskrivning ny komponent i 20x4: 600 000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</rPr>
      <t>½</t>
    </r>
    <r>
      <rPr>
        <sz val="12"/>
        <color theme="1"/>
        <rFont val="Times New Roman"/>
        <family val="1"/>
      </rPr>
      <t xml:space="preserve"> =</t>
    </r>
  </si>
  <si>
    <t>(avskrivning gjelder perioden 1.7.x4 - 31.12.x4)</t>
  </si>
  <si>
    <t>Vi får følgende kostnader i resultatregnskapet for 20x4:</t>
  </si>
  <si>
    <t>Avskrivning mekanisk komponent</t>
  </si>
  <si>
    <t>Tap ved utskiftning av gammel elektronisk komponent</t>
  </si>
  <si>
    <t>Resultatmessige konsekvenser i 20x4</t>
  </si>
  <si>
    <t>Balanse per 31.12.20x4</t>
  </si>
  <si>
    <t>Mekanisk komponent: 5 600 000 – 800 000 =</t>
  </si>
  <si>
    <t>Ny elektronisk komponent: 3 900 000 – 300 000 =</t>
  </si>
  <si>
    <t>Balanseført verdi 31.12.20x4</t>
  </si>
  <si>
    <t>Oppgave 3.15</t>
  </si>
  <si>
    <t>Avskrivning i år 1: 20 000 000 : 20 =</t>
  </si>
  <si>
    <t>Avskrivning år 1 - 4</t>
  </si>
  <si>
    <t>Bokført verdi 31.12. år 4</t>
  </si>
  <si>
    <t>Avskrivning år 5</t>
  </si>
  <si>
    <t>Nedskrivning år 5</t>
  </si>
  <si>
    <t>Bokført verdi 31.12. år 5</t>
  </si>
  <si>
    <t>Gjenværende levetid: 15 år</t>
  </si>
  <si>
    <t>Årlig avskrivning fra og med år 6: 10 500 000 : 15 =</t>
  </si>
  <si>
    <t>Bokført verdi 1.1. år 6</t>
  </si>
  <si>
    <t>Avskrivning for årene 6 - 10:</t>
  </si>
  <si>
    <t>Bokført verdi 31.12. år 10</t>
  </si>
  <si>
    <t>verdien) må ikke overstige den verdien eiendommen ville hatt dersom vi ikke hadde</t>
  </si>
  <si>
    <t>foretatt nedskrivning i år 5.</t>
  </si>
  <si>
    <t>"Normal avskrivning" i ti år</t>
  </si>
  <si>
    <t>Øvre grense for balanseføring</t>
  </si>
  <si>
    <t>Bokført verdi ved inngangen til år 10</t>
  </si>
  <si>
    <t xml:space="preserve"> (verdien før avskrivning i år 10)</t>
  </si>
  <si>
    <t>Avskrivning i år 10</t>
  </si>
  <si>
    <t>Reversering av nedskrivning</t>
  </si>
  <si>
    <t>Vi må foreta reversering av nedskrivningen i år 10. Men balanseverdien (den bokførte</t>
  </si>
  <si>
    <t>d)</t>
  </si>
  <si>
    <t>Oppgave 3.16</t>
  </si>
  <si>
    <t>Bokført verdi 31.12. år 4 før nedskrivning</t>
  </si>
  <si>
    <t>Nedskrivning år 4</t>
  </si>
  <si>
    <t>Balanseverdi 31.12. år 4</t>
  </si>
  <si>
    <t>Balanseverdi 1.1. år 5</t>
  </si>
  <si>
    <t>Balanseverdi 31.12. år 6 før reversering</t>
  </si>
  <si>
    <t>Anleggsmidler skal nedskrives til virkelig verdi ved verdifall som ikke forventes å</t>
  </si>
  <si>
    <t>være forbigående, jf. rskl. § 5-3 tredje ledd. Nedskrivningen på kr 4 500 000 vil i dette</t>
  </si>
  <si>
    <t>tilfellet anses som en driftskostnad.</t>
  </si>
  <si>
    <t>Reversering: 21 250 000 – 17 000 000 =</t>
  </si>
  <si>
    <t>Bokført verdi 31.12. år 6 etter reversering</t>
  </si>
  <si>
    <t>Virkning på driftsresultatet:</t>
  </si>
  <si>
    <t>Avskrivning år 4</t>
  </si>
  <si>
    <t>Nedskrivning</t>
  </si>
  <si>
    <t>Redusert driftsresultat år 4</t>
  </si>
  <si>
    <t>Gjenværende levetid 31.12. år 4 er 36 år</t>
  </si>
  <si>
    <t>Årlig avskrivning fra og med år 5: 18 000 000 : 36 =</t>
  </si>
  <si>
    <t>Avskrivning år 5 og 6: 2 år à 500 000 =</t>
  </si>
  <si>
    <t>Avskrivning år 6</t>
  </si>
  <si>
    <t>Reversering (inntektsføring)</t>
  </si>
  <si>
    <t>Netto økning driftsresultat år 6</t>
  </si>
  <si>
    <r>
      <t xml:space="preserve">Avskrivning årene 1 til 6 etter normal avskrivningsplan: 625 000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6 =</t>
    </r>
  </si>
  <si>
    <t xml:space="preserve">Balanseverdi 31.12. år 6 etter normal avskrivningsplan. </t>
  </si>
  <si>
    <t>Oppgave 3.17</t>
  </si>
  <si>
    <t>Ifølge rskl. § 5-3 tredje ledd må selskapet foreta nedskrivning til virkelig verdi</t>
  </si>
  <si>
    <t>dersom verdinedgangen er av varig karakter.</t>
  </si>
  <si>
    <t>Nåverdien er beregnet til kr 5 600 000</t>
  </si>
  <si>
    <t>Markedsverdien er kr 3 000 000</t>
  </si>
  <si>
    <t>Gjenvinnbart beløp er den høyeste av disse verdiene, altså kr 5 600 000.</t>
  </si>
  <si>
    <t>Virkelig verdi</t>
  </si>
  <si>
    <t>Gjenværende levetid: 7 år</t>
  </si>
  <si>
    <t>Årlig avskrivning fra og med 20x4: 5 600 000 : 7 =</t>
  </si>
  <si>
    <t xml:space="preserve">Balanseverdi 31.12.20x3 (før nedskrivning) </t>
  </si>
  <si>
    <t>Maskinen avskrives med kr 800 000 i år 20x4 og 20x5. Til sammen kr 1 600 000.</t>
  </si>
  <si>
    <t>Balanseverdi 31.12.20x3 etter nedskrivning</t>
  </si>
  <si>
    <t>Avskrivning i 20x4 og 20x5</t>
  </si>
  <si>
    <t>Bokført verdi før reversering</t>
  </si>
  <si>
    <t>Så går vi tilbake til utgangspunktet 31.12.20x3 før nedskrivning.</t>
  </si>
  <si>
    <t>Bokført verdi 31.12.20x3</t>
  </si>
  <si>
    <t>Bokført verdi 31.12.20x5 dersom vi ikke hadde nedskrevet</t>
  </si>
  <si>
    <t>Kr 5 000 000 representerer øvre grense for balanseverdien per 31.12.20x5</t>
  </si>
  <si>
    <t>Dermed reverserer vi kr (5 000 000 – 4 000 000) = 1 000 000</t>
  </si>
  <si>
    <t>Resultatregnskap for</t>
  </si>
  <si>
    <t>Reversering (inntekt)</t>
  </si>
  <si>
    <t>Reverseringen er ført med minus fortegn fordi den vil redusere de samlede driftskostnadene.</t>
  </si>
  <si>
    <t>Balanse 31.12.</t>
  </si>
  <si>
    <t>Maskin</t>
  </si>
  <si>
    <t>Balanseverdien 31.12.20x4 er beregnet slik: kr 5 600 000 – avskrivning på kr 800 000 =</t>
  </si>
  <si>
    <t xml:space="preserve">kr 4 800 000. Så øker verdien med kr 1 000 000 i 20x5 på grunn av reverseringen.  </t>
  </si>
  <si>
    <t>Avskrivningen utgjør kr 800 000, og denne reduserer balanseverdien. Netto</t>
  </si>
  <si>
    <t>blir dette en økning på kr 200 000 fra 20x4.</t>
  </si>
  <si>
    <t>Saldobalanse</t>
  </si>
  <si>
    <t>Posteringer</t>
  </si>
  <si>
    <t>Resultat</t>
  </si>
  <si>
    <t>Balanse</t>
  </si>
  <si>
    <t>D</t>
  </si>
  <si>
    <t>K</t>
  </si>
  <si>
    <t>Salgsinntekter</t>
  </si>
  <si>
    <t>i alt 4 måneder. Da gjelder tre måneder regnskapsåret 20x1.</t>
  </si>
  <si>
    <t>Hele beløpet gjelder 20x1.</t>
  </si>
  <si>
    <t>Dermed skal kr 40 000 inntektsføres i 20x1.</t>
  </si>
  <si>
    <t>Oppgave 3.2</t>
  </si>
  <si>
    <r>
      <t>NRS (V) Regnskapsføring av inntekt</t>
    </r>
    <r>
      <rPr>
        <sz val="12"/>
        <color theme="1"/>
        <rFont val="Times New Roman"/>
        <family val="1"/>
      </rPr>
      <t xml:space="preserve"> gir veiledning om at opptjeningsprinsippet</t>
    </r>
  </si>
  <si>
    <t>på tjenester ofte kan operasjonaliseres ved at vi svarer på spørsmålet "Når er</t>
  </si>
  <si>
    <t>kunden pliktig til å betale for tjenesten?"</t>
  </si>
  <si>
    <t>Peder AS er først pliktig til å betale for programmet tre måneder etter tidspunktet</t>
  </si>
  <si>
    <t>for godkjent installasjon. SW AS må derfor vente med inntektsføringen til</t>
  </si>
  <si>
    <t>returperioden er utløpt.</t>
  </si>
  <si>
    <t>Innbetalt husleie for tre måneder. Vi tar bare med leien for desember.</t>
  </si>
  <si>
    <r>
      <t xml:space="preserve">Tilhengerfeste ekskl. merverdiavgift: 10 000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100/125 =</t>
    </r>
  </si>
  <si>
    <t xml:space="preserve"> det vil si halv avskrivning det første året.</t>
  </si>
  <si>
    <t>er 2 år og 8 måneder – eller 32 måneder.</t>
  </si>
  <si>
    <t>Årlig avskrivning: 25 000 000 : 40 =</t>
  </si>
  <si>
    <r>
      <t xml:space="preserve">Avskr. 20x4 og 20x5 etter opprinnelig plan: 1 000 000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2 =</t>
    </r>
  </si>
  <si>
    <t>Oppgave 3.18</t>
  </si>
  <si>
    <t>Aktiverte kostnader</t>
  </si>
  <si>
    <t>Avskrivninger</t>
  </si>
  <si>
    <t>Andre kostnader</t>
  </si>
  <si>
    <r>
      <t xml:space="preserve">Vi krediterer konto </t>
    </r>
    <r>
      <rPr>
        <i/>
        <sz val="12"/>
        <color theme="1"/>
        <rFont val="Times New Roman"/>
        <family val="1"/>
      </rPr>
      <t>5000 Lønn</t>
    </r>
    <r>
      <rPr>
        <sz val="12"/>
        <color theme="1"/>
        <rFont val="Times New Roman"/>
        <family val="1"/>
      </rPr>
      <t xml:space="preserve"> med kr 800 000 og </t>
    </r>
    <r>
      <rPr>
        <i/>
        <sz val="12"/>
        <color theme="1"/>
        <rFont val="Times New Roman"/>
        <family val="1"/>
      </rPr>
      <t>Andre kostnader</t>
    </r>
    <r>
      <rPr>
        <sz val="12"/>
        <color theme="1"/>
        <rFont val="Times New Roman"/>
        <family val="1"/>
      </rPr>
      <t xml:space="preserve"> med kr 200 000. Så debiterer vi konto</t>
    </r>
  </si>
  <si>
    <r>
      <rPr>
        <i/>
        <sz val="12"/>
        <color theme="1"/>
        <rFont val="Times New Roman"/>
        <family val="1"/>
      </rPr>
      <t>1000 Aktiverte kostnader</t>
    </r>
    <r>
      <rPr>
        <sz val="12"/>
        <color theme="1"/>
        <rFont val="Times New Roman"/>
        <family val="1"/>
      </rPr>
      <t xml:space="preserve"> med kr 1 000 000.</t>
    </r>
  </si>
  <si>
    <t>Årlig avskrivning av aktiverte kostnader: 1 500 000 : 5 = 300 000</t>
  </si>
  <si>
    <t>Avskrivning i år: 300 000 : 2 = 150 000</t>
  </si>
  <si>
    <t>Oppgave 3.19</t>
  </si>
  <si>
    <t>Speilrefleks 4300</t>
  </si>
  <si>
    <t>Vi avskriver ordinært i 20x2 med 5 000.</t>
  </si>
  <si>
    <t>Speilrefleks 4400</t>
  </si>
  <si>
    <t>Speilrefleks 4400 har ikke kommet så langt i utviklingen at kravet for å balanseføre påløpte utgifter er oppfylt.</t>
  </si>
  <si>
    <t>Det er foreløpig knyttet for stor usikkerhet til dette prosjektet.</t>
  </si>
  <si>
    <t>Kompakt 2700</t>
  </si>
  <si>
    <t>Kostnader til Kompakt 2700 er tidligere år aktivert, og kostnadene i 20x2 kan også aktiveres ut fra</t>
  </si>
  <si>
    <t>opplysningene vi får i oppgaven. Balanseført verdi blir dermed 7 500 + 2 000 + 4 100 = 13 600.</t>
  </si>
  <si>
    <t>Prosjektet avskrives ikke før det er ferdig og har begynt å generere inntekter, jf. sammenstillingsprinsippet,</t>
  </si>
  <si>
    <t>rskl. § 4-1 nr. 3.</t>
  </si>
  <si>
    <t>Regnskapet for 20x2</t>
  </si>
  <si>
    <t>Speilrefleks</t>
  </si>
  <si>
    <t>Speilefleks</t>
  </si>
  <si>
    <t>Kompakt</t>
  </si>
  <si>
    <t>Lønnskostnader</t>
  </si>
  <si>
    <t>Andre direkte kostnader</t>
  </si>
  <si>
    <t>Balanseførte utviklingskostnader</t>
  </si>
  <si>
    <t>Oppgave 3.20</t>
  </si>
  <si>
    <t>Virkelig verdi ved kjøpet:</t>
  </si>
  <si>
    <t>Aktiverte utviklingskostnader</t>
  </si>
  <si>
    <t>Bygning</t>
  </si>
  <si>
    <t>Varer</t>
  </si>
  <si>
    <t>Diverse omløpsmidler</t>
  </si>
  <si>
    <t>Virkelig verdi eiendeler</t>
  </si>
  <si>
    <t>Gjeld</t>
  </si>
  <si>
    <t>Substansverdi egenkapital</t>
  </si>
  <si>
    <t>Kjøpesum utover bokført gjeld</t>
  </si>
  <si>
    <t>Goodwill</t>
  </si>
  <si>
    <t>Balanse ny eier</t>
  </si>
  <si>
    <t>Sum eiendeler</t>
  </si>
  <si>
    <t>Egenkapital</t>
  </si>
  <si>
    <t>Sum egenkapital og gjeld</t>
  </si>
  <si>
    <t>Vi må avskrive goodwill i seks måneder. Årlig avskrivning: 250 000 : 5 = 50 000.</t>
  </si>
  <si>
    <t>Avskrivning i 20x1: 50 000 : 2 = 25 000. Dermed blir goodwill ført opp i balansen 31.12.20x1 med kr 225 000.</t>
  </si>
  <si>
    <t>Avskrivning ny elektronisk komponent</t>
  </si>
  <si>
    <t>Avskrivning utskiftet elektronisk komponent</t>
  </si>
  <si>
    <t>Selve betalingen er ikke vist i løsningen. Den skjer ved at vi debiterer en bankkonto</t>
  </si>
  <si>
    <r>
      <t xml:space="preserve">for kr 300 000 samtidig som vi krediterer konto </t>
    </r>
    <r>
      <rPr>
        <i/>
        <sz val="12"/>
        <color theme="1"/>
        <rFont val="Times New Roman"/>
        <family val="1"/>
      </rPr>
      <t>1500 Kundefordringer</t>
    </r>
    <r>
      <rPr>
        <sz val="12"/>
        <color theme="1"/>
        <rFont val="Times New Roman"/>
        <family val="1"/>
      </rPr>
      <t>.</t>
    </r>
  </si>
  <si>
    <t>Inntektsføring skjer når Peder AS mottar lisenskode og laster ned programmet.</t>
  </si>
  <si>
    <t>Da har firmaet ikke lenger returrett.</t>
  </si>
  <si>
    <r>
      <t xml:space="preserve">Først må vi beregne varekostnaden som tilsvarer kostnadene for de </t>
    </r>
    <r>
      <rPr>
        <i/>
        <sz val="12"/>
        <color theme="1"/>
        <rFont val="Times New Roman"/>
        <family val="1"/>
      </rPr>
      <t>solgte varene</t>
    </r>
    <r>
      <rPr>
        <sz val="12"/>
        <color theme="1"/>
        <rFont val="Times New Roman"/>
        <family val="1"/>
      </rPr>
      <t>.</t>
    </r>
  </si>
  <si>
    <r>
      <t>og virkelig verdi. Vi bruker betegnelsen</t>
    </r>
    <r>
      <rPr>
        <i/>
        <sz val="12"/>
        <color theme="1"/>
        <rFont val="Times New Roman"/>
        <family val="1"/>
      </rPr>
      <t xml:space="preserve"> laveste verdis prinsipp.</t>
    </r>
  </si>
  <si>
    <t>(halv avskrivning i år 6)</t>
  </si>
  <si>
    <t>5 år à 700 000</t>
  </si>
  <si>
    <r>
      <t xml:space="preserve">Total avskrivning år 1 - 4: 625 000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4 =</t>
    </r>
  </si>
  <si>
    <t>Forutsetning: Alle beløp er ekskl. merverdiavgift</t>
  </si>
  <si>
    <t>Avskrivningen på kr 700 000 vil redusere driftsresultatet, mens reverseringen</t>
  </si>
  <si>
    <t>på kr 3 000 000 vil øke driftsresultatet i år 10. Netto positiv virkning: kr 2 300 000.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</si>
</sst>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name val="Arial"/>
      <family val="2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7" fillId="0" borderId="0"/>
    <xf numFmtId="0" fontId="8" fillId="3" borderId="0" applyNumberFormat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quotePrefix="1" applyFont="1" applyAlignment="1">
      <alignment horizontal="right"/>
    </xf>
    <xf numFmtId="3" fontId="1" fillId="0" borderId="0" xfId="0" applyNumberFormat="1" applyFont="1"/>
    <xf numFmtId="3" fontId="1" fillId="0" borderId="1" xfId="0" applyNumberFormat="1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3" fontId="1" fillId="0" borderId="10" xfId="0" applyNumberFormat="1" applyFont="1" applyBorder="1"/>
    <xf numFmtId="3" fontId="1" fillId="2" borderId="10" xfId="0" applyNumberFormat="1" applyFont="1" applyFill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3" fontId="1" fillId="0" borderId="13" xfId="0" applyNumberFormat="1" applyFont="1" applyBorder="1"/>
    <xf numFmtId="3" fontId="1" fillId="2" borderId="13" xfId="0" applyNumberFormat="1" applyFont="1" applyFill="1" applyBorder="1"/>
    <xf numFmtId="0" fontId="1" fillId="0" borderId="10" xfId="0" quotePrefix="1" applyFont="1" applyBorder="1"/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5" fillId="0" borderId="0" xfId="0" applyFont="1"/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2" xfId="0" applyNumberFormat="1" applyFont="1" applyBorder="1"/>
    <xf numFmtId="3" fontId="1" fillId="0" borderId="5" xfId="0" applyNumberFormat="1" applyFont="1" applyBorder="1" applyAlignment="1">
      <alignment horizontal="center"/>
    </xf>
    <xf numFmtId="3" fontId="1" fillId="0" borderId="7" xfId="0" quotePrefix="1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2" xfId="0" applyNumberFormat="1" applyFont="1" applyBorder="1"/>
    <xf numFmtId="0" fontId="1" fillId="0" borderId="16" xfId="0" applyFont="1" applyBorder="1" applyAlignment="1">
      <alignment horizontal="center"/>
    </xf>
    <xf numFmtId="3" fontId="1" fillId="0" borderId="17" xfId="0" applyNumberFormat="1" applyFont="1" applyBorder="1"/>
    <xf numFmtId="3" fontId="1" fillId="0" borderId="18" xfId="0" applyNumberFormat="1" applyFont="1" applyBorder="1"/>
    <xf numFmtId="0" fontId="1" fillId="0" borderId="14" xfId="0" applyFont="1" applyBorder="1" applyAlignment="1">
      <alignment horizontal="center"/>
    </xf>
    <xf numFmtId="3" fontId="1" fillId="0" borderId="15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2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0" xfId="0" quotePrefix="1" applyNumberFormat="1" applyFont="1" applyAlignment="1">
      <alignment horizontal="right"/>
    </xf>
    <xf numFmtId="3" fontId="1" fillId="0" borderId="0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Fill="1"/>
    <xf numFmtId="0" fontId="6" fillId="0" borderId="0" xfId="0" applyFont="1"/>
    <xf numFmtId="0" fontId="1" fillId="0" borderId="1" xfId="0" applyFont="1" applyBorder="1"/>
    <xf numFmtId="0" fontId="1" fillId="0" borderId="2" xfId="0" applyFont="1" applyBorder="1"/>
    <xf numFmtId="3" fontId="1" fillId="0" borderId="0" xfId="0" applyNumberFormat="1" applyFont="1" applyAlignment="1">
      <alignment horizontal="left" indent="2"/>
    </xf>
    <xf numFmtId="0" fontId="1" fillId="0" borderId="0" xfId="0" applyFont="1" applyBorder="1"/>
    <xf numFmtId="3" fontId="1" fillId="0" borderId="24" xfId="0" applyNumberFormat="1" applyFont="1" applyBorder="1"/>
    <xf numFmtId="0" fontId="1" fillId="0" borderId="0" xfId="0" applyFont="1"/>
    <xf numFmtId="0" fontId="2" fillId="0" borderId="0" xfId="0" applyFont="1"/>
    <xf numFmtId="3" fontId="1" fillId="0" borderId="22" xfId="0" applyNumberFormat="1" applyFont="1" applyBorder="1"/>
    <xf numFmtId="0" fontId="1" fillId="0" borderId="20" xfId="0" applyFont="1" applyBorder="1"/>
    <xf numFmtId="3" fontId="1" fillId="0" borderId="21" xfId="0" applyNumberFormat="1" applyFont="1" applyBorder="1"/>
    <xf numFmtId="3" fontId="1" fillId="0" borderId="19" xfId="0" applyNumberFormat="1" applyFont="1" applyBorder="1"/>
    <xf numFmtId="3" fontId="1" fillId="0" borderId="7" xfId="0" applyNumberFormat="1" applyFont="1" applyBorder="1"/>
    <xf numFmtId="0" fontId="1" fillId="0" borderId="4" xfId="0" applyFont="1" applyBorder="1"/>
    <xf numFmtId="0" fontId="1" fillId="0" borderId="23" xfId="0" applyFont="1" applyBorder="1"/>
    <xf numFmtId="3" fontId="1" fillId="0" borderId="4" xfId="0" applyNumberFormat="1" applyFont="1" applyBorder="1"/>
    <xf numFmtId="3" fontId="1" fillId="0" borderId="9" xfId="0" applyNumberFormat="1" applyFont="1" applyBorder="1"/>
    <xf numFmtId="0" fontId="8" fillId="0" borderId="0" xfId="2" applyFill="1"/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3" fontId="1" fillId="0" borderId="4" xfId="0" applyNumberFormat="1" applyFont="1" applyFill="1" applyBorder="1"/>
    <xf numFmtId="0" fontId="1" fillId="0" borderId="26" xfId="0" applyFont="1" applyBorder="1"/>
    <xf numFmtId="3" fontId="1" fillId="0" borderId="25" xfId="0" applyNumberFormat="1" applyFont="1" applyBorder="1"/>
    <xf numFmtId="3" fontId="1" fillId="2" borderId="27" xfId="0" applyNumberFormat="1" applyFont="1" applyFill="1" applyBorder="1"/>
    <xf numFmtId="3" fontId="1" fillId="0" borderId="27" xfId="0" applyNumberFormat="1" applyFont="1" applyBorder="1"/>
    <xf numFmtId="0" fontId="1" fillId="0" borderId="29" xfId="0" applyFont="1" applyBorder="1"/>
    <xf numFmtId="3" fontId="1" fillId="0" borderId="28" xfId="0" applyNumberFormat="1" applyFont="1" applyBorder="1"/>
    <xf numFmtId="3" fontId="1" fillId="2" borderId="30" xfId="0" applyNumberFormat="1" applyFont="1" applyFill="1" applyBorder="1"/>
    <xf numFmtId="3" fontId="1" fillId="0" borderId="30" xfId="0" applyNumberFormat="1" applyFont="1" applyBorder="1"/>
    <xf numFmtId="0" fontId="1" fillId="0" borderId="32" xfId="0" applyFont="1" applyBorder="1"/>
    <xf numFmtId="3" fontId="1" fillId="0" borderId="31" xfId="0" applyNumberFormat="1" applyFont="1" applyBorder="1"/>
    <xf numFmtId="3" fontId="1" fillId="2" borderId="33" xfId="0" applyNumberFormat="1" applyFont="1" applyFill="1" applyBorder="1"/>
    <xf numFmtId="3" fontId="1" fillId="0" borderId="33" xfId="0" applyNumberFormat="1" applyFont="1" applyBorder="1"/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8" xfId="0" applyFont="1" applyBorder="1"/>
    <xf numFmtId="3" fontId="1" fillId="0" borderId="29" xfId="0" applyNumberFormat="1" applyFont="1" applyBorder="1"/>
    <xf numFmtId="3" fontId="1" fillId="0" borderId="34" xfId="0" applyNumberFormat="1" applyFont="1" applyBorder="1"/>
    <xf numFmtId="0" fontId="1" fillId="0" borderId="0" xfId="0" applyFont="1" applyAlignment="1">
      <alignment horizontal="left" indent="2"/>
    </xf>
    <xf numFmtId="2" fontId="1" fillId="0" borderId="0" xfId="0" applyNumberFormat="1" applyFo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</cellXfs>
  <cellStyles count="3">
    <cellStyle name="God" xfId="2" builtinId="26"/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6"/>
  <sheetViews>
    <sheetView showGridLines="0" topLeftCell="A94" workbookViewId="0">
      <selection activeCell="N74" sqref="N74"/>
    </sheetView>
  </sheetViews>
  <sheetFormatPr baseColWidth="10" defaultColWidth="9.140625" defaultRowHeight="15.75" x14ac:dyDescent="0.25"/>
  <cols>
    <col min="1" max="1" width="5.7109375" style="1" customWidth="1"/>
    <col min="2" max="3" width="9.140625" style="1"/>
    <col min="4" max="4" width="9.140625" style="5"/>
    <col min="5" max="5" width="9.140625" style="1" customWidth="1"/>
    <col min="6" max="8" width="9.140625" style="1"/>
    <col min="9" max="9" width="9.140625" style="1" customWidth="1"/>
    <col min="10" max="16384" width="9.140625" style="1"/>
  </cols>
  <sheetData>
    <row r="1" spans="1:15" x14ac:dyDescent="0.25">
      <c r="A1" s="2" t="s">
        <v>0</v>
      </c>
    </row>
    <row r="3" spans="1:15" x14ac:dyDescent="0.25">
      <c r="A3" s="1" t="s">
        <v>1</v>
      </c>
    </row>
    <row r="4" spans="1:15" x14ac:dyDescent="0.25">
      <c r="A4" s="1" t="s">
        <v>2</v>
      </c>
    </row>
    <row r="5" spans="1:15" x14ac:dyDescent="0.25">
      <c r="A5" s="1" t="s">
        <v>3</v>
      </c>
    </row>
    <row r="7" spans="1:15" x14ac:dyDescent="0.25">
      <c r="B7" s="1" t="s">
        <v>4</v>
      </c>
      <c r="D7" s="5">
        <v>300000</v>
      </c>
    </row>
    <row r="8" spans="1:15" x14ac:dyDescent="0.25">
      <c r="A8" s="4" t="s">
        <v>8</v>
      </c>
      <c r="B8" s="1" t="s">
        <v>5</v>
      </c>
      <c r="D8" s="5">
        <v>15000</v>
      </c>
    </row>
    <row r="9" spans="1:15" s="3" customFormat="1" ht="20.25" x14ac:dyDescent="0.3">
      <c r="A9" s="4" t="s">
        <v>6</v>
      </c>
      <c r="B9" s="1" t="s">
        <v>7</v>
      </c>
      <c r="C9" s="1"/>
      <c r="D9" s="6">
        <v>285000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1" spans="1:15" x14ac:dyDescent="0.25">
      <c r="A11" s="1" t="s">
        <v>9</v>
      </c>
    </row>
    <row r="12" spans="1:15" x14ac:dyDescent="0.25">
      <c r="A12" s="1" t="s">
        <v>10</v>
      </c>
    </row>
    <row r="13" spans="1:15" x14ac:dyDescent="0.25">
      <c r="A13" s="1" t="s">
        <v>21</v>
      </c>
    </row>
    <row r="15" spans="1:15" x14ac:dyDescent="0.25">
      <c r="A15" s="11"/>
      <c r="B15" s="7"/>
      <c r="C15" s="9"/>
      <c r="D15" s="102">
        <v>1500</v>
      </c>
      <c r="E15" s="103"/>
      <c r="F15" s="100" t="s">
        <v>14</v>
      </c>
      <c r="G15" s="100"/>
      <c r="H15" s="98">
        <v>3000</v>
      </c>
      <c r="I15" s="99"/>
    </row>
    <row r="16" spans="1:15" x14ac:dyDescent="0.25">
      <c r="A16" s="12"/>
      <c r="B16" s="8"/>
      <c r="C16" s="10"/>
      <c r="D16" s="104" t="s">
        <v>12</v>
      </c>
      <c r="E16" s="105"/>
      <c r="F16" s="101" t="s">
        <v>13</v>
      </c>
      <c r="G16" s="101"/>
      <c r="H16" s="96" t="s">
        <v>11</v>
      </c>
      <c r="I16" s="97"/>
    </row>
    <row r="17" spans="1:10" x14ac:dyDescent="0.25">
      <c r="A17" s="22" t="s">
        <v>20</v>
      </c>
      <c r="B17" s="13" t="s">
        <v>15</v>
      </c>
      <c r="C17" s="14"/>
      <c r="D17" s="15">
        <v>300000</v>
      </c>
      <c r="E17" s="16"/>
      <c r="F17" s="15"/>
      <c r="G17" s="16">
        <v>15000</v>
      </c>
      <c r="H17" s="15"/>
      <c r="I17" s="16">
        <v>285000</v>
      </c>
    </row>
    <row r="18" spans="1:10" x14ac:dyDescent="0.25">
      <c r="A18" s="17"/>
      <c r="B18" s="18"/>
      <c r="C18" s="19"/>
      <c r="D18" s="20"/>
      <c r="E18" s="21"/>
      <c r="F18" s="20"/>
      <c r="G18" s="21"/>
      <c r="H18" s="20"/>
      <c r="I18" s="21"/>
    </row>
    <row r="19" spans="1:10" x14ac:dyDescent="0.25">
      <c r="E19" s="5"/>
      <c r="F19" s="5"/>
      <c r="G19" s="5"/>
      <c r="H19" s="5"/>
      <c r="I19" s="5"/>
    </row>
    <row r="20" spans="1:10" x14ac:dyDescent="0.25">
      <c r="A20" s="1" t="s">
        <v>16</v>
      </c>
      <c r="E20" s="5"/>
      <c r="F20" s="5"/>
      <c r="G20" s="5"/>
      <c r="H20" s="5"/>
      <c r="I20" s="5"/>
    </row>
    <row r="21" spans="1:10" x14ac:dyDescent="0.25">
      <c r="A21" s="1" t="s">
        <v>17</v>
      </c>
      <c r="E21" s="5"/>
      <c r="F21" s="5"/>
      <c r="G21" s="5"/>
      <c r="H21" s="5"/>
      <c r="I21" s="5"/>
    </row>
    <row r="22" spans="1:10" x14ac:dyDescent="0.25">
      <c r="A22" s="1" t="s">
        <v>18</v>
      </c>
      <c r="E22" s="5"/>
      <c r="F22" s="5"/>
      <c r="G22" s="5"/>
      <c r="H22" s="5"/>
      <c r="I22" s="5"/>
    </row>
    <row r="23" spans="1:10" x14ac:dyDescent="0.25">
      <c r="A23" s="1" t="s">
        <v>19</v>
      </c>
    </row>
    <row r="24" spans="1:10" s="57" customFormat="1" x14ac:dyDescent="0.25">
      <c r="D24" s="5"/>
    </row>
    <row r="25" spans="1:10" s="57" customFormat="1" x14ac:dyDescent="0.25">
      <c r="A25" s="57" t="s">
        <v>317</v>
      </c>
      <c r="D25" s="5"/>
    </row>
    <row r="26" spans="1:10" x14ac:dyDescent="0.25">
      <c r="A26" s="1" t="s">
        <v>318</v>
      </c>
      <c r="E26" s="5"/>
      <c r="F26" s="5"/>
      <c r="G26" s="5"/>
      <c r="H26" s="5"/>
      <c r="I26" s="5"/>
      <c r="J26" s="5"/>
    </row>
    <row r="27" spans="1:10" s="57" customFormat="1" x14ac:dyDescent="0.25">
      <c r="D27" s="5"/>
      <c r="E27" s="5"/>
      <c r="F27" s="5"/>
      <c r="G27" s="5"/>
      <c r="H27" s="5"/>
      <c r="I27" s="5"/>
      <c r="J27" s="5"/>
    </row>
    <row r="28" spans="1:10" s="57" customFormat="1" x14ac:dyDescent="0.25">
      <c r="D28" s="5"/>
      <c r="E28" s="5"/>
      <c r="F28" s="5"/>
      <c r="G28" s="5"/>
      <c r="H28" s="5"/>
      <c r="I28" s="5"/>
      <c r="J28" s="5"/>
    </row>
    <row r="29" spans="1:10" s="57" customFormat="1" x14ac:dyDescent="0.25">
      <c r="A29" s="58" t="s">
        <v>259</v>
      </c>
      <c r="D29" s="5"/>
      <c r="E29" s="5"/>
      <c r="F29" s="5"/>
      <c r="G29" s="5"/>
      <c r="H29" s="5"/>
      <c r="I29" s="5"/>
      <c r="J29" s="5"/>
    </row>
    <row r="30" spans="1:10" s="57" customFormat="1" x14ac:dyDescent="0.25">
      <c r="D30" s="5"/>
      <c r="E30" s="5"/>
      <c r="F30" s="5"/>
      <c r="G30" s="5"/>
      <c r="H30" s="5"/>
      <c r="I30" s="5"/>
      <c r="J30" s="5"/>
    </row>
    <row r="31" spans="1:10" s="57" customFormat="1" x14ac:dyDescent="0.25">
      <c r="A31" s="57" t="s">
        <v>59</v>
      </c>
      <c r="B31" s="51" t="s">
        <v>260</v>
      </c>
      <c r="D31" s="5"/>
      <c r="E31" s="5"/>
      <c r="F31" s="5"/>
      <c r="G31" s="5"/>
      <c r="H31" s="5"/>
      <c r="I31" s="5"/>
      <c r="J31" s="5"/>
    </row>
    <row r="32" spans="1:10" s="57" customFormat="1" x14ac:dyDescent="0.25">
      <c r="B32" s="57" t="s">
        <v>261</v>
      </c>
      <c r="D32" s="5"/>
      <c r="E32" s="5"/>
      <c r="F32" s="5"/>
      <c r="G32" s="5"/>
      <c r="H32" s="5"/>
      <c r="I32" s="5"/>
      <c r="J32" s="5"/>
    </row>
    <row r="33" spans="1:10" s="57" customFormat="1" x14ac:dyDescent="0.25">
      <c r="B33" s="57" t="s">
        <v>262</v>
      </c>
      <c r="D33" s="5"/>
      <c r="E33" s="5"/>
      <c r="F33" s="5"/>
      <c r="G33" s="5"/>
      <c r="H33" s="5"/>
      <c r="I33" s="5"/>
      <c r="J33" s="5"/>
    </row>
    <row r="34" spans="1:10" s="57" customFormat="1" x14ac:dyDescent="0.25">
      <c r="D34" s="5"/>
      <c r="E34" s="5"/>
      <c r="F34" s="5"/>
      <c r="G34" s="5"/>
      <c r="H34" s="5"/>
      <c r="I34" s="5"/>
      <c r="J34" s="5"/>
    </row>
    <row r="35" spans="1:10" s="57" customFormat="1" x14ac:dyDescent="0.25">
      <c r="A35" s="57" t="s">
        <v>63</v>
      </c>
      <c r="D35" s="5"/>
      <c r="E35" s="5"/>
      <c r="F35" s="5"/>
      <c r="G35" s="5"/>
      <c r="H35" s="5"/>
      <c r="I35" s="5"/>
      <c r="J35" s="5"/>
    </row>
    <row r="36" spans="1:10" s="57" customFormat="1" x14ac:dyDescent="0.25">
      <c r="A36" s="94">
        <v>1</v>
      </c>
      <c r="B36" s="57" t="s">
        <v>319</v>
      </c>
      <c r="D36" s="5"/>
      <c r="E36" s="5"/>
      <c r="F36" s="5"/>
      <c r="G36" s="5"/>
      <c r="H36" s="5"/>
      <c r="I36" s="5"/>
      <c r="J36" s="5"/>
    </row>
    <row r="37" spans="1:10" s="57" customFormat="1" x14ac:dyDescent="0.25">
      <c r="A37" s="94"/>
      <c r="B37" s="57" t="s">
        <v>320</v>
      </c>
      <c r="D37" s="5"/>
      <c r="E37" s="5"/>
      <c r="F37" s="5"/>
      <c r="G37" s="5"/>
      <c r="H37" s="5"/>
      <c r="I37" s="5"/>
      <c r="J37" s="5"/>
    </row>
    <row r="38" spans="1:10" s="57" customFormat="1" x14ac:dyDescent="0.25">
      <c r="A38" s="94"/>
      <c r="D38" s="5"/>
      <c r="E38" s="5"/>
      <c r="F38" s="5"/>
      <c r="G38" s="5"/>
      <c r="H38" s="5"/>
      <c r="I38" s="5"/>
      <c r="J38" s="5"/>
    </row>
    <row r="39" spans="1:10" s="57" customFormat="1" x14ac:dyDescent="0.25">
      <c r="A39" s="94">
        <v>2</v>
      </c>
      <c r="B39" s="57" t="s">
        <v>263</v>
      </c>
      <c r="D39" s="5"/>
      <c r="E39" s="5"/>
      <c r="F39" s="5"/>
      <c r="G39" s="5"/>
      <c r="H39" s="5"/>
      <c r="I39" s="5"/>
      <c r="J39" s="5"/>
    </row>
    <row r="40" spans="1:10" s="57" customFormat="1" x14ac:dyDescent="0.25">
      <c r="B40" s="57" t="s">
        <v>264</v>
      </c>
      <c r="D40" s="5"/>
      <c r="E40" s="5"/>
      <c r="F40" s="5"/>
      <c r="G40" s="5"/>
      <c r="H40" s="5"/>
      <c r="I40" s="5"/>
      <c r="J40" s="5"/>
    </row>
    <row r="41" spans="1:10" s="57" customFormat="1" x14ac:dyDescent="0.25">
      <c r="B41" s="57" t="s">
        <v>265</v>
      </c>
      <c r="D41" s="5"/>
      <c r="E41" s="5"/>
      <c r="F41" s="5"/>
      <c r="G41" s="5"/>
      <c r="H41" s="5"/>
      <c r="I41" s="5"/>
      <c r="J41" s="5"/>
    </row>
    <row r="42" spans="1:10" s="57" customFormat="1" x14ac:dyDescent="0.25">
      <c r="D42" s="5"/>
      <c r="E42" s="5"/>
      <c r="F42" s="5"/>
      <c r="G42" s="5"/>
      <c r="H42" s="5"/>
      <c r="I42" s="5"/>
      <c r="J42" s="5"/>
    </row>
    <row r="43" spans="1:10" s="57" customFormat="1" x14ac:dyDescent="0.25">
      <c r="D43" s="5"/>
      <c r="E43" s="5"/>
      <c r="F43" s="5"/>
      <c r="G43" s="5"/>
      <c r="H43" s="5"/>
      <c r="I43" s="5"/>
      <c r="J43" s="5"/>
    </row>
    <row r="44" spans="1:10" s="57" customFormat="1" x14ac:dyDescent="0.25">
      <c r="D44" s="5"/>
      <c r="E44" s="5"/>
      <c r="F44" s="5"/>
      <c r="G44" s="5"/>
      <c r="H44" s="5"/>
      <c r="I44" s="5"/>
      <c r="J44" s="5"/>
    </row>
    <row r="45" spans="1:10" s="57" customFormat="1" x14ac:dyDescent="0.25">
      <c r="D45" s="5"/>
      <c r="E45" s="5"/>
      <c r="F45" s="5"/>
      <c r="G45" s="5"/>
      <c r="H45" s="5"/>
      <c r="I45" s="5"/>
      <c r="J45" s="5"/>
    </row>
    <row r="46" spans="1:10" s="57" customFormat="1" x14ac:dyDescent="0.25">
      <c r="D46" s="5"/>
      <c r="E46" s="5"/>
      <c r="F46" s="5"/>
      <c r="G46" s="5"/>
      <c r="H46" s="5"/>
      <c r="I46" s="5"/>
      <c r="J46" s="5"/>
    </row>
    <row r="47" spans="1:10" s="57" customFormat="1" x14ac:dyDescent="0.25">
      <c r="D47" s="5"/>
      <c r="E47" s="5"/>
      <c r="F47" s="5"/>
      <c r="G47" s="5"/>
      <c r="H47" s="5"/>
      <c r="I47" s="5"/>
      <c r="J47" s="5"/>
    </row>
    <row r="48" spans="1:10" x14ac:dyDescent="0.25">
      <c r="A48" s="2" t="s">
        <v>22</v>
      </c>
      <c r="E48" s="5"/>
      <c r="F48" s="5"/>
      <c r="G48" s="5"/>
      <c r="H48" s="5"/>
      <c r="I48" s="5"/>
      <c r="J48" s="5"/>
    </row>
    <row r="49" spans="1:16" x14ac:dyDescent="0.25">
      <c r="E49" s="5"/>
      <c r="F49" s="5"/>
      <c r="G49" s="5"/>
      <c r="H49" s="5"/>
      <c r="I49" s="5"/>
      <c r="J49" s="5"/>
    </row>
    <row r="50" spans="1:16" x14ac:dyDescent="0.25">
      <c r="A50" s="2" t="s">
        <v>23</v>
      </c>
      <c r="E50" s="5"/>
      <c r="F50" s="5"/>
      <c r="G50" s="5"/>
      <c r="H50" s="5"/>
      <c r="I50" s="5"/>
      <c r="J50" s="5"/>
    </row>
    <row r="51" spans="1:16" x14ac:dyDescent="0.25">
      <c r="A51" s="2"/>
      <c r="B51" s="1" t="s">
        <v>321</v>
      </c>
      <c r="E51" s="5"/>
      <c r="F51" s="5"/>
      <c r="G51" s="5"/>
      <c r="H51" s="5"/>
      <c r="I51" s="5"/>
      <c r="J51" s="5"/>
    </row>
    <row r="52" spans="1:16" x14ac:dyDescent="0.25">
      <c r="A52" s="2"/>
      <c r="B52" s="1" t="s">
        <v>43</v>
      </c>
      <c r="E52" s="5"/>
      <c r="F52" s="5"/>
      <c r="G52" s="5"/>
      <c r="H52" s="5"/>
      <c r="I52" s="5"/>
      <c r="J52" s="5"/>
    </row>
    <row r="53" spans="1:16" x14ac:dyDescent="0.25">
      <c r="A53" s="2"/>
      <c r="B53" s="1" t="s">
        <v>44</v>
      </c>
      <c r="E53" s="5"/>
      <c r="F53" s="5"/>
      <c r="G53" s="5"/>
      <c r="H53" s="5"/>
      <c r="I53" s="5"/>
      <c r="J53" s="5"/>
    </row>
    <row r="54" spans="1:16" x14ac:dyDescent="0.25">
      <c r="A54" s="2"/>
      <c r="B54" s="1" t="s">
        <v>45</v>
      </c>
      <c r="E54" s="5"/>
      <c r="F54" s="5"/>
      <c r="G54" s="5"/>
      <c r="H54" s="5"/>
      <c r="I54" s="5"/>
      <c r="J54" s="5"/>
    </row>
    <row r="55" spans="1:16" x14ac:dyDescent="0.25">
      <c r="A55" s="2"/>
      <c r="E55" s="5"/>
      <c r="F55" s="5"/>
      <c r="G55" s="5"/>
      <c r="H55" s="5"/>
      <c r="I55" s="5"/>
      <c r="J55" s="5"/>
    </row>
    <row r="56" spans="1:16" x14ac:dyDescent="0.25">
      <c r="E56" s="23" t="s">
        <v>24</v>
      </c>
      <c r="F56" s="5"/>
      <c r="G56" s="5"/>
      <c r="H56" s="5"/>
      <c r="I56" s="23" t="s">
        <v>26</v>
      </c>
      <c r="J56" s="5"/>
    </row>
    <row r="57" spans="1:16" x14ac:dyDescent="0.25">
      <c r="A57" s="24"/>
      <c r="B57" s="1" t="s">
        <v>27</v>
      </c>
      <c r="E57" s="5">
        <f>100*300</f>
        <v>30000</v>
      </c>
      <c r="F57" s="25" t="s">
        <v>31</v>
      </c>
      <c r="G57" s="5"/>
      <c r="H57" s="5"/>
      <c r="I57" s="5">
        <f>25*500</f>
        <v>12500</v>
      </c>
      <c r="J57" s="5"/>
    </row>
    <row r="58" spans="1:16" x14ac:dyDescent="0.25">
      <c r="A58" s="24" t="s">
        <v>8</v>
      </c>
      <c r="B58" s="1" t="s">
        <v>29</v>
      </c>
      <c r="E58" s="5">
        <f>40*300</f>
        <v>12000</v>
      </c>
      <c r="F58" s="25" t="s">
        <v>32</v>
      </c>
      <c r="G58" s="5"/>
      <c r="H58" s="5"/>
      <c r="I58" s="5">
        <f>25*500</f>
        <v>12500</v>
      </c>
      <c r="J58" s="5"/>
    </row>
    <row r="59" spans="1:16" s="3" customFormat="1" ht="20.25" x14ac:dyDescent="0.3">
      <c r="A59" s="4" t="s">
        <v>6</v>
      </c>
      <c r="B59" s="1" t="s">
        <v>28</v>
      </c>
      <c r="C59" s="1"/>
      <c r="D59" s="5"/>
      <c r="E59" s="6">
        <f>E57-E58</f>
        <v>18000</v>
      </c>
      <c r="F59" s="25" t="s">
        <v>28</v>
      </c>
      <c r="G59" s="5"/>
      <c r="H59" s="5"/>
      <c r="I59" s="6">
        <f>I57-I58</f>
        <v>0</v>
      </c>
      <c r="J59" s="5"/>
      <c r="K59" s="1"/>
      <c r="L59" s="1"/>
      <c r="M59" s="1"/>
    </row>
    <row r="60" spans="1:16" x14ac:dyDescent="0.25">
      <c r="E60" s="23"/>
      <c r="F60" s="5"/>
      <c r="G60" s="5"/>
      <c r="H60" s="5"/>
      <c r="I60" s="23"/>
      <c r="J60" s="5"/>
    </row>
    <row r="61" spans="1:16" x14ac:dyDescent="0.25">
      <c r="B61" s="1" t="s">
        <v>30</v>
      </c>
      <c r="E61" s="5">
        <f>750*60</f>
        <v>45000</v>
      </c>
      <c r="F61" s="25" t="s">
        <v>255</v>
      </c>
      <c r="G61" s="5"/>
      <c r="H61" s="5"/>
      <c r="I61" s="5">
        <v>0</v>
      </c>
      <c r="J61" s="5"/>
    </row>
    <row r="62" spans="1:16" x14ac:dyDescent="0.25">
      <c r="A62" s="24" t="s">
        <v>8</v>
      </c>
      <c r="B62" s="1" t="s">
        <v>28</v>
      </c>
      <c r="E62" s="5">
        <f>E59</f>
        <v>18000</v>
      </c>
      <c r="F62" s="25" t="s">
        <v>28</v>
      </c>
      <c r="G62" s="5"/>
      <c r="H62" s="5"/>
      <c r="I62" s="5">
        <v>0</v>
      </c>
      <c r="J62" s="5"/>
    </row>
    <row r="63" spans="1:16" s="3" customFormat="1" ht="20.25" x14ac:dyDescent="0.3">
      <c r="A63" s="4" t="s">
        <v>6</v>
      </c>
      <c r="B63" s="1" t="s">
        <v>25</v>
      </c>
      <c r="C63" s="1"/>
      <c r="D63" s="5"/>
      <c r="E63" s="6">
        <f>E61-E62</f>
        <v>27000</v>
      </c>
      <c r="F63" s="25" t="s">
        <v>25</v>
      </c>
      <c r="G63" s="5"/>
      <c r="H63" s="5"/>
      <c r="I63" s="6">
        <v>0</v>
      </c>
      <c r="J63" s="5"/>
      <c r="K63" s="95"/>
      <c r="L63" s="1"/>
      <c r="M63" s="1"/>
      <c r="N63" s="1"/>
      <c r="O63" s="1"/>
      <c r="P63" s="1"/>
    </row>
    <row r="64" spans="1:16" x14ac:dyDescent="0.25">
      <c r="E64" s="5"/>
      <c r="F64" s="5"/>
      <c r="G64" s="5"/>
      <c r="H64" s="5"/>
      <c r="I64" s="5"/>
      <c r="J64" s="5"/>
    </row>
    <row r="65" spans="1:16" x14ac:dyDescent="0.25">
      <c r="A65" s="2" t="s">
        <v>33</v>
      </c>
      <c r="D65" s="1"/>
      <c r="J65" s="5"/>
    </row>
    <row r="66" spans="1:16" x14ac:dyDescent="0.25">
      <c r="A66" s="24"/>
      <c r="B66" s="1" t="s">
        <v>34</v>
      </c>
      <c r="D66" s="1"/>
      <c r="E66" s="5">
        <f>E58</f>
        <v>12000</v>
      </c>
      <c r="F66" s="26" t="s">
        <v>39</v>
      </c>
      <c r="I66" s="5">
        <f>I58</f>
        <v>12500</v>
      </c>
      <c r="J66" s="5"/>
    </row>
    <row r="67" spans="1:16" x14ac:dyDescent="0.25">
      <c r="A67" s="4" t="s">
        <v>35</v>
      </c>
      <c r="B67" s="1" t="s">
        <v>36</v>
      </c>
      <c r="D67" s="1"/>
      <c r="E67" s="1">
        <v>0</v>
      </c>
      <c r="F67" s="26" t="s">
        <v>40</v>
      </c>
      <c r="I67" s="5">
        <f>500*35</f>
        <v>17500</v>
      </c>
      <c r="J67" s="5"/>
    </row>
    <row r="68" spans="1:16" x14ac:dyDescent="0.25">
      <c r="A68" s="24" t="s">
        <v>8</v>
      </c>
      <c r="B68" s="1" t="s">
        <v>37</v>
      </c>
      <c r="E68" s="5">
        <f>300*15</f>
        <v>4500</v>
      </c>
      <c r="F68" s="25" t="s">
        <v>41</v>
      </c>
      <c r="G68" s="5"/>
      <c r="H68" s="5"/>
      <c r="I68" s="5">
        <f>500*10</f>
        <v>5000</v>
      </c>
      <c r="J68" s="5"/>
    </row>
    <row r="69" spans="1:16" s="3" customFormat="1" ht="20.25" x14ac:dyDescent="0.3">
      <c r="A69" s="4" t="s">
        <v>6</v>
      </c>
      <c r="B69" s="1" t="s">
        <v>28</v>
      </c>
      <c r="C69" s="1"/>
      <c r="D69" s="5"/>
      <c r="E69" s="6">
        <f>E66+E67-E68</f>
        <v>7500</v>
      </c>
      <c r="F69" s="26" t="s">
        <v>28</v>
      </c>
      <c r="G69" s="5"/>
      <c r="H69" s="5"/>
      <c r="I69" s="6">
        <f>I66+I67-I68</f>
        <v>25000</v>
      </c>
      <c r="J69" s="5"/>
      <c r="K69" s="1"/>
      <c r="L69" s="1"/>
      <c r="M69" s="1"/>
      <c r="N69" s="1"/>
      <c r="O69" s="1"/>
      <c r="P69" s="1"/>
    </row>
    <row r="70" spans="1:16" x14ac:dyDescent="0.25">
      <c r="E70" s="5"/>
      <c r="F70" s="26"/>
      <c r="G70" s="5"/>
      <c r="H70" s="5"/>
      <c r="I70" s="5"/>
      <c r="J70" s="5"/>
    </row>
    <row r="71" spans="1:16" x14ac:dyDescent="0.25">
      <c r="A71" s="24"/>
      <c r="B71" s="1" t="s">
        <v>38</v>
      </c>
      <c r="E71" s="5">
        <f>25*750</f>
        <v>18750</v>
      </c>
      <c r="F71" s="25" t="s">
        <v>42</v>
      </c>
      <c r="G71" s="5"/>
      <c r="H71" s="5"/>
      <c r="I71" s="5">
        <f>950*50</f>
        <v>47500</v>
      </c>
      <c r="J71" s="5"/>
    </row>
    <row r="72" spans="1:16" x14ac:dyDescent="0.25">
      <c r="A72" s="24" t="s">
        <v>8</v>
      </c>
      <c r="B72" s="1" t="s">
        <v>28</v>
      </c>
      <c r="E72" s="5">
        <f>E69</f>
        <v>7500</v>
      </c>
      <c r="F72" s="25" t="s">
        <v>28</v>
      </c>
      <c r="G72" s="5"/>
      <c r="H72" s="5"/>
      <c r="I72" s="5">
        <f>I69</f>
        <v>25000</v>
      </c>
      <c r="J72" s="5"/>
    </row>
    <row r="73" spans="1:16" s="3" customFormat="1" ht="20.25" x14ac:dyDescent="0.3">
      <c r="A73" s="4" t="s">
        <v>6</v>
      </c>
      <c r="B73" s="1" t="s">
        <v>25</v>
      </c>
      <c r="C73" s="1"/>
      <c r="D73" s="5"/>
      <c r="E73" s="6">
        <f>E71-E72</f>
        <v>11250</v>
      </c>
      <c r="F73" s="25" t="s">
        <v>25</v>
      </c>
      <c r="G73" s="5"/>
      <c r="H73" s="5"/>
      <c r="I73" s="6">
        <f>I71-I72</f>
        <v>22500</v>
      </c>
      <c r="J73" s="5"/>
      <c r="K73" s="1"/>
      <c r="L73" s="1"/>
      <c r="M73" s="1"/>
      <c r="N73" s="1"/>
      <c r="O73" s="1"/>
      <c r="P73" s="1"/>
    </row>
    <row r="74" spans="1:16" x14ac:dyDescent="0.25">
      <c r="E74" s="5"/>
      <c r="F74" s="5"/>
      <c r="G74" s="5"/>
      <c r="H74" s="5"/>
      <c r="I74" s="5"/>
      <c r="J74" s="5"/>
    </row>
    <row r="75" spans="1:16" s="57" customFormat="1" x14ac:dyDescent="0.25">
      <c r="D75" s="5"/>
      <c r="E75" s="5"/>
      <c r="F75" s="5"/>
      <c r="G75" s="5"/>
      <c r="H75" s="5"/>
      <c r="I75" s="5"/>
      <c r="J75" s="5"/>
    </row>
    <row r="76" spans="1:16" x14ac:dyDescent="0.25">
      <c r="E76" s="5"/>
      <c r="F76" s="5"/>
      <c r="G76" s="5"/>
      <c r="H76" s="5"/>
      <c r="I76" s="5"/>
      <c r="J76" s="5"/>
    </row>
    <row r="77" spans="1:16" x14ac:dyDescent="0.25">
      <c r="A77" s="2" t="s">
        <v>46</v>
      </c>
      <c r="E77" s="5"/>
      <c r="F77" s="5"/>
      <c r="G77" s="5"/>
      <c r="H77" s="5"/>
      <c r="I77" s="5"/>
      <c r="J77" s="5"/>
    </row>
    <row r="78" spans="1:16" x14ac:dyDescent="0.25">
      <c r="A78" s="2"/>
      <c r="E78" s="23" t="s">
        <v>51</v>
      </c>
      <c r="F78" s="5"/>
      <c r="G78" s="5"/>
      <c r="H78" s="5"/>
      <c r="I78" s="5"/>
      <c r="J78" s="5"/>
    </row>
    <row r="79" spans="1:16" x14ac:dyDescent="0.25">
      <c r="E79" s="23" t="s">
        <v>23</v>
      </c>
      <c r="F79" s="5"/>
      <c r="G79" s="5"/>
      <c r="H79" s="5"/>
      <c r="I79" s="5"/>
      <c r="J79" s="5"/>
    </row>
    <row r="80" spans="1:16" x14ac:dyDescent="0.25">
      <c r="A80" s="1" t="s">
        <v>48</v>
      </c>
      <c r="E80" s="5">
        <f>120000/3</f>
        <v>40000</v>
      </c>
      <c r="F80" s="25"/>
      <c r="G80" s="5"/>
      <c r="H80" s="5"/>
      <c r="I80" s="5"/>
      <c r="J80" s="5"/>
    </row>
    <row r="81" spans="1:10" x14ac:dyDescent="0.25">
      <c r="E81" s="5"/>
      <c r="F81" s="25"/>
      <c r="G81" s="5"/>
      <c r="H81" s="5"/>
      <c r="I81" s="5"/>
      <c r="J81" s="5"/>
    </row>
    <row r="82" spans="1:10" x14ac:dyDescent="0.25">
      <c r="A82" s="1" t="s">
        <v>49</v>
      </c>
      <c r="E82" s="5">
        <f>80000*3/4</f>
        <v>60000</v>
      </c>
      <c r="F82" s="25"/>
      <c r="G82" s="5"/>
      <c r="H82" s="5"/>
      <c r="I82" s="5"/>
      <c r="J82" s="5"/>
    </row>
    <row r="83" spans="1:10" x14ac:dyDescent="0.25">
      <c r="A83" s="1" t="s">
        <v>50</v>
      </c>
      <c r="E83" s="5">
        <v>45000</v>
      </c>
      <c r="F83" s="25"/>
      <c r="G83" s="5"/>
      <c r="H83" s="5"/>
      <c r="I83" s="5"/>
      <c r="J83" s="5"/>
    </row>
    <row r="84" spans="1:10" x14ac:dyDescent="0.25">
      <c r="A84" s="1" t="s">
        <v>52</v>
      </c>
      <c r="E84" s="5">
        <v>25000</v>
      </c>
      <c r="F84" s="25"/>
      <c r="G84" s="5"/>
      <c r="H84" s="5"/>
      <c r="I84" s="5"/>
      <c r="J84" s="5"/>
    </row>
    <row r="85" spans="1:10" x14ac:dyDescent="0.25">
      <c r="E85" s="5"/>
      <c r="F85" s="5"/>
      <c r="G85" s="5"/>
      <c r="H85" s="5"/>
      <c r="I85" s="5"/>
      <c r="J85" s="5"/>
    </row>
    <row r="86" spans="1:10" x14ac:dyDescent="0.25">
      <c r="A86" s="27" t="s">
        <v>47</v>
      </c>
      <c r="E86" s="5"/>
      <c r="F86" s="5"/>
      <c r="G86" s="5"/>
      <c r="H86" s="5"/>
      <c r="I86" s="5"/>
      <c r="J86" s="5"/>
    </row>
    <row r="87" spans="1:10" x14ac:dyDescent="0.25">
      <c r="A87" s="1" t="s">
        <v>266</v>
      </c>
      <c r="E87" s="5"/>
      <c r="F87" s="5"/>
      <c r="G87" s="5"/>
      <c r="H87" s="5"/>
      <c r="I87" s="5"/>
      <c r="J87" s="5"/>
    </row>
    <row r="88" spans="1:10" x14ac:dyDescent="0.25">
      <c r="A88" s="1" t="s">
        <v>258</v>
      </c>
      <c r="E88" s="5"/>
      <c r="F88" s="5"/>
      <c r="G88" s="5"/>
      <c r="H88" s="5"/>
      <c r="I88" s="5"/>
      <c r="J88" s="5"/>
    </row>
    <row r="89" spans="1:10" x14ac:dyDescent="0.25">
      <c r="A89" s="27" t="s">
        <v>53</v>
      </c>
      <c r="E89" s="5"/>
      <c r="F89" s="5"/>
      <c r="G89" s="5"/>
      <c r="H89" s="5"/>
      <c r="I89" s="5"/>
      <c r="J89" s="5"/>
    </row>
    <row r="90" spans="1:10" x14ac:dyDescent="0.25">
      <c r="A90" s="1" t="s">
        <v>54</v>
      </c>
      <c r="E90" s="5"/>
      <c r="F90" s="5"/>
      <c r="G90" s="5"/>
      <c r="H90" s="5"/>
      <c r="I90" s="5"/>
      <c r="J90" s="5"/>
    </row>
    <row r="91" spans="1:10" x14ac:dyDescent="0.25">
      <c r="A91" s="1" t="s">
        <v>256</v>
      </c>
      <c r="E91" s="5"/>
      <c r="F91" s="5"/>
      <c r="G91" s="5"/>
      <c r="H91" s="5"/>
      <c r="I91" s="5"/>
      <c r="J91" s="5"/>
    </row>
    <row r="92" spans="1:10" x14ac:dyDescent="0.25">
      <c r="A92" s="27" t="s">
        <v>50</v>
      </c>
      <c r="E92" s="5"/>
      <c r="F92" s="5"/>
      <c r="G92" s="5"/>
      <c r="H92" s="5"/>
      <c r="I92" s="5"/>
      <c r="J92" s="5"/>
    </row>
    <row r="93" spans="1:10" x14ac:dyDescent="0.25">
      <c r="A93" s="1" t="s">
        <v>257</v>
      </c>
      <c r="E93" s="5"/>
      <c r="F93" s="5"/>
      <c r="G93" s="5"/>
      <c r="H93" s="5"/>
      <c r="I93" s="5"/>
      <c r="J93" s="5"/>
    </row>
    <row r="94" spans="1:10" x14ac:dyDescent="0.25">
      <c r="A94" s="27" t="s">
        <v>55</v>
      </c>
      <c r="E94" s="5"/>
      <c r="F94" s="5"/>
      <c r="G94" s="5"/>
      <c r="H94" s="5"/>
      <c r="I94" s="5"/>
      <c r="J94" s="5"/>
    </row>
    <row r="95" spans="1:10" x14ac:dyDescent="0.25">
      <c r="A95" s="1" t="s">
        <v>56</v>
      </c>
      <c r="E95" s="5"/>
      <c r="F95" s="5"/>
      <c r="G95" s="5"/>
      <c r="H95" s="5"/>
      <c r="I95" s="5"/>
      <c r="J95" s="5"/>
    </row>
    <row r="96" spans="1:10" x14ac:dyDescent="0.25">
      <c r="A96" s="1" t="s">
        <v>57</v>
      </c>
      <c r="E96" s="5"/>
      <c r="F96" s="5"/>
      <c r="G96" s="5"/>
      <c r="H96" s="5"/>
      <c r="I96" s="5"/>
      <c r="J96" s="5"/>
    </row>
    <row r="97" spans="1:10" x14ac:dyDescent="0.25">
      <c r="E97" s="5"/>
      <c r="F97" s="5"/>
      <c r="G97" s="5"/>
      <c r="H97" s="5"/>
      <c r="I97" s="5"/>
      <c r="J97" s="5"/>
    </row>
    <row r="98" spans="1:10" x14ac:dyDescent="0.25">
      <c r="E98" s="5"/>
      <c r="F98" s="5"/>
      <c r="G98" s="5"/>
      <c r="H98" s="5"/>
      <c r="I98" s="5"/>
      <c r="J98" s="5"/>
    </row>
    <row r="99" spans="1:10" x14ac:dyDescent="0.25">
      <c r="A99" s="2" t="s">
        <v>58</v>
      </c>
      <c r="E99" s="5"/>
      <c r="F99" s="5"/>
      <c r="G99" s="5"/>
      <c r="H99" s="5"/>
      <c r="I99" s="5"/>
      <c r="J99" s="5"/>
    </row>
    <row r="100" spans="1:10" x14ac:dyDescent="0.25">
      <c r="E100" s="5"/>
      <c r="F100" s="5"/>
      <c r="G100" s="5"/>
      <c r="H100" s="5"/>
      <c r="I100" s="5"/>
      <c r="J100" s="5"/>
    </row>
    <row r="101" spans="1:10" x14ac:dyDescent="0.25">
      <c r="A101" s="1" t="s">
        <v>59</v>
      </c>
      <c r="B101" s="1" t="s">
        <v>60</v>
      </c>
      <c r="E101" s="5"/>
      <c r="F101" s="5"/>
      <c r="G101" s="5">
        <f>400*250</f>
        <v>100000</v>
      </c>
      <c r="H101" s="5"/>
      <c r="I101" s="5"/>
      <c r="J101" s="5"/>
    </row>
    <row r="102" spans="1:10" x14ac:dyDescent="0.25">
      <c r="B102" s="1" t="s">
        <v>61</v>
      </c>
      <c r="E102" s="5"/>
      <c r="F102" s="5"/>
      <c r="G102" s="5"/>
      <c r="H102" s="5"/>
      <c r="I102" s="5"/>
      <c r="J102" s="5"/>
    </row>
    <row r="103" spans="1:10" x14ac:dyDescent="0.25">
      <c r="C103" s="1" t="s">
        <v>62</v>
      </c>
      <c r="E103" s="5"/>
      <c r="F103" s="5"/>
      <c r="G103" s="5">
        <f>100*180+100*240+100*230+100*210</f>
        <v>86000</v>
      </c>
      <c r="H103" s="5"/>
      <c r="I103" s="5"/>
      <c r="J103" s="5"/>
    </row>
    <row r="104" spans="1:10" x14ac:dyDescent="0.25">
      <c r="E104" s="5"/>
      <c r="F104" s="5"/>
      <c r="G104" s="5"/>
      <c r="H104" s="5"/>
      <c r="I104" s="5"/>
      <c r="J104" s="5"/>
    </row>
    <row r="105" spans="1:10" x14ac:dyDescent="0.25">
      <c r="A105" s="1" t="s">
        <v>63</v>
      </c>
      <c r="B105" s="1" t="s">
        <v>64</v>
      </c>
      <c r="E105" s="5"/>
      <c r="F105" s="5"/>
      <c r="G105" s="5"/>
      <c r="H105" s="5"/>
      <c r="I105" s="5"/>
      <c r="J105" s="5"/>
    </row>
    <row r="106" spans="1:10" x14ac:dyDescent="0.25">
      <c r="B106" s="1" t="s">
        <v>65</v>
      </c>
      <c r="E106" s="5"/>
      <c r="F106" s="5"/>
      <c r="G106" s="5"/>
      <c r="H106" s="5"/>
      <c r="I106" s="5"/>
      <c r="J106" s="5"/>
    </row>
    <row r="107" spans="1:10" x14ac:dyDescent="0.25">
      <c r="B107" s="1" t="s">
        <v>66</v>
      </c>
      <c r="E107" s="5"/>
      <c r="F107" s="5"/>
      <c r="G107" s="5"/>
      <c r="H107" s="5"/>
      <c r="I107" s="5"/>
      <c r="J107" s="5"/>
    </row>
    <row r="108" spans="1:10" x14ac:dyDescent="0.25">
      <c r="B108" s="1" t="s">
        <v>67</v>
      </c>
      <c r="E108" s="5"/>
      <c r="F108" s="5"/>
      <c r="G108" s="5"/>
      <c r="H108" s="5"/>
      <c r="I108" s="5"/>
      <c r="J108" s="5"/>
    </row>
    <row r="109" spans="1:10" x14ac:dyDescent="0.25">
      <c r="B109" s="1" t="s">
        <v>68</v>
      </c>
      <c r="E109" s="5"/>
      <c r="F109" s="5"/>
      <c r="G109" s="5"/>
      <c r="H109" s="5"/>
      <c r="I109" s="5"/>
      <c r="J109" s="5"/>
    </row>
    <row r="110" spans="1:10" x14ac:dyDescent="0.25">
      <c r="B110" s="1" t="s">
        <v>69</v>
      </c>
    </row>
    <row r="111" spans="1:10" x14ac:dyDescent="0.25">
      <c r="B111" s="1" t="s">
        <v>70</v>
      </c>
    </row>
    <row r="114" spans="1:4" s="57" customFormat="1" x14ac:dyDescent="0.25">
      <c r="D114" s="5"/>
    </row>
    <row r="115" spans="1:4" s="57" customFormat="1" x14ac:dyDescent="0.25">
      <c r="D115" s="5"/>
    </row>
    <row r="116" spans="1:4" s="57" customFormat="1" x14ac:dyDescent="0.25">
      <c r="D116" s="5"/>
    </row>
    <row r="117" spans="1:4" x14ac:dyDescent="0.25">
      <c r="A117" s="2" t="s">
        <v>71</v>
      </c>
    </row>
    <row r="119" spans="1:4" x14ac:dyDescent="0.25">
      <c r="A119" s="1" t="s">
        <v>72</v>
      </c>
    </row>
    <row r="120" spans="1:4" x14ac:dyDescent="0.25">
      <c r="A120" s="1" t="s">
        <v>73</v>
      </c>
    </row>
    <row r="121" spans="1:4" x14ac:dyDescent="0.25">
      <c r="A121" s="1" t="s">
        <v>74</v>
      </c>
    </row>
    <row r="123" spans="1:4" x14ac:dyDescent="0.25">
      <c r="A123" s="1" t="s">
        <v>75</v>
      </c>
    </row>
    <row r="124" spans="1:4" x14ac:dyDescent="0.25">
      <c r="A124" s="1" t="s">
        <v>76</v>
      </c>
    </row>
    <row r="125" spans="1:4" x14ac:dyDescent="0.25">
      <c r="A125" s="1" t="s">
        <v>77</v>
      </c>
    </row>
    <row r="126" spans="1:4" x14ac:dyDescent="0.25">
      <c r="A126" s="1" t="s">
        <v>78</v>
      </c>
    </row>
  </sheetData>
  <mergeCells count="6">
    <mergeCell ref="H16:I16"/>
    <mergeCell ref="H15:I15"/>
    <mergeCell ref="F15:G15"/>
    <mergeCell ref="F16:G16"/>
    <mergeCell ref="D15:E15"/>
    <mergeCell ref="D16:E1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2"/>
  <sheetViews>
    <sheetView showGridLines="0" topLeftCell="A38" workbookViewId="0">
      <selection activeCell="J55" sqref="J55"/>
    </sheetView>
  </sheetViews>
  <sheetFormatPr baseColWidth="10" defaultRowHeight="15.75" x14ac:dyDescent="0.25"/>
  <cols>
    <col min="1" max="1" width="5.7109375" style="1" customWidth="1"/>
    <col min="2" max="2" width="11.42578125" style="1"/>
    <col min="3" max="6" width="11.42578125" style="5"/>
    <col min="7" max="16384" width="11.42578125" style="1"/>
  </cols>
  <sheetData>
    <row r="1" spans="1:2" x14ac:dyDescent="0.25">
      <c r="A1" s="2" t="s">
        <v>79</v>
      </c>
    </row>
    <row r="3" spans="1:2" x14ac:dyDescent="0.25">
      <c r="A3" s="1" t="s">
        <v>59</v>
      </c>
      <c r="B3" s="1" t="s">
        <v>81</v>
      </c>
    </row>
    <row r="4" spans="1:2" x14ac:dyDescent="0.25">
      <c r="B4" s="1" t="s">
        <v>82</v>
      </c>
    </row>
    <row r="5" spans="1:2" x14ac:dyDescent="0.25">
      <c r="B5" s="1" t="s">
        <v>80</v>
      </c>
    </row>
    <row r="6" spans="1:2" x14ac:dyDescent="0.25">
      <c r="B6" s="1" t="s">
        <v>322</v>
      </c>
    </row>
    <row r="7" spans="1:2" x14ac:dyDescent="0.25">
      <c r="A7" s="1" t="s">
        <v>63</v>
      </c>
      <c r="B7" s="1" t="s">
        <v>83</v>
      </c>
    </row>
    <row r="8" spans="1:2" x14ac:dyDescent="0.25">
      <c r="B8" s="1" t="s">
        <v>84</v>
      </c>
    </row>
    <row r="9" spans="1:2" x14ac:dyDescent="0.25">
      <c r="B9" s="1" t="s">
        <v>85</v>
      </c>
    </row>
    <row r="10" spans="1:2" x14ac:dyDescent="0.25">
      <c r="A10" s="1" t="s">
        <v>86</v>
      </c>
      <c r="B10" s="1" t="s">
        <v>87</v>
      </c>
    </row>
    <row r="11" spans="1:2" x14ac:dyDescent="0.25">
      <c r="B11" s="1" t="s">
        <v>88</v>
      </c>
    </row>
    <row r="14" spans="1:2" x14ac:dyDescent="0.25">
      <c r="A14" s="2" t="s">
        <v>89</v>
      </c>
    </row>
    <row r="16" spans="1:2" x14ac:dyDescent="0.25">
      <c r="A16" s="1" t="s">
        <v>90</v>
      </c>
    </row>
    <row r="17" spans="1:13" x14ac:dyDescent="0.25">
      <c r="A17" s="1" t="s">
        <v>91</v>
      </c>
    </row>
    <row r="18" spans="1:13" x14ac:dyDescent="0.25">
      <c r="A18" s="1" t="s">
        <v>92</v>
      </c>
    </row>
    <row r="19" spans="1:13" x14ac:dyDescent="0.25">
      <c r="A19" s="1" t="s">
        <v>93</v>
      </c>
    </row>
    <row r="20" spans="1:13" x14ac:dyDescent="0.25">
      <c r="A20" s="1" t="s">
        <v>94</v>
      </c>
    </row>
    <row r="22" spans="1:13" x14ac:dyDescent="0.25">
      <c r="A22" s="1" t="s">
        <v>95</v>
      </c>
    </row>
    <row r="25" spans="1:13" x14ac:dyDescent="0.25">
      <c r="A25" s="2" t="s">
        <v>96</v>
      </c>
    </row>
    <row r="27" spans="1:13" x14ac:dyDescent="0.25">
      <c r="A27" s="24"/>
      <c r="B27" s="1" t="s">
        <v>97</v>
      </c>
      <c r="D27" s="5">
        <v>152000</v>
      </c>
    </row>
    <row r="28" spans="1:13" x14ac:dyDescent="0.25">
      <c r="A28" s="4" t="s">
        <v>35</v>
      </c>
      <c r="B28" s="1" t="s">
        <v>98</v>
      </c>
      <c r="D28" s="5">
        <v>6000</v>
      </c>
    </row>
    <row r="29" spans="1:13" x14ac:dyDescent="0.25">
      <c r="A29" s="4" t="s">
        <v>35</v>
      </c>
      <c r="B29" s="1" t="s">
        <v>99</v>
      </c>
      <c r="D29" s="5">
        <v>8000</v>
      </c>
      <c r="E29" s="54"/>
    </row>
    <row r="30" spans="1:13" s="3" customFormat="1" ht="20.25" x14ac:dyDescent="0.3">
      <c r="A30" s="4" t="s">
        <v>6</v>
      </c>
      <c r="B30" s="1" t="s">
        <v>100</v>
      </c>
      <c r="C30" s="5"/>
      <c r="D30" s="6">
        <f>SUM(D27:D29)</f>
        <v>166000</v>
      </c>
      <c r="E30" s="5"/>
      <c r="F30" s="5"/>
      <c r="G30" s="1"/>
      <c r="H30" s="1"/>
      <c r="I30" s="1"/>
      <c r="J30" s="1"/>
      <c r="K30" s="1"/>
      <c r="L30" s="1"/>
      <c r="M30" s="1"/>
    </row>
    <row r="32" spans="1:13" x14ac:dyDescent="0.25">
      <c r="A32" s="1" t="s">
        <v>267</v>
      </c>
      <c r="F32" s="5">
        <f>10000*100/125</f>
        <v>8000</v>
      </c>
    </row>
    <row r="34" spans="1:6" x14ac:dyDescent="0.25">
      <c r="A34" s="1" t="s">
        <v>101</v>
      </c>
      <c r="E34" s="5">
        <f>(D30-25000)/5</f>
        <v>28200</v>
      </c>
    </row>
    <row r="36" spans="1:6" x14ac:dyDescent="0.25">
      <c r="A36" s="1" t="s">
        <v>102</v>
      </c>
      <c r="E36" s="30">
        <f>E34*8/12</f>
        <v>18800</v>
      </c>
    </row>
    <row r="39" spans="1:6" x14ac:dyDescent="0.25">
      <c r="A39" s="2" t="s">
        <v>103</v>
      </c>
    </row>
    <row r="41" spans="1:6" x14ac:dyDescent="0.25">
      <c r="A41" s="1" t="s">
        <v>59</v>
      </c>
      <c r="B41" s="1" t="s">
        <v>104</v>
      </c>
      <c r="F41" s="30">
        <f>490000*100/125</f>
        <v>392000</v>
      </c>
    </row>
    <row r="43" spans="1:6" x14ac:dyDescent="0.25">
      <c r="A43" s="1" t="s">
        <v>63</v>
      </c>
      <c r="B43" s="1" t="s">
        <v>105</v>
      </c>
      <c r="E43" s="30">
        <f>F41/10</f>
        <v>39200</v>
      </c>
    </row>
    <row r="48" spans="1:6" x14ac:dyDescent="0.25">
      <c r="A48" s="2" t="s">
        <v>106</v>
      </c>
    </row>
    <row r="50" spans="1:8" x14ac:dyDescent="0.25">
      <c r="A50" s="1" t="s">
        <v>107</v>
      </c>
      <c r="E50" s="30">
        <f>(276000-60000)/6</f>
        <v>36000</v>
      </c>
      <c r="H50" s="50"/>
    </row>
    <row r="51" spans="1:8" x14ac:dyDescent="0.25">
      <c r="H51" s="50"/>
    </row>
    <row r="52" spans="1:8" x14ac:dyDescent="0.25">
      <c r="A52" s="1" t="s">
        <v>108</v>
      </c>
      <c r="E52" s="5">
        <f>E50*8/12</f>
        <v>24000</v>
      </c>
      <c r="H52" s="68"/>
    </row>
    <row r="53" spans="1:8" x14ac:dyDescent="0.25">
      <c r="H53" s="50"/>
    </row>
    <row r="54" spans="1:8" x14ac:dyDescent="0.25">
      <c r="B54" s="29" t="s">
        <v>109</v>
      </c>
      <c r="C54" s="33" t="s">
        <v>115</v>
      </c>
      <c r="D54" s="31" t="s">
        <v>117</v>
      </c>
    </row>
    <row r="55" spans="1:8" x14ac:dyDescent="0.25">
      <c r="B55" s="28"/>
      <c r="C55" s="34"/>
      <c r="D55" s="32" t="s">
        <v>116</v>
      </c>
    </row>
    <row r="56" spans="1:8" x14ac:dyDescent="0.25">
      <c r="B56" s="35" t="s">
        <v>23</v>
      </c>
      <c r="C56" s="15">
        <f>E52</f>
        <v>24000</v>
      </c>
      <c r="D56" s="36">
        <f>276000-C56</f>
        <v>252000</v>
      </c>
    </row>
    <row r="57" spans="1:8" x14ac:dyDescent="0.25">
      <c r="B57" s="37" t="s">
        <v>33</v>
      </c>
      <c r="C57" s="38">
        <f>$E$50</f>
        <v>36000</v>
      </c>
      <c r="D57" s="39">
        <f>D56-C57</f>
        <v>216000</v>
      </c>
    </row>
    <row r="58" spans="1:8" x14ac:dyDescent="0.25">
      <c r="B58" s="37" t="s">
        <v>110</v>
      </c>
      <c r="C58" s="38">
        <f t="shared" ref="C58:C61" si="0">$E$50</f>
        <v>36000</v>
      </c>
      <c r="D58" s="39">
        <f t="shared" ref="D58:D62" si="1">D57-C58</f>
        <v>180000</v>
      </c>
    </row>
    <row r="59" spans="1:8" x14ac:dyDescent="0.25">
      <c r="B59" s="37" t="s">
        <v>111</v>
      </c>
      <c r="C59" s="38">
        <f t="shared" si="0"/>
        <v>36000</v>
      </c>
      <c r="D59" s="39">
        <f t="shared" si="1"/>
        <v>144000</v>
      </c>
    </row>
    <row r="60" spans="1:8" x14ac:dyDescent="0.25">
      <c r="B60" s="37" t="s">
        <v>112</v>
      </c>
      <c r="C60" s="38">
        <f t="shared" si="0"/>
        <v>36000</v>
      </c>
      <c r="D60" s="39">
        <f t="shared" si="1"/>
        <v>108000</v>
      </c>
    </row>
    <row r="61" spans="1:8" x14ac:dyDescent="0.25">
      <c r="B61" s="37" t="s">
        <v>113</v>
      </c>
      <c r="C61" s="38">
        <f t="shared" si="0"/>
        <v>36000</v>
      </c>
      <c r="D61" s="39">
        <f t="shared" si="1"/>
        <v>72000</v>
      </c>
    </row>
    <row r="62" spans="1:8" x14ac:dyDescent="0.25">
      <c r="B62" s="40" t="s">
        <v>114</v>
      </c>
      <c r="C62" s="20">
        <v>12000</v>
      </c>
      <c r="D62" s="41">
        <f t="shared" si="1"/>
        <v>60000</v>
      </c>
    </row>
    <row r="64" spans="1:8" x14ac:dyDescent="0.25">
      <c r="A64" s="1" t="s">
        <v>118</v>
      </c>
    </row>
    <row r="67" spans="1:12" x14ac:dyDescent="0.25">
      <c r="A67" s="2" t="s">
        <v>119</v>
      </c>
    </row>
    <row r="69" spans="1:12" x14ac:dyDescent="0.25">
      <c r="A69" s="1" t="s">
        <v>120</v>
      </c>
      <c r="F69" s="5">
        <f>200000*0.2</f>
        <v>40000</v>
      </c>
    </row>
    <row r="71" spans="1:12" x14ac:dyDescent="0.25">
      <c r="A71" s="1" t="s">
        <v>124</v>
      </c>
    </row>
    <row r="72" spans="1:12" x14ac:dyDescent="0.25">
      <c r="A72" s="1" t="s">
        <v>125</v>
      </c>
    </row>
    <row r="73" spans="1:12" x14ac:dyDescent="0.25">
      <c r="A73" s="1" t="s">
        <v>130</v>
      </c>
    </row>
    <row r="75" spans="1:12" x14ac:dyDescent="0.25">
      <c r="B75" s="1" t="s">
        <v>121</v>
      </c>
      <c r="E75" s="5">
        <v>200000</v>
      </c>
    </row>
    <row r="76" spans="1:12" x14ac:dyDescent="0.25">
      <c r="A76" s="24" t="s">
        <v>8</v>
      </c>
      <c r="B76" s="1" t="s">
        <v>122</v>
      </c>
      <c r="E76" s="30">
        <f>F69</f>
        <v>40000</v>
      </c>
    </row>
    <row r="77" spans="1:12" s="3" customFormat="1" ht="20.25" x14ac:dyDescent="0.3">
      <c r="A77" s="4" t="s">
        <v>6</v>
      </c>
      <c r="B77" s="1" t="s">
        <v>123</v>
      </c>
      <c r="C77" s="5"/>
      <c r="D77" s="5"/>
      <c r="E77" s="5">
        <f>E75-E76</f>
        <v>160000</v>
      </c>
      <c r="F77" s="5"/>
      <c r="G77" s="1"/>
      <c r="H77" s="1"/>
      <c r="I77" s="1"/>
      <c r="J77" s="1"/>
      <c r="K77" s="1"/>
      <c r="L77" s="1"/>
    </row>
    <row r="78" spans="1:12" x14ac:dyDescent="0.25">
      <c r="A78" s="4" t="s">
        <v>35</v>
      </c>
      <c r="B78" s="1" t="s">
        <v>129</v>
      </c>
      <c r="E78" s="5">
        <v>50000</v>
      </c>
    </row>
    <row r="79" spans="1:12" x14ac:dyDescent="0.25">
      <c r="A79" s="24" t="s">
        <v>8</v>
      </c>
      <c r="B79" s="1" t="s">
        <v>126</v>
      </c>
      <c r="E79" s="5">
        <f>F69</f>
        <v>40000</v>
      </c>
    </row>
    <row r="80" spans="1:12" x14ac:dyDescent="0.25">
      <c r="A80" s="24" t="s">
        <v>8</v>
      </c>
      <c r="B80" s="1" t="s">
        <v>127</v>
      </c>
    </row>
    <row r="81" spans="1:12" x14ac:dyDescent="0.25">
      <c r="A81" s="24"/>
      <c r="B81" s="1" t="s">
        <v>131</v>
      </c>
      <c r="E81" s="30">
        <f>1250*4</f>
        <v>5000</v>
      </c>
    </row>
    <row r="82" spans="1:12" s="3" customFormat="1" ht="20.25" x14ac:dyDescent="0.3">
      <c r="A82" s="4" t="s">
        <v>6</v>
      </c>
      <c r="B82" s="1" t="s">
        <v>128</v>
      </c>
      <c r="C82" s="5"/>
      <c r="D82" s="5"/>
      <c r="E82" s="6">
        <f>E77-E79-E81+E78</f>
        <v>165000</v>
      </c>
      <c r="F82" s="5"/>
      <c r="G82" s="1"/>
      <c r="H82" s="1"/>
      <c r="I82" s="1"/>
      <c r="J82" s="1"/>
      <c r="K82" s="1"/>
      <c r="L82" s="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91"/>
  <sheetViews>
    <sheetView showGridLines="0" topLeftCell="A27" workbookViewId="0">
      <selection activeCell="H145" sqref="H145"/>
    </sheetView>
  </sheetViews>
  <sheetFormatPr baseColWidth="10" defaultRowHeight="15.75" x14ac:dyDescent="0.25"/>
  <cols>
    <col min="1" max="1" width="5.7109375" style="1" customWidth="1"/>
    <col min="2" max="2" width="11.42578125" style="1"/>
    <col min="3" max="6" width="11.42578125" style="5"/>
    <col min="7" max="16384" width="11.42578125" style="1"/>
  </cols>
  <sheetData>
    <row r="1" spans="1:8" x14ac:dyDescent="0.25">
      <c r="A1" s="2" t="s">
        <v>132</v>
      </c>
      <c r="D1" s="44" t="s">
        <v>326</v>
      </c>
    </row>
    <row r="3" spans="1:8" x14ac:dyDescent="0.25">
      <c r="A3" s="1" t="s">
        <v>133</v>
      </c>
      <c r="F3" s="30">
        <f>(3500000-500000)/5</f>
        <v>600000</v>
      </c>
    </row>
    <row r="5" spans="1:8" x14ac:dyDescent="0.25">
      <c r="A5" s="1" t="s">
        <v>134</v>
      </c>
      <c r="D5" s="30">
        <f>F3/2</f>
        <v>300000</v>
      </c>
      <c r="E5" s="5" t="s">
        <v>268</v>
      </c>
    </row>
    <row r="7" spans="1:8" x14ac:dyDescent="0.25">
      <c r="A7" s="1" t="s">
        <v>136</v>
      </c>
    </row>
    <row r="8" spans="1:8" x14ac:dyDescent="0.25">
      <c r="A8" s="1" t="s">
        <v>135</v>
      </c>
    </row>
    <row r="10" spans="1:8" x14ac:dyDescent="0.25">
      <c r="A10" s="43" t="s">
        <v>109</v>
      </c>
      <c r="B10" s="11" t="s">
        <v>115</v>
      </c>
      <c r="C10" s="31" t="s">
        <v>137</v>
      </c>
      <c r="E10" s="5" t="s">
        <v>138</v>
      </c>
    </row>
    <row r="11" spans="1:8" x14ac:dyDescent="0.25">
      <c r="A11" s="42"/>
      <c r="B11" s="12"/>
      <c r="C11" s="32" t="s">
        <v>116</v>
      </c>
      <c r="E11" s="5" t="s">
        <v>139</v>
      </c>
    </row>
    <row r="12" spans="1:8" x14ac:dyDescent="0.25">
      <c r="A12" s="35">
        <v>1</v>
      </c>
      <c r="B12" s="15">
        <f>D5</f>
        <v>300000</v>
      </c>
      <c r="C12" s="36">
        <f>3500000-B12</f>
        <v>3200000</v>
      </c>
    </row>
    <row r="13" spans="1:8" x14ac:dyDescent="0.25">
      <c r="A13" s="37">
        <v>2</v>
      </c>
      <c r="B13" s="38">
        <v>600000</v>
      </c>
      <c r="C13" s="39">
        <f>C12-B13</f>
        <v>2600000</v>
      </c>
      <c r="E13" s="5" t="s">
        <v>140</v>
      </c>
    </row>
    <row r="14" spans="1:8" x14ac:dyDescent="0.25">
      <c r="A14" s="37">
        <v>3</v>
      </c>
      <c r="B14" s="38">
        <f>H20</f>
        <v>650000</v>
      </c>
      <c r="C14" s="39">
        <f>C13+H23-B14</f>
        <v>2750000</v>
      </c>
      <c r="E14" s="5" t="s">
        <v>269</v>
      </c>
    </row>
    <row r="15" spans="1:8" x14ac:dyDescent="0.25">
      <c r="A15" s="37">
        <v>4</v>
      </c>
      <c r="B15" s="38">
        <f>H30</f>
        <v>900000</v>
      </c>
      <c r="C15" s="39">
        <f>C14-B15</f>
        <v>1850000</v>
      </c>
      <c r="E15" s="5" t="s">
        <v>150</v>
      </c>
      <c r="H15" s="5">
        <f>800000/32</f>
        <v>25000</v>
      </c>
    </row>
    <row r="16" spans="1:8" x14ac:dyDescent="0.25">
      <c r="A16" s="37">
        <v>5</v>
      </c>
      <c r="B16" s="38">
        <f>H30</f>
        <v>900000</v>
      </c>
      <c r="C16" s="39">
        <f>C15-B16</f>
        <v>950000</v>
      </c>
      <c r="H16" s="5"/>
    </row>
    <row r="17" spans="1:12" x14ac:dyDescent="0.25">
      <c r="A17" s="40">
        <v>6</v>
      </c>
      <c r="B17" s="20">
        <f>H32</f>
        <v>450000</v>
      </c>
      <c r="C17" s="20">
        <f>C16-B17</f>
        <v>500000</v>
      </c>
      <c r="E17" s="44" t="s">
        <v>141</v>
      </c>
      <c r="H17" s="5"/>
    </row>
    <row r="18" spans="1:12" x14ac:dyDescent="0.25">
      <c r="E18" s="5" t="s">
        <v>142</v>
      </c>
      <c r="H18" s="5">
        <v>600000</v>
      </c>
    </row>
    <row r="19" spans="1:12" x14ac:dyDescent="0.25">
      <c r="E19" s="5" t="s">
        <v>151</v>
      </c>
      <c r="H19" s="5">
        <f>H15*2</f>
        <v>50000</v>
      </c>
    </row>
    <row r="20" spans="1:12" s="3" customFormat="1" ht="20.25" x14ac:dyDescent="0.3">
      <c r="A20" s="1"/>
      <c r="B20" s="1"/>
      <c r="C20" s="5"/>
      <c r="D20" s="5"/>
      <c r="E20" s="5" t="s">
        <v>143</v>
      </c>
      <c r="F20" s="5"/>
      <c r="G20" s="1"/>
      <c r="H20" s="6">
        <f>SUM(H18:H19)</f>
        <v>650000</v>
      </c>
      <c r="I20" s="1"/>
      <c r="J20" s="1"/>
      <c r="K20" s="1"/>
      <c r="L20" s="1"/>
    </row>
    <row r="21" spans="1:12" x14ac:dyDescent="0.25">
      <c r="H21" s="5"/>
    </row>
    <row r="22" spans="1:12" x14ac:dyDescent="0.25">
      <c r="D22" s="45"/>
      <c r="E22" s="5" t="s">
        <v>146</v>
      </c>
      <c r="H22" s="5">
        <f>C13</f>
        <v>2600000</v>
      </c>
    </row>
    <row r="23" spans="1:12" x14ac:dyDescent="0.25">
      <c r="D23" s="46" t="s">
        <v>35</v>
      </c>
      <c r="E23" s="5" t="s">
        <v>147</v>
      </c>
      <c r="H23" s="5">
        <v>800000</v>
      </c>
    </row>
    <row r="24" spans="1:12" x14ac:dyDescent="0.25">
      <c r="D24" s="45" t="s">
        <v>8</v>
      </c>
      <c r="E24" s="5" t="s">
        <v>148</v>
      </c>
      <c r="H24" s="5">
        <f>H20</f>
        <v>650000</v>
      </c>
    </row>
    <row r="25" spans="1:12" s="3" customFormat="1" ht="20.25" x14ac:dyDescent="0.3">
      <c r="A25" s="1"/>
      <c r="B25" s="1"/>
      <c r="C25" s="5"/>
      <c r="D25" s="46" t="s">
        <v>6</v>
      </c>
      <c r="E25" s="1" t="s">
        <v>149</v>
      </c>
      <c r="F25" s="1"/>
      <c r="G25" s="1"/>
      <c r="H25" s="6">
        <f>H22+H23-H24</f>
        <v>2750000</v>
      </c>
      <c r="I25" s="1"/>
      <c r="J25" s="1"/>
      <c r="K25" s="1"/>
      <c r="L25" s="1"/>
    </row>
    <row r="27" spans="1:12" x14ac:dyDescent="0.25">
      <c r="E27" s="44" t="s">
        <v>144</v>
      </c>
    </row>
    <row r="28" spans="1:12" x14ac:dyDescent="0.25">
      <c r="E28" s="5" t="s">
        <v>145</v>
      </c>
      <c r="H28" s="5">
        <f>H18</f>
        <v>600000</v>
      </c>
    </row>
    <row r="29" spans="1:12" x14ac:dyDescent="0.25">
      <c r="E29" s="5" t="s">
        <v>152</v>
      </c>
      <c r="H29" s="5">
        <f>H15*12</f>
        <v>300000</v>
      </c>
    </row>
    <row r="30" spans="1:12" s="3" customFormat="1" ht="20.25" x14ac:dyDescent="0.3">
      <c r="A30" s="1"/>
      <c r="B30" s="1"/>
      <c r="C30" s="5"/>
      <c r="D30" s="5"/>
      <c r="E30" s="5" t="s">
        <v>143</v>
      </c>
      <c r="F30" s="5"/>
      <c r="G30" s="1"/>
      <c r="H30" s="6">
        <f>SUM(H28:H29)</f>
        <v>900000</v>
      </c>
      <c r="I30" s="1"/>
      <c r="J30" s="1"/>
      <c r="K30" s="1"/>
      <c r="L30" s="1"/>
    </row>
    <row r="32" spans="1:12" x14ac:dyDescent="0.25">
      <c r="C32" s="5" t="s">
        <v>153</v>
      </c>
      <c r="H32" s="5">
        <f>H30/2</f>
        <v>450000</v>
      </c>
    </row>
    <row r="33" spans="1:14" x14ac:dyDescent="0.25">
      <c r="C33" s="5" t="s">
        <v>323</v>
      </c>
    </row>
    <row r="34" spans="1:14" x14ac:dyDescent="0.25">
      <c r="C34" s="5" t="s">
        <v>154</v>
      </c>
    </row>
    <row r="36" spans="1:14" x14ac:dyDescent="0.25">
      <c r="A36" s="2" t="s">
        <v>155</v>
      </c>
    </row>
    <row r="38" spans="1:14" x14ac:dyDescent="0.25">
      <c r="A38" s="1" t="s">
        <v>59</v>
      </c>
      <c r="B38" s="27" t="s">
        <v>156</v>
      </c>
    </row>
    <row r="39" spans="1:14" x14ac:dyDescent="0.25">
      <c r="B39" s="1" t="s">
        <v>157</v>
      </c>
      <c r="F39" s="5">
        <f>8000000/10</f>
        <v>800000</v>
      </c>
    </row>
    <row r="40" spans="1:14" x14ac:dyDescent="0.25">
      <c r="B40" s="1" t="s">
        <v>158</v>
      </c>
      <c r="F40" s="5">
        <f>2500000/5</f>
        <v>500000</v>
      </c>
    </row>
    <row r="41" spans="1:14" s="3" customFormat="1" ht="20.25" x14ac:dyDescent="0.3">
      <c r="A41" s="1"/>
      <c r="B41" s="1" t="s">
        <v>143</v>
      </c>
      <c r="C41" s="5"/>
      <c r="D41" s="5"/>
      <c r="E41" s="5"/>
      <c r="F41" s="6">
        <f>SUM(F39:F40)</f>
        <v>1300000</v>
      </c>
      <c r="G41" s="1"/>
      <c r="H41" s="1"/>
      <c r="I41" s="1"/>
      <c r="J41" s="1"/>
      <c r="K41" s="1"/>
      <c r="L41" s="1"/>
      <c r="M41" s="1"/>
      <c r="N41" s="1"/>
    </row>
    <row r="43" spans="1:14" x14ac:dyDescent="0.25">
      <c r="A43" s="1" t="s">
        <v>63</v>
      </c>
      <c r="B43" s="27" t="s">
        <v>159</v>
      </c>
    </row>
    <row r="44" spans="1:14" x14ac:dyDescent="0.25">
      <c r="B44" s="1" t="s">
        <v>160</v>
      </c>
      <c r="F44" s="5">
        <f>8000000-800000*3</f>
        <v>5600000</v>
      </c>
    </row>
    <row r="45" spans="1:14" x14ac:dyDescent="0.25">
      <c r="B45" s="1" t="s">
        <v>161</v>
      </c>
      <c r="F45" s="5">
        <f>2500000-500000*3</f>
        <v>1000000</v>
      </c>
    </row>
    <row r="47" spans="1:14" x14ac:dyDescent="0.25">
      <c r="B47" s="1" t="s">
        <v>163</v>
      </c>
    </row>
    <row r="49" spans="1:13" x14ac:dyDescent="0.25">
      <c r="B49" s="1" t="s">
        <v>162</v>
      </c>
    </row>
    <row r="51" spans="1:13" x14ac:dyDescent="0.25">
      <c r="B51" s="1" t="s">
        <v>164</v>
      </c>
    </row>
    <row r="53" spans="1:13" x14ac:dyDescent="0.25">
      <c r="B53" s="1" t="s">
        <v>165</v>
      </c>
      <c r="F53" s="5">
        <f>3900000/6.5</f>
        <v>600000</v>
      </c>
    </row>
    <row r="55" spans="1:13" x14ac:dyDescent="0.25">
      <c r="B55" s="1" t="s">
        <v>166</v>
      </c>
      <c r="F55" s="5">
        <f>F53/2</f>
        <v>300000</v>
      </c>
    </row>
    <row r="56" spans="1:13" x14ac:dyDescent="0.25">
      <c r="B56" s="1" t="s">
        <v>167</v>
      </c>
    </row>
    <row r="58" spans="1:13" x14ac:dyDescent="0.25">
      <c r="B58" s="27" t="s">
        <v>168</v>
      </c>
    </row>
    <row r="59" spans="1:13" x14ac:dyDescent="0.25">
      <c r="B59" s="1" t="s">
        <v>169</v>
      </c>
      <c r="G59" s="5">
        <f>F39</f>
        <v>800000</v>
      </c>
    </row>
    <row r="60" spans="1:13" x14ac:dyDescent="0.25">
      <c r="B60" s="1" t="s">
        <v>316</v>
      </c>
      <c r="G60" s="5">
        <f>250000</f>
        <v>250000</v>
      </c>
    </row>
    <row r="61" spans="1:13" x14ac:dyDescent="0.25">
      <c r="B61" s="1" t="s">
        <v>315</v>
      </c>
      <c r="G61" s="5">
        <f>F55</f>
        <v>300000</v>
      </c>
    </row>
    <row r="62" spans="1:13" x14ac:dyDescent="0.25">
      <c r="B62" s="1" t="s">
        <v>170</v>
      </c>
      <c r="G62" s="5">
        <v>750000</v>
      </c>
    </row>
    <row r="63" spans="1:13" s="3" customFormat="1" ht="20.25" x14ac:dyDescent="0.3">
      <c r="A63" s="1"/>
      <c r="B63" s="1" t="s">
        <v>171</v>
      </c>
      <c r="C63" s="5"/>
      <c r="D63" s="5"/>
      <c r="E63" s="5"/>
      <c r="F63" s="5"/>
      <c r="G63" s="6">
        <f>SUM(G59:G62)</f>
        <v>2100000</v>
      </c>
      <c r="H63" s="1"/>
      <c r="I63" s="1"/>
      <c r="J63" s="1"/>
      <c r="K63" s="1"/>
      <c r="L63" s="1"/>
      <c r="M63" s="1"/>
    </row>
    <row r="64" spans="1:13" x14ac:dyDescent="0.25">
      <c r="G64" s="5"/>
    </row>
    <row r="65" spans="1:13" x14ac:dyDescent="0.25">
      <c r="A65" s="1" t="s">
        <v>86</v>
      </c>
      <c r="B65" s="2" t="s">
        <v>172</v>
      </c>
    </row>
    <row r="66" spans="1:13" x14ac:dyDescent="0.25">
      <c r="B66" s="1" t="s">
        <v>173</v>
      </c>
      <c r="F66" s="5">
        <f>F44-G59</f>
        <v>4800000</v>
      </c>
    </row>
    <row r="67" spans="1:13" x14ac:dyDescent="0.25">
      <c r="B67" s="1" t="s">
        <v>174</v>
      </c>
      <c r="F67" s="5">
        <f>3900000-G61</f>
        <v>3600000</v>
      </c>
    </row>
    <row r="68" spans="1:13" s="3" customFormat="1" ht="20.25" x14ac:dyDescent="0.3">
      <c r="A68" s="1"/>
      <c r="B68" s="1" t="s">
        <v>175</v>
      </c>
      <c r="C68" s="5"/>
      <c r="D68" s="5"/>
      <c r="E68" s="5"/>
      <c r="F68" s="6">
        <f>SUM(F66:F67)</f>
        <v>8400000</v>
      </c>
      <c r="G68" s="1"/>
      <c r="H68" s="1"/>
      <c r="I68" s="1"/>
      <c r="J68" s="1"/>
      <c r="K68" s="1"/>
      <c r="L68" s="1"/>
      <c r="M68" s="1"/>
    </row>
    <row r="71" spans="1:13" x14ac:dyDescent="0.25">
      <c r="A71" s="2" t="s">
        <v>176</v>
      </c>
    </row>
    <row r="73" spans="1:13" x14ac:dyDescent="0.25">
      <c r="A73" s="1" t="s">
        <v>59</v>
      </c>
      <c r="B73" s="1" t="s">
        <v>177</v>
      </c>
      <c r="E73" s="30">
        <f>20000000/20</f>
        <v>1000000</v>
      </c>
    </row>
    <row r="75" spans="1:13" x14ac:dyDescent="0.25">
      <c r="A75" s="1" t="s">
        <v>63</v>
      </c>
      <c r="B75" s="1" t="s">
        <v>121</v>
      </c>
      <c r="E75" s="5">
        <v>20000000</v>
      </c>
    </row>
    <row r="76" spans="1:13" x14ac:dyDescent="0.25">
      <c r="A76" s="24" t="s">
        <v>8</v>
      </c>
      <c r="B76" s="1" t="s">
        <v>178</v>
      </c>
      <c r="E76" s="30">
        <f>E73*4</f>
        <v>4000000</v>
      </c>
    </row>
    <row r="77" spans="1:13" s="3" customFormat="1" ht="20.25" x14ac:dyDescent="0.3">
      <c r="A77" s="4" t="s">
        <v>6</v>
      </c>
      <c r="B77" s="1" t="s">
        <v>179</v>
      </c>
      <c r="C77" s="5"/>
      <c r="D77" s="5"/>
      <c r="E77" s="5">
        <f>E75-E76</f>
        <v>16000000</v>
      </c>
      <c r="F77" s="5"/>
      <c r="G77" s="1"/>
      <c r="H77" s="1"/>
      <c r="I77" s="1"/>
      <c r="J77" s="1"/>
      <c r="K77" s="1"/>
      <c r="L77" s="1"/>
      <c r="M77" s="1"/>
    </row>
    <row r="78" spans="1:13" x14ac:dyDescent="0.25">
      <c r="A78" s="24" t="s">
        <v>8</v>
      </c>
      <c r="B78" s="1" t="s">
        <v>180</v>
      </c>
      <c r="E78" s="5">
        <f>E73</f>
        <v>1000000</v>
      </c>
    </row>
    <row r="79" spans="1:13" x14ac:dyDescent="0.25">
      <c r="A79" s="24" t="s">
        <v>8</v>
      </c>
      <c r="B79" s="1" t="s">
        <v>181</v>
      </c>
      <c r="E79" s="30">
        <v>4500000</v>
      </c>
    </row>
    <row r="80" spans="1:13" s="3" customFormat="1" ht="20.25" x14ac:dyDescent="0.3">
      <c r="A80" s="4" t="s">
        <v>6</v>
      </c>
      <c r="B80" s="1" t="s">
        <v>182</v>
      </c>
      <c r="C80" s="5"/>
      <c r="D80" s="5"/>
      <c r="E80" s="6">
        <f>E77-E78-E79</f>
        <v>10500000</v>
      </c>
      <c r="F80" s="5"/>
      <c r="G80" s="1"/>
      <c r="H80" s="1"/>
      <c r="I80" s="1"/>
      <c r="J80" s="1"/>
      <c r="K80" s="1"/>
      <c r="L80" s="1"/>
      <c r="M80" s="1"/>
    </row>
    <row r="82" spans="1:13" x14ac:dyDescent="0.25">
      <c r="B82" s="1" t="s">
        <v>183</v>
      </c>
    </row>
    <row r="84" spans="1:13" x14ac:dyDescent="0.25">
      <c r="A84" s="1" t="s">
        <v>86</v>
      </c>
      <c r="B84" s="1" t="s">
        <v>184</v>
      </c>
      <c r="F84" s="5">
        <f>E80/15</f>
        <v>700000</v>
      </c>
    </row>
    <row r="86" spans="1:13" x14ac:dyDescent="0.25">
      <c r="A86" s="1" t="s">
        <v>197</v>
      </c>
      <c r="B86" s="1" t="s">
        <v>185</v>
      </c>
      <c r="E86" s="5">
        <f>E80</f>
        <v>10500000</v>
      </c>
    </row>
    <row r="87" spans="1:13" x14ac:dyDescent="0.25">
      <c r="A87" s="24" t="s">
        <v>8</v>
      </c>
      <c r="B87" s="1" t="s">
        <v>186</v>
      </c>
      <c r="E87" s="30">
        <f>F84*5</f>
        <v>3500000</v>
      </c>
      <c r="F87" s="54" t="s">
        <v>324</v>
      </c>
    </row>
    <row r="88" spans="1:13" s="3" customFormat="1" ht="20.25" x14ac:dyDescent="0.3">
      <c r="A88" s="4" t="s">
        <v>6</v>
      </c>
      <c r="B88" s="1" t="s">
        <v>187</v>
      </c>
      <c r="C88" s="5"/>
      <c r="D88" s="5"/>
      <c r="E88" s="6">
        <f>E86-E87</f>
        <v>7000000</v>
      </c>
      <c r="F88" s="5"/>
      <c r="G88" s="1"/>
      <c r="H88" s="1"/>
      <c r="I88" s="1"/>
      <c r="J88" s="1"/>
      <c r="K88" s="1"/>
      <c r="L88" s="1"/>
    </row>
    <row r="90" spans="1:13" x14ac:dyDescent="0.25">
      <c r="B90" s="1" t="s">
        <v>196</v>
      </c>
    </row>
    <row r="91" spans="1:13" x14ac:dyDescent="0.25">
      <c r="B91" s="1" t="s">
        <v>188</v>
      </c>
    </row>
    <row r="92" spans="1:13" x14ac:dyDescent="0.25">
      <c r="B92" s="1" t="s">
        <v>189</v>
      </c>
    </row>
    <row r="94" spans="1:13" x14ac:dyDescent="0.25">
      <c r="B94" s="1" t="s">
        <v>121</v>
      </c>
      <c r="E94" s="5">
        <v>20000000</v>
      </c>
    </row>
    <row r="95" spans="1:13" x14ac:dyDescent="0.25">
      <c r="A95" s="24" t="s">
        <v>8</v>
      </c>
      <c r="B95" s="1" t="s">
        <v>190</v>
      </c>
      <c r="E95" s="30">
        <f>E73*10</f>
        <v>10000000</v>
      </c>
    </row>
    <row r="96" spans="1:13" s="3" customFormat="1" ht="20.25" x14ac:dyDescent="0.3">
      <c r="A96" s="4" t="s">
        <v>6</v>
      </c>
      <c r="B96" s="1" t="s">
        <v>191</v>
      </c>
      <c r="C96" s="5"/>
      <c r="D96" s="5"/>
      <c r="E96" s="6">
        <f>E94-E95</f>
        <v>10000000</v>
      </c>
      <c r="F96" s="5"/>
      <c r="G96" s="1"/>
      <c r="H96" s="1"/>
      <c r="I96" s="1"/>
      <c r="J96" s="1"/>
      <c r="K96" s="1"/>
      <c r="L96" s="1"/>
      <c r="M96" s="1"/>
    </row>
    <row r="98" spans="1:18" x14ac:dyDescent="0.25">
      <c r="A98" s="24"/>
      <c r="B98" s="1" t="s">
        <v>192</v>
      </c>
      <c r="E98" s="5">
        <f>E88+700000</f>
        <v>7700000</v>
      </c>
      <c r="F98" s="5" t="s">
        <v>193</v>
      </c>
    </row>
    <row r="99" spans="1:18" x14ac:dyDescent="0.25">
      <c r="A99" s="24" t="s">
        <v>8</v>
      </c>
      <c r="B99" s="1" t="s">
        <v>194</v>
      </c>
      <c r="E99" s="5">
        <f>F84</f>
        <v>700000</v>
      </c>
    </row>
    <row r="100" spans="1:18" x14ac:dyDescent="0.25">
      <c r="A100" s="4" t="s">
        <v>35</v>
      </c>
      <c r="B100" s="1" t="s">
        <v>195</v>
      </c>
      <c r="E100" s="5">
        <v>3000000</v>
      </c>
    </row>
    <row r="101" spans="1:18" s="3" customFormat="1" ht="20.25" x14ac:dyDescent="0.3">
      <c r="A101" s="4" t="s">
        <v>6</v>
      </c>
      <c r="B101" s="1" t="s">
        <v>187</v>
      </c>
      <c r="C101" s="5"/>
      <c r="D101" s="5"/>
      <c r="E101" s="6">
        <f>E98-E99+E100</f>
        <v>10000000</v>
      </c>
      <c r="F101" s="5"/>
      <c r="G101" s="1"/>
      <c r="H101" s="1"/>
      <c r="I101" s="1"/>
      <c r="J101" s="1"/>
      <c r="K101" s="1"/>
      <c r="L101" s="1"/>
    </row>
    <row r="103" spans="1:18" s="57" customFormat="1" x14ac:dyDescent="0.25">
      <c r="B103" s="57" t="s">
        <v>327</v>
      </c>
      <c r="C103" s="5"/>
      <c r="D103" s="5"/>
      <c r="E103" s="5"/>
      <c r="F103" s="5"/>
    </row>
    <row r="104" spans="1:18" s="57" customFormat="1" x14ac:dyDescent="0.25">
      <c r="B104" s="57" t="s">
        <v>328</v>
      </c>
      <c r="C104" s="5"/>
      <c r="D104" s="5"/>
      <c r="E104" s="5"/>
      <c r="F104" s="5"/>
    </row>
    <row r="105" spans="1:18" s="57" customFormat="1" x14ac:dyDescent="0.25">
      <c r="C105" s="5"/>
      <c r="D105" s="5"/>
      <c r="E105" s="5"/>
      <c r="F105" s="5"/>
    </row>
    <row r="107" spans="1:18" x14ac:dyDescent="0.25">
      <c r="A107" s="2" t="s">
        <v>198</v>
      </c>
      <c r="M107" s="5"/>
      <c r="N107" s="5"/>
      <c r="O107" s="5"/>
      <c r="P107" s="5"/>
      <c r="Q107" s="57"/>
      <c r="R107" s="57"/>
    </row>
    <row r="108" spans="1:18" x14ac:dyDescent="0.25">
      <c r="M108" s="5"/>
      <c r="N108" s="5"/>
      <c r="O108" s="5"/>
      <c r="P108" s="5"/>
      <c r="Q108" s="57"/>
      <c r="R108" s="57"/>
    </row>
    <row r="109" spans="1:18" x14ac:dyDescent="0.25">
      <c r="A109" s="1" t="s">
        <v>59</v>
      </c>
      <c r="B109" s="1" t="s">
        <v>204</v>
      </c>
    </row>
    <row r="110" spans="1:18" x14ac:dyDescent="0.25">
      <c r="B110" s="1" t="s">
        <v>205</v>
      </c>
    </row>
    <row r="111" spans="1:18" x14ac:dyDescent="0.25">
      <c r="B111" s="1" t="s">
        <v>206</v>
      </c>
    </row>
    <row r="113" spans="1:14" x14ac:dyDescent="0.25">
      <c r="A113" s="1" t="s">
        <v>63</v>
      </c>
      <c r="B113" s="1" t="s">
        <v>270</v>
      </c>
      <c r="E113" s="5">
        <f>25000000/40</f>
        <v>625000</v>
      </c>
    </row>
    <row r="115" spans="1:14" x14ac:dyDescent="0.25">
      <c r="A115" s="24"/>
      <c r="B115" s="1" t="s">
        <v>100</v>
      </c>
      <c r="F115" s="5">
        <v>25000000</v>
      </c>
    </row>
    <row r="116" spans="1:14" x14ac:dyDescent="0.25">
      <c r="A116" s="24" t="s">
        <v>8</v>
      </c>
      <c r="B116" s="1" t="s">
        <v>325</v>
      </c>
      <c r="F116" s="30">
        <f>E113*4</f>
        <v>2500000</v>
      </c>
    </row>
    <row r="117" spans="1:14" s="3" customFormat="1" ht="20.25" x14ac:dyDescent="0.3">
      <c r="A117" s="4" t="s">
        <v>6</v>
      </c>
      <c r="B117" s="1" t="s">
        <v>199</v>
      </c>
      <c r="C117" s="5"/>
      <c r="D117" s="5"/>
      <c r="E117" s="5"/>
      <c r="F117" s="5">
        <f>F115-F116</f>
        <v>22500000</v>
      </c>
      <c r="G117" s="1"/>
      <c r="H117" s="1"/>
      <c r="I117" s="1"/>
      <c r="J117" s="1"/>
      <c r="K117" s="1"/>
      <c r="L117" s="1"/>
      <c r="M117" s="1"/>
    </row>
    <row r="118" spans="1:14" x14ac:dyDescent="0.25">
      <c r="A118" s="24" t="s">
        <v>8</v>
      </c>
      <c r="B118" s="1" t="s">
        <v>200</v>
      </c>
      <c r="F118" s="30">
        <v>4500000</v>
      </c>
    </row>
    <row r="119" spans="1:14" s="3" customFormat="1" ht="20.25" x14ac:dyDescent="0.3">
      <c r="A119" s="4" t="s">
        <v>6</v>
      </c>
      <c r="B119" s="1" t="s">
        <v>201</v>
      </c>
      <c r="C119" s="5"/>
      <c r="D119" s="5"/>
      <c r="E119" s="5"/>
      <c r="F119" s="6">
        <f>F117-F118</f>
        <v>18000000</v>
      </c>
      <c r="G119" s="1"/>
      <c r="H119" s="1"/>
      <c r="I119" s="1"/>
      <c r="J119" s="1"/>
      <c r="K119" s="1"/>
      <c r="L119" s="1"/>
      <c r="M119" s="1"/>
    </row>
    <row r="120" spans="1:14" x14ac:dyDescent="0.25">
      <c r="A120" s="4"/>
      <c r="F120" s="47"/>
    </row>
    <row r="121" spans="1:14" x14ac:dyDescent="0.25">
      <c r="A121" s="4"/>
      <c r="B121" s="27" t="s">
        <v>209</v>
      </c>
      <c r="F121" s="47"/>
    </row>
    <row r="122" spans="1:14" x14ac:dyDescent="0.25">
      <c r="A122" s="4"/>
      <c r="B122" s="1" t="s">
        <v>210</v>
      </c>
      <c r="F122" s="47">
        <v>625000</v>
      </c>
    </row>
    <row r="123" spans="1:14" x14ac:dyDescent="0.25">
      <c r="A123" s="4"/>
      <c r="B123" s="1" t="s">
        <v>211</v>
      </c>
      <c r="F123" s="47">
        <f>F118</f>
        <v>4500000</v>
      </c>
    </row>
    <row r="124" spans="1:14" s="3" customFormat="1" ht="20.25" x14ac:dyDescent="0.3">
      <c r="A124" s="4"/>
      <c r="B124" s="1" t="s">
        <v>212</v>
      </c>
      <c r="C124" s="5"/>
      <c r="D124" s="5"/>
      <c r="E124" s="5"/>
      <c r="F124" s="6">
        <f>SUM(F122:F123)</f>
        <v>5125000</v>
      </c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4"/>
      <c r="F125" s="47"/>
    </row>
    <row r="126" spans="1:14" x14ac:dyDescent="0.25">
      <c r="A126" s="1" t="s">
        <v>86</v>
      </c>
      <c r="B126" s="1" t="s">
        <v>213</v>
      </c>
    </row>
    <row r="127" spans="1:14" x14ac:dyDescent="0.25">
      <c r="A127" s="4"/>
      <c r="B127" s="1" t="s">
        <v>214</v>
      </c>
      <c r="F127" s="5">
        <f>18000000/36</f>
        <v>500000</v>
      </c>
    </row>
    <row r="128" spans="1:14" x14ac:dyDescent="0.25">
      <c r="A128" s="4"/>
      <c r="F128" s="47"/>
    </row>
    <row r="129" spans="1:13" x14ac:dyDescent="0.25">
      <c r="B129" s="1" t="s">
        <v>100</v>
      </c>
      <c r="F129" s="1"/>
      <c r="H129" s="5">
        <v>25000000</v>
      </c>
    </row>
    <row r="130" spans="1:13" x14ac:dyDescent="0.25">
      <c r="A130" s="24" t="s">
        <v>8</v>
      </c>
      <c r="B130" s="1" t="s">
        <v>219</v>
      </c>
      <c r="F130" s="1"/>
      <c r="H130" s="30">
        <f>E113*6</f>
        <v>3750000</v>
      </c>
    </row>
    <row r="131" spans="1:13" s="3" customFormat="1" ht="20.25" x14ac:dyDescent="0.3">
      <c r="A131" s="4" t="s">
        <v>6</v>
      </c>
      <c r="B131" s="1" t="s">
        <v>220</v>
      </c>
      <c r="C131" s="5"/>
      <c r="D131" s="5"/>
      <c r="E131" s="5"/>
      <c r="G131" s="1"/>
      <c r="H131" s="6">
        <f>H129-H130</f>
        <v>21250000</v>
      </c>
      <c r="I131" s="1"/>
      <c r="J131" s="1"/>
      <c r="K131" s="1"/>
      <c r="L131" s="1"/>
      <c r="M131" s="1"/>
    </row>
    <row r="132" spans="1:13" x14ac:dyDescent="0.25">
      <c r="A132" s="24"/>
    </row>
    <row r="133" spans="1:13" x14ac:dyDescent="0.25">
      <c r="A133" s="24"/>
      <c r="B133" s="1" t="s">
        <v>202</v>
      </c>
      <c r="F133" s="5">
        <f>F119</f>
        <v>18000000</v>
      </c>
    </row>
    <row r="134" spans="1:13" x14ac:dyDescent="0.25">
      <c r="A134" s="24" t="s">
        <v>8</v>
      </c>
      <c r="B134" s="1" t="s">
        <v>215</v>
      </c>
      <c r="F134" s="30">
        <f>1000000</f>
        <v>1000000</v>
      </c>
    </row>
    <row r="135" spans="1:13" s="3" customFormat="1" ht="20.25" x14ac:dyDescent="0.3">
      <c r="A135" s="4" t="s">
        <v>6</v>
      </c>
      <c r="B135" s="1" t="s">
        <v>203</v>
      </c>
      <c r="C135" s="5"/>
      <c r="D135" s="5"/>
      <c r="E135" s="5"/>
      <c r="F135" s="5">
        <f>F133-F134</f>
        <v>17000000</v>
      </c>
      <c r="G135" s="1"/>
      <c r="H135" s="1"/>
      <c r="I135" s="1"/>
      <c r="J135" s="1"/>
      <c r="K135" s="1"/>
      <c r="L135" s="1"/>
      <c r="M135" s="1"/>
    </row>
    <row r="136" spans="1:13" x14ac:dyDescent="0.25">
      <c r="A136" s="4" t="s">
        <v>35</v>
      </c>
      <c r="B136" s="1" t="s">
        <v>207</v>
      </c>
      <c r="F136" s="5">
        <f>H131-F135</f>
        <v>4250000</v>
      </c>
    </row>
    <row r="137" spans="1:13" s="3" customFormat="1" ht="20.25" x14ac:dyDescent="0.3">
      <c r="A137" s="4" t="s">
        <v>6</v>
      </c>
      <c r="B137" s="1" t="s">
        <v>208</v>
      </c>
      <c r="C137" s="5"/>
      <c r="D137" s="5"/>
      <c r="E137" s="5"/>
      <c r="F137" s="6">
        <f>F135+F136</f>
        <v>21250000</v>
      </c>
      <c r="G137" s="1"/>
      <c r="H137" s="1"/>
      <c r="I137" s="1"/>
      <c r="J137" s="1"/>
      <c r="K137" s="1"/>
      <c r="L137" s="1"/>
      <c r="M137" s="1"/>
    </row>
    <row r="139" spans="1:13" x14ac:dyDescent="0.25">
      <c r="A139" s="1" t="s">
        <v>197</v>
      </c>
      <c r="B139" s="27" t="s">
        <v>209</v>
      </c>
    </row>
    <row r="140" spans="1:13" x14ac:dyDescent="0.25">
      <c r="B140" s="1" t="s">
        <v>216</v>
      </c>
      <c r="E140" s="5">
        <v>500000</v>
      </c>
    </row>
    <row r="141" spans="1:13" x14ac:dyDescent="0.25">
      <c r="B141" s="1" t="s">
        <v>217</v>
      </c>
      <c r="E141" s="5">
        <f>F136</f>
        <v>4250000</v>
      </c>
    </row>
    <row r="142" spans="1:13" s="3" customFormat="1" ht="20.25" x14ac:dyDescent="0.3">
      <c r="A142" s="1"/>
      <c r="B142" s="1" t="s">
        <v>218</v>
      </c>
      <c r="C142" s="5"/>
      <c r="D142" s="5"/>
      <c r="E142" s="6">
        <f>E141-E140</f>
        <v>3750000</v>
      </c>
      <c r="F142" s="5"/>
      <c r="G142" s="1"/>
      <c r="H142" s="1"/>
      <c r="I142" s="1"/>
      <c r="J142" s="1"/>
      <c r="K142" s="1"/>
      <c r="L142" s="1"/>
      <c r="M142" s="1"/>
    </row>
    <row r="145" spans="1:13" x14ac:dyDescent="0.25">
      <c r="A145" s="2" t="s">
        <v>221</v>
      </c>
    </row>
    <row r="147" spans="1:13" x14ac:dyDescent="0.25">
      <c r="A147" s="1" t="s">
        <v>59</v>
      </c>
      <c r="B147" s="1" t="s">
        <v>222</v>
      </c>
    </row>
    <row r="148" spans="1:13" x14ac:dyDescent="0.25">
      <c r="B148" s="1" t="s">
        <v>223</v>
      </c>
    </row>
    <row r="150" spans="1:13" x14ac:dyDescent="0.25">
      <c r="A150" s="1" t="s">
        <v>63</v>
      </c>
      <c r="B150" s="1" t="s">
        <v>224</v>
      </c>
    </row>
    <row r="151" spans="1:13" x14ac:dyDescent="0.25">
      <c r="B151" s="1" t="s">
        <v>225</v>
      </c>
    </row>
    <row r="153" spans="1:13" x14ac:dyDescent="0.25">
      <c r="B153" s="1" t="s">
        <v>226</v>
      </c>
    </row>
    <row r="155" spans="1:13" x14ac:dyDescent="0.25">
      <c r="A155" s="24"/>
      <c r="B155" s="1" t="s">
        <v>230</v>
      </c>
      <c r="F155" s="5">
        <v>7000000</v>
      </c>
    </row>
    <row r="156" spans="1:13" x14ac:dyDescent="0.25">
      <c r="A156" s="24" t="s">
        <v>8</v>
      </c>
      <c r="B156" s="1" t="s">
        <v>227</v>
      </c>
      <c r="F156" s="5">
        <v>5600000</v>
      </c>
    </row>
    <row r="157" spans="1:13" s="3" customFormat="1" ht="20.25" x14ac:dyDescent="0.3">
      <c r="A157" s="4" t="s">
        <v>6</v>
      </c>
      <c r="B157" s="1" t="s">
        <v>211</v>
      </c>
      <c r="C157" s="5"/>
      <c r="E157" s="5"/>
      <c r="F157" s="6">
        <f>F155-F156</f>
        <v>1400000</v>
      </c>
      <c r="G157" s="1"/>
      <c r="H157" s="1"/>
      <c r="I157" s="1"/>
      <c r="J157" s="1"/>
      <c r="K157" s="1"/>
      <c r="L157" s="1"/>
      <c r="M157" s="1"/>
    </row>
    <row r="159" spans="1:13" x14ac:dyDescent="0.25">
      <c r="B159" s="1" t="s">
        <v>228</v>
      </c>
    </row>
    <row r="161" spans="1:13" x14ac:dyDescent="0.25">
      <c r="A161" s="1" t="s">
        <v>86</v>
      </c>
      <c r="B161" s="1" t="s">
        <v>229</v>
      </c>
      <c r="F161" s="30">
        <f>F156/7</f>
        <v>800000</v>
      </c>
    </row>
    <row r="163" spans="1:13" x14ac:dyDescent="0.25">
      <c r="A163" s="1" t="s">
        <v>197</v>
      </c>
      <c r="B163" s="1" t="s">
        <v>231</v>
      </c>
    </row>
    <row r="165" spans="1:13" x14ac:dyDescent="0.25">
      <c r="A165" s="24"/>
      <c r="B165" s="1" t="s">
        <v>232</v>
      </c>
      <c r="F165" s="5">
        <f>F156</f>
        <v>5600000</v>
      </c>
    </row>
    <row r="166" spans="1:13" x14ac:dyDescent="0.25">
      <c r="A166" s="24" t="s">
        <v>8</v>
      </c>
      <c r="B166" s="1" t="s">
        <v>233</v>
      </c>
      <c r="F166" s="30">
        <v>1600000</v>
      </c>
    </row>
    <row r="167" spans="1:13" s="3" customFormat="1" ht="20.25" x14ac:dyDescent="0.3">
      <c r="A167" s="4" t="s">
        <v>6</v>
      </c>
      <c r="B167" s="1" t="s">
        <v>234</v>
      </c>
      <c r="C167" s="5"/>
      <c r="D167" s="5"/>
      <c r="E167" s="5"/>
      <c r="F167" s="6">
        <f>F165-F166</f>
        <v>4000000</v>
      </c>
      <c r="G167" s="1"/>
      <c r="H167" s="1"/>
      <c r="I167" s="1"/>
      <c r="J167" s="1"/>
      <c r="K167" s="1"/>
      <c r="L167" s="1"/>
    </row>
    <row r="169" spans="1:13" x14ac:dyDescent="0.25">
      <c r="B169" s="1" t="s">
        <v>235</v>
      </c>
    </row>
    <row r="171" spans="1:13" x14ac:dyDescent="0.25">
      <c r="B171" s="1" t="s">
        <v>236</v>
      </c>
      <c r="G171" s="5">
        <v>7000000</v>
      </c>
    </row>
    <row r="172" spans="1:13" x14ac:dyDescent="0.25">
      <c r="A172" s="24" t="s">
        <v>8</v>
      </c>
      <c r="B172" s="1" t="s">
        <v>271</v>
      </c>
      <c r="G172" s="30">
        <v>2000000</v>
      </c>
    </row>
    <row r="173" spans="1:13" s="3" customFormat="1" ht="20.25" x14ac:dyDescent="0.3">
      <c r="A173" s="4" t="s">
        <v>6</v>
      </c>
      <c r="B173" s="1" t="s">
        <v>237</v>
      </c>
      <c r="C173" s="5"/>
      <c r="D173" s="5"/>
      <c r="E173" s="5"/>
      <c r="F173" s="5"/>
      <c r="G173" s="30">
        <f>G171-G172</f>
        <v>5000000</v>
      </c>
      <c r="H173" s="1"/>
      <c r="I173" s="1"/>
      <c r="J173" s="1"/>
      <c r="K173" s="1"/>
      <c r="L173" s="1"/>
      <c r="M173" s="1"/>
    </row>
    <row r="175" spans="1:13" x14ac:dyDescent="0.25">
      <c r="B175" s="1" t="s">
        <v>238</v>
      </c>
    </row>
    <row r="177" spans="2:6" x14ac:dyDescent="0.25">
      <c r="B177" s="1" t="s">
        <v>239</v>
      </c>
    </row>
    <row r="179" spans="2:6" s="2" customFormat="1" x14ac:dyDescent="0.25">
      <c r="B179" s="2" t="s">
        <v>240</v>
      </c>
      <c r="C179" s="44"/>
      <c r="D179" s="44"/>
      <c r="E179" s="23" t="s">
        <v>112</v>
      </c>
      <c r="F179" s="44"/>
    </row>
    <row r="180" spans="2:6" x14ac:dyDescent="0.25">
      <c r="B180" s="1" t="s">
        <v>115</v>
      </c>
      <c r="E180" s="5">
        <v>800000</v>
      </c>
    </row>
    <row r="181" spans="2:6" x14ac:dyDescent="0.25">
      <c r="B181" s="1" t="s">
        <v>241</v>
      </c>
      <c r="E181" s="5">
        <v>-1000000</v>
      </c>
    </row>
    <row r="183" spans="2:6" x14ac:dyDescent="0.25">
      <c r="B183" s="1" t="s">
        <v>242</v>
      </c>
    </row>
    <row r="185" spans="2:6" x14ac:dyDescent="0.25">
      <c r="B185" s="2" t="s">
        <v>243</v>
      </c>
      <c r="E185" s="23" t="s">
        <v>112</v>
      </c>
      <c r="F185" s="23" t="s">
        <v>111</v>
      </c>
    </row>
    <row r="186" spans="2:6" x14ac:dyDescent="0.25">
      <c r="B186" s="1" t="s">
        <v>244</v>
      </c>
      <c r="E186" s="5">
        <v>5000000</v>
      </c>
      <c r="F186" s="5">
        <v>4800000</v>
      </c>
    </row>
    <row r="188" spans="2:6" x14ac:dyDescent="0.25">
      <c r="B188" s="1" t="s">
        <v>245</v>
      </c>
    </row>
    <row r="189" spans="2:6" x14ac:dyDescent="0.25">
      <c r="B189" s="1" t="s">
        <v>246</v>
      </c>
    </row>
    <row r="190" spans="2:6" x14ac:dyDescent="0.25">
      <c r="B190" s="1" t="s">
        <v>247</v>
      </c>
    </row>
    <row r="191" spans="2:6" x14ac:dyDescent="0.25">
      <c r="B191" s="1" t="s">
        <v>248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74"/>
  <sheetViews>
    <sheetView showGridLines="0" tabSelected="1" topLeftCell="A53" workbookViewId="0">
      <selection activeCell="E70" sqref="E70"/>
    </sheetView>
  </sheetViews>
  <sheetFormatPr baseColWidth="10" defaultRowHeight="15.75" x14ac:dyDescent="0.25"/>
  <cols>
    <col min="1" max="1" width="5.7109375" style="1" customWidth="1"/>
    <col min="2" max="4" width="11.42578125" style="1"/>
    <col min="5" max="5" width="11.5703125" style="1" bestFit="1" customWidth="1"/>
    <col min="6" max="16384" width="11.42578125" style="1"/>
  </cols>
  <sheetData>
    <row r="1" spans="1:11" x14ac:dyDescent="0.25">
      <c r="A1" s="58" t="s">
        <v>272</v>
      </c>
    </row>
    <row r="3" spans="1:11" s="57" customFormat="1" x14ac:dyDescent="0.25">
      <c r="A3" s="11"/>
      <c r="B3" s="64"/>
      <c r="C3" s="64"/>
      <c r="D3" s="98" t="s">
        <v>249</v>
      </c>
      <c r="E3" s="99"/>
      <c r="F3" s="100" t="s">
        <v>250</v>
      </c>
      <c r="G3" s="100"/>
      <c r="H3" s="98" t="s">
        <v>251</v>
      </c>
      <c r="I3" s="99"/>
      <c r="J3" s="98" t="s">
        <v>252</v>
      </c>
      <c r="K3" s="99"/>
    </row>
    <row r="4" spans="1:11" x14ac:dyDescent="0.25">
      <c r="A4" s="12"/>
      <c r="B4" s="53"/>
      <c r="C4" s="53"/>
      <c r="D4" s="74" t="s">
        <v>253</v>
      </c>
      <c r="E4" s="74" t="s">
        <v>254</v>
      </c>
      <c r="F4" s="74" t="s">
        <v>253</v>
      </c>
      <c r="G4" s="74" t="s">
        <v>254</v>
      </c>
      <c r="H4" s="74" t="s">
        <v>253</v>
      </c>
      <c r="I4" s="74" t="s">
        <v>254</v>
      </c>
      <c r="J4" s="74" t="s">
        <v>253</v>
      </c>
      <c r="K4" s="74" t="s">
        <v>254</v>
      </c>
    </row>
    <row r="5" spans="1:11" x14ac:dyDescent="0.25">
      <c r="A5" s="88">
        <v>1000</v>
      </c>
      <c r="B5" s="76" t="s">
        <v>273</v>
      </c>
      <c r="C5" s="76"/>
      <c r="D5" s="77">
        <v>500000</v>
      </c>
      <c r="E5" s="78"/>
      <c r="F5" s="79">
        <v>1000000</v>
      </c>
      <c r="G5" s="78">
        <v>150000</v>
      </c>
      <c r="H5" s="79"/>
      <c r="I5" s="78"/>
      <c r="J5" s="79">
        <f>D5+F5-G5</f>
        <v>1350000</v>
      </c>
      <c r="K5" s="78"/>
    </row>
    <row r="6" spans="1:11" x14ac:dyDescent="0.25">
      <c r="A6" s="89">
        <v>5000</v>
      </c>
      <c r="B6" s="80" t="s">
        <v>52</v>
      </c>
      <c r="C6" s="80"/>
      <c r="D6" s="81">
        <v>7500000</v>
      </c>
      <c r="E6" s="82"/>
      <c r="F6" s="83"/>
      <c r="G6" s="82">
        <v>800000</v>
      </c>
      <c r="H6" s="83">
        <v>6700000</v>
      </c>
      <c r="I6" s="82"/>
      <c r="J6" s="83"/>
      <c r="K6" s="82"/>
    </row>
    <row r="7" spans="1:11" x14ac:dyDescent="0.25">
      <c r="A7" s="89">
        <v>6000</v>
      </c>
      <c r="B7" s="80" t="s">
        <v>274</v>
      </c>
      <c r="C7" s="80"/>
      <c r="D7" s="81">
        <v>800000</v>
      </c>
      <c r="E7" s="82"/>
      <c r="F7" s="83">
        <v>150000</v>
      </c>
      <c r="G7" s="82"/>
      <c r="H7" s="83">
        <v>950000</v>
      </c>
      <c r="I7" s="82"/>
      <c r="J7" s="83"/>
      <c r="K7" s="82"/>
    </row>
    <row r="8" spans="1:11" x14ac:dyDescent="0.25">
      <c r="A8" s="90"/>
      <c r="B8" s="84" t="s">
        <v>275</v>
      </c>
      <c r="C8" s="84"/>
      <c r="D8" s="85">
        <v>2500000</v>
      </c>
      <c r="E8" s="86"/>
      <c r="F8" s="87"/>
      <c r="G8" s="86">
        <v>200000</v>
      </c>
      <c r="H8" s="87">
        <v>2300000</v>
      </c>
      <c r="I8" s="86"/>
      <c r="J8" s="87"/>
      <c r="K8" s="86"/>
    </row>
    <row r="9" spans="1:11" x14ac:dyDescent="0.25">
      <c r="A9" s="73"/>
      <c r="D9" s="5"/>
      <c r="E9" s="5"/>
      <c r="F9" s="5"/>
      <c r="G9" s="5"/>
      <c r="H9" s="66"/>
      <c r="I9" s="75"/>
      <c r="J9" s="66"/>
      <c r="K9" s="5"/>
    </row>
    <row r="10" spans="1:11" x14ac:dyDescent="0.25">
      <c r="B10" s="1" t="s">
        <v>276</v>
      </c>
    </row>
    <row r="11" spans="1:11" x14ac:dyDescent="0.25">
      <c r="B11" s="1" t="s">
        <v>277</v>
      </c>
    </row>
    <row r="13" spans="1:11" x14ac:dyDescent="0.25">
      <c r="B13" s="1" t="s">
        <v>278</v>
      </c>
    </row>
    <row r="14" spans="1:11" x14ac:dyDescent="0.25">
      <c r="B14" s="1" t="s">
        <v>279</v>
      </c>
    </row>
    <row r="17" spans="1:1" x14ac:dyDescent="0.25">
      <c r="A17" s="58" t="s">
        <v>280</v>
      </c>
    </row>
    <row r="19" spans="1:1" x14ac:dyDescent="0.25">
      <c r="A19" s="27" t="s">
        <v>281</v>
      </c>
    </row>
    <row r="20" spans="1:1" x14ac:dyDescent="0.25">
      <c r="A20" s="1" t="s">
        <v>282</v>
      </c>
    </row>
    <row r="22" spans="1:1" x14ac:dyDescent="0.25">
      <c r="A22" s="27" t="s">
        <v>283</v>
      </c>
    </row>
    <row r="23" spans="1:1" x14ac:dyDescent="0.25">
      <c r="A23" s="1" t="s">
        <v>284</v>
      </c>
    </row>
    <row r="24" spans="1:1" x14ac:dyDescent="0.25">
      <c r="A24" s="1" t="s">
        <v>285</v>
      </c>
    </row>
    <row r="26" spans="1:1" x14ac:dyDescent="0.25">
      <c r="A26" s="27" t="s">
        <v>286</v>
      </c>
    </row>
    <row r="27" spans="1:1" x14ac:dyDescent="0.25">
      <c r="A27" s="1" t="s">
        <v>287</v>
      </c>
    </row>
    <row r="28" spans="1:1" x14ac:dyDescent="0.25">
      <c r="A28" s="1" t="s">
        <v>288</v>
      </c>
    </row>
    <row r="29" spans="1:1" x14ac:dyDescent="0.25">
      <c r="A29" s="1" t="s">
        <v>289</v>
      </c>
    </row>
    <row r="30" spans="1:1" x14ac:dyDescent="0.25">
      <c r="A30" s="1" t="s">
        <v>290</v>
      </c>
    </row>
    <row r="32" spans="1:1" x14ac:dyDescent="0.25">
      <c r="A32" s="58" t="s">
        <v>291</v>
      </c>
    </row>
    <row r="33" spans="1:17" x14ac:dyDescent="0.25">
      <c r="A33" s="7"/>
      <c r="B33" s="64"/>
      <c r="C33" s="64"/>
      <c r="D33" s="48" t="s">
        <v>292</v>
      </c>
      <c r="E33" s="71" t="s">
        <v>293</v>
      </c>
      <c r="F33" s="48" t="s">
        <v>294</v>
      </c>
      <c r="G33" s="70"/>
    </row>
    <row r="34" spans="1:17" ht="16.5" customHeight="1" x14ac:dyDescent="0.25">
      <c r="A34" s="8"/>
      <c r="B34" s="53"/>
      <c r="C34" s="53"/>
      <c r="D34" s="49">
        <v>4300</v>
      </c>
      <c r="E34" s="72">
        <v>4400</v>
      </c>
      <c r="F34" s="49">
        <v>2700</v>
      </c>
      <c r="G34" s="69" t="s">
        <v>143</v>
      </c>
    </row>
    <row r="35" spans="1:17" x14ac:dyDescent="0.25">
      <c r="A35" s="65" t="s">
        <v>115</v>
      </c>
      <c r="B35" s="55"/>
      <c r="C35" s="55"/>
      <c r="D35" s="59">
        <v>5000</v>
      </c>
      <c r="E35" s="47">
        <v>0</v>
      </c>
      <c r="F35" s="59">
        <v>0</v>
      </c>
      <c r="G35" s="56">
        <f>SUM(D35:F35)</f>
        <v>5000</v>
      </c>
    </row>
    <row r="36" spans="1:17" x14ac:dyDescent="0.25">
      <c r="A36" s="91" t="s">
        <v>295</v>
      </c>
      <c r="B36" s="80"/>
      <c r="C36" s="80"/>
      <c r="D36" s="83"/>
      <c r="E36" s="92">
        <v>1500</v>
      </c>
      <c r="F36" s="83"/>
      <c r="G36" s="93">
        <f t="shared" ref="G36:G37" si="0">SUM(D36:F36)</f>
        <v>1500</v>
      </c>
    </row>
    <row r="37" spans="1:17" x14ac:dyDescent="0.25">
      <c r="A37" s="65" t="s">
        <v>296</v>
      </c>
      <c r="B37" s="55"/>
      <c r="C37" s="55"/>
      <c r="D37" s="59"/>
      <c r="E37" s="47">
        <v>2200</v>
      </c>
      <c r="F37" s="59"/>
      <c r="G37" s="56">
        <f t="shared" si="0"/>
        <v>2200</v>
      </c>
    </row>
    <row r="38" spans="1:17" s="3" customFormat="1" ht="20.25" x14ac:dyDescent="0.3">
      <c r="A38" s="60" t="s">
        <v>251</v>
      </c>
      <c r="B38" s="52"/>
      <c r="C38" s="52"/>
      <c r="D38" s="62">
        <f>SUM(D35:D37)</f>
        <v>5000</v>
      </c>
      <c r="E38" s="6">
        <f t="shared" ref="E38:G38" si="1">SUM(E35:E37)</f>
        <v>3700</v>
      </c>
      <c r="F38" s="62">
        <f t="shared" si="1"/>
        <v>0</v>
      </c>
      <c r="G38" s="61">
        <f t="shared" si="1"/>
        <v>8700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s="3" customFormat="1" ht="20.25" x14ac:dyDescent="0.3">
      <c r="A39" s="8" t="s">
        <v>297</v>
      </c>
      <c r="B39" s="53"/>
      <c r="C39" s="53"/>
      <c r="D39" s="67">
        <v>10000</v>
      </c>
      <c r="E39" s="30">
        <v>0</v>
      </c>
      <c r="F39" s="67">
        <v>13600</v>
      </c>
      <c r="G39" s="63">
        <f>SUM(D39:F39)</f>
        <v>23600</v>
      </c>
      <c r="H39" s="57"/>
      <c r="I39" s="57"/>
      <c r="J39" s="57"/>
      <c r="K39" s="57"/>
      <c r="L39" s="57"/>
      <c r="M39" s="57"/>
      <c r="N39" s="57"/>
    </row>
    <row r="40" spans="1:17" x14ac:dyDescent="0.25">
      <c r="D40" s="5"/>
      <c r="E40" s="5"/>
      <c r="F40" s="5"/>
      <c r="G40" s="5"/>
    </row>
    <row r="42" spans="1:17" x14ac:dyDescent="0.25">
      <c r="A42" s="58" t="s">
        <v>298</v>
      </c>
    </row>
    <row r="43" spans="1:17" x14ac:dyDescent="0.25">
      <c r="E43" s="5"/>
      <c r="F43" s="5"/>
      <c r="G43" s="5"/>
      <c r="H43" s="5"/>
      <c r="I43" s="5"/>
    </row>
    <row r="44" spans="1:17" x14ac:dyDescent="0.25">
      <c r="A44" s="1" t="s">
        <v>59</v>
      </c>
      <c r="B44" s="51" t="s">
        <v>299</v>
      </c>
      <c r="E44" s="5"/>
      <c r="F44" s="5"/>
      <c r="G44" s="5"/>
      <c r="H44" s="5"/>
      <c r="I44" s="5"/>
    </row>
    <row r="45" spans="1:17" x14ac:dyDescent="0.25">
      <c r="B45" s="1" t="s">
        <v>300</v>
      </c>
      <c r="E45" s="5">
        <v>0</v>
      </c>
      <c r="F45" s="5"/>
      <c r="G45" s="5"/>
      <c r="H45" s="5"/>
      <c r="I45" s="5"/>
    </row>
    <row r="46" spans="1:17" x14ac:dyDescent="0.25">
      <c r="B46" s="1" t="s">
        <v>301</v>
      </c>
      <c r="E46" s="5">
        <v>1700</v>
      </c>
      <c r="F46" s="5"/>
      <c r="G46" s="5"/>
      <c r="H46" s="5"/>
      <c r="I46" s="5"/>
    </row>
    <row r="47" spans="1:17" x14ac:dyDescent="0.25">
      <c r="B47" s="1" t="s">
        <v>302</v>
      </c>
      <c r="E47" s="5">
        <v>400</v>
      </c>
      <c r="F47" s="5"/>
      <c r="G47" s="5"/>
      <c r="H47" s="5"/>
      <c r="I47" s="5"/>
    </row>
    <row r="48" spans="1:17" x14ac:dyDescent="0.25">
      <c r="B48" s="1" t="s">
        <v>303</v>
      </c>
      <c r="E48" s="5">
        <v>200</v>
      </c>
      <c r="F48" s="5"/>
      <c r="G48" s="5"/>
      <c r="H48" s="5"/>
      <c r="I48" s="5"/>
    </row>
    <row r="49" spans="1:22" s="3" customFormat="1" ht="20.25" x14ac:dyDescent="0.3">
      <c r="A49" s="57"/>
      <c r="B49" s="57" t="s">
        <v>304</v>
      </c>
      <c r="C49" s="57"/>
      <c r="D49" s="57"/>
      <c r="E49" s="6">
        <f>SUM(E45:E48)</f>
        <v>2300</v>
      </c>
      <c r="F49" s="5"/>
      <c r="G49" s="5"/>
      <c r="H49" s="5"/>
      <c r="I49" s="5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2" x14ac:dyDescent="0.25">
      <c r="E50" s="5"/>
      <c r="F50" s="5"/>
      <c r="G50" s="5"/>
      <c r="H50" s="5"/>
      <c r="I50" s="5"/>
    </row>
    <row r="51" spans="1:22" x14ac:dyDescent="0.25">
      <c r="A51" s="24"/>
      <c r="B51" s="1" t="s">
        <v>304</v>
      </c>
      <c r="E51" s="5">
        <f>E49</f>
        <v>2300</v>
      </c>
      <c r="F51" s="5"/>
      <c r="G51" s="5"/>
      <c r="H51" s="5"/>
      <c r="I51" s="5"/>
    </row>
    <row r="52" spans="1:22" x14ac:dyDescent="0.25">
      <c r="A52" s="24" t="s">
        <v>8</v>
      </c>
      <c r="B52" s="57" t="s">
        <v>305</v>
      </c>
      <c r="C52" s="57"/>
      <c r="D52" s="57"/>
      <c r="E52" s="5">
        <v>1800</v>
      </c>
      <c r="F52" s="5"/>
      <c r="G52" s="5"/>
      <c r="H52" s="5"/>
      <c r="I52" s="5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</row>
    <row r="53" spans="1:22" s="3" customFormat="1" ht="20.25" x14ac:dyDescent="0.3">
      <c r="A53" s="4" t="s">
        <v>6</v>
      </c>
      <c r="B53" s="57" t="s">
        <v>306</v>
      </c>
      <c r="C53" s="57"/>
      <c r="D53" s="57"/>
      <c r="E53" s="6">
        <f>E51-E52</f>
        <v>500</v>
      </c>
      <c r="F53" s="5"/>
      <c r="G53" s="5"/>
      <c r="H53" s="5"/>
      <c r="I53" s="5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</row>
    <row r="54" spans="1:22" x14ac:dyDescent="0.25">
      <c r="E54" s="5"/>
      <c r="F54" s="5"/>
      <c r="G54" s="5"/>
      <c r="H54" s="5"/>
      <c r="I54" s="5"/>
    </row>
    <row r="55" spans="1:22" x14ac:dyDescent="0.25">
      <c r="A55" s="24"/>
      <c r="B55" s="1" t="s">
        <v>307</v>
      </c>
      <c r="E55" s="5">
        <v>750</v>
      </c>
      <c r="F55" s="5"/>
      <c r="G55" s="5"/>
      <c r="H55" s="5"/>
      <c r="I55" s="5"/>
    </row>
    <row r="56" spans="1:22" x14ac:dyDescent="0.25">
      <c r="A56" s="24" t="s">
        <v>8</v>
      </c>
      <c r="B56" s="1" t="str">
        <f>B53</f>
        <v>Substansverdi egenkapital</v>
      </c>
      <c r="E56" s="5">
        <f>E53</f>
        <v>500</v>
      </c>
      <c r="F56" s="5"/>
      <c r="G56" s="5"/>
      <c r="H56" s="5"/>
      <c r="I56" s="5"/>
    </row>
    <row r="57" spans="1:22" s="3" customFormat="1" ht="20.25" x14ac:dyDescent="0.3">
      <c r="A57" s="4" t="s">
        <v>6</v>
      </c>
      <c r="B57" s="57" t="s">
        <v>308</v>
      </c>
      <c r="C57" s="57"/>
      <c r="D57" s="57"/>
      <c r="E57" s="6">
        <f>E55-E56</f>
        <v>250</v>
      </c>
      <c r="F57" s="5"/>
      <c r="G57" s="5"/>
      <c r="H57" s="5"/>
      <c r="I57" s="5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</row>
    <row r="58" spans="1:22" x14ac:dyDescent="0.25">
      <c r="E58" s="5"/>
      <c r="F58" s="5"/>
      <c r="G58" s="5"/>
      <c r="H58" s="5"/>
      <c r="I58" s="5"/>
    </row>
    <row r="59" spans="1:22" x14ac:dyDescent="0.25">
      <c r="E59" s="5"/>
      <c r="F59" s="5"/>
      <c r="G59" s="5"/>
      <c r="H59" s="5"/>
      <c r="I59" s="5"/>
    </row>
    <row r="60" spans="1:22" x14ac:dyDescent="0.25">
      <c r="E60" s="5"/>
      <c r="F60" s="5"/>
      <c r="G60" s="5"/>
      <c r="H60" s="5"/>
      <c r="I60" s="5"/>
    </row>
    <row r="61" spans="1:22" x14ac:dyDescent="0.25">
      <c r="E61" s="5"/>
      <c r="F61" s="5"/>
      <c r="G61" s="5"/>
      <c r="H61" s="5"/>
      <c r="I61" s="5"/>
    </row>
    <row r="62" spans="1:22" x14ac:dyDescent="0.25">
      <c r="B62" s="58" t="s">
        <v>309</v>
      </c>
      <c r="E62" s="5"/>
      <c r="F62" s="5"/>
      <c r="G62" s="5"/>
      <c r="H62" s="5"/>
      <c r="I62" s="5"/>
    </row>
    <row r="63" spans="1:22" x14ac:dyDescent="0.25">
      <c r="B63" s="1" t="s">
        <v>308</v>
      </c>
      <c r="E63" s="5">
        <v>250</v>
      </c>
      <c r="F63" s="5"/>
      <c r="G63" s="5"/>
      <c r="H63" s="5"/>
      <c r="I63" s="5"/>
    </row>
    <row r="64" spans="1:22" x14ac:dyDescent="0.25">
      <c r="B64" s="57" t="s">
        <v>301</v>
      </c>
      <c r="E64" s="5">
        <v>1700</v>
      </c>
      <c r="F64" s="5"/>
      <c r="G64" s="5"/>
      <c r="H64" s="5"/>
      <c r="I64" s="5"/>
    </row>
    <row r="65" spans="1:17" x14ac:dyDescent="0.25">
      <c r="B65" s="57" t="s">
        <v>302</v>
      </c>
      <c r="E65" s="5">
        <v>400</v>
      </c>
      <c r="F65" s="5"/>
      <c r="G65" s="5"/>
      <c r="H65" s="5"/>
      <c r="I65" s="5"/>
    </row>
    <row r="66" spans="1:17" x14ac:dyDescent="0.25">
      <c r="B66" s="57" t="s">
        <v>303</v>
      </c>
      <c r="E66" s="5">
        <v>200</v>
      </c>
      <c r="F66" s="5"/>
      <c r="G66" s="5"/>
      <c r="H66" s="5"/>
      <c r="I66" s="5"/>
    </row>
    <row r="67" spans="1:17" s="3" customFormat="1" ht="20.25" x14ac:dyDescent="0.3">
      <c r="A67" s="57"/>
      <c r="B67" s="57" t="s">
        <v>310</v>
      </c>
      <c r="C67" s="57"/>
      <c r="D67" s="57"/>
      <c r="E67" s="6">
        <f>SUM(E63:E66)</f>
        <v>2550</v>
      </c>
      <c r="F67" s="5"/>
      <c r="G67" s="5"/>
      <c r="H67" s="5"/>
      <c r="I67" s="5"/>
      <c r="J67" s="57"/>
      <c r="K67" s="57"/>
      <c r="L67" s="57"/>
      <c r="M67" s="57"/>
      <c r="N67" s="57"/>
      <c r="O67" s="57"/>
      <c r="P67" s="57"/>
      <c r="Q67" s="57"/>
    </row>
    <row r="68" spans="1:17" x14ac:dyDescent="0.25">
      <c r="E68" s="5"/>
      <c r="F68" s="5"/>
      <c r="G68" s="5"/>
      <c r="H68" s="5"/>
      <c r="I68" s="5"/>
    </row>
    <row r="69" spans="1:17" x14ac:dyDescent="0.25">
      <c r="B69" s="1" t="s">
        <v>311</v>
      </c>
      <c r="E69" s="5">
        <v>750</v>
      </c>
      <c r="F69" s="5"/>
      <c r="G69" s="5"/>
      <c r="H69" s="5"/>
      <c r="I69" s="5"/>
    </row>
    <row r="70" spans="1:17" x14ac:dyDescent="0.25">
      <c r="B70" s="1" t="s">
        <v>305</v>
      </c>
      <c r="E70" s="5">
        <v>1800</v>
      </c>
      <c r="F70" s="5"/>
      <c r="G70" s="5"/>
      <c r="H70" s="5"/>
      <c r="I70" s="5"/>
    </row>
    <row r="71" spans="1:17" s="3" customFormat="1" ht="20.25" x14ac:dyDescent="0.3">
      <c r="A71" s="57"/>
      <c r="B71" s="57" t="s">
        <v>312</v>
      </c>
      <c r="C71" s="57"/>
      <c r="D71" s="57"/>
      <c r="E71" s="6">
        <f>SUM(E69:E70)</f>
        <v>2550</v>
      </c>
      <c r="F71" s="57"/>
      <c r="G71" s="57"/>
      <c r="H71" s="57"/>
      <c r="I71" s="57"/>
      <c r="J71" s="57"/>
      <c r="K71" s="57"/>
      <c r="L71" s="57"/>
      <c r="M71" s="57"/>
    </row>
    <row r="73" spans="1:17" x14ac:dyDescent="0.25">
      <c r="A73" s="1" t="s">
        <v>63</v>
      </c>
      <c r="B73" s="1" t="s">
        <v>313</v>
      </c>
    </row>
    <row r="74" spans="1:17" x14ac:dyDescent="0.25">
      <c r="B74" s="1" t="s">
        <v>314</v>
      </c>
    </row>
  </sheetData>
  <mergeCells count="4">
    <mergeCell ref="D3:E3"/>
    <mergeCell ref="F3:G3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Oppgave 3.1-3.6</vt:lpstr>
      <vt:lpstr>Oppgave 3.7-3.12</vt:lpstr>
      <vt:lpstr>Oppgave 3.13-3.17</vt:lpstr>
      <vt:lpstr>Oppgave 3.18-3.20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2022-01-09T17:44:59Z</dcterms:modified>
</cp:coreProperties>
</file>