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5B41489C-07F9-422C-9AA5-7C7190F176EF}" xr6:coauthVersionLast="47" xr6:coauthVersionMax="47" xr10:uidLastSave="{00000000-0000-0000-0000-000000000000}"/>
  <bookViews>
    <workbookView xWindow="4500" yWindow="2655" windowWidth="23400" windowHeight="12630" activeTab="3" xr2:uid="{00000000-000D-0000-FFFF-FFFF00000000}"/>
  </bookViews>
  <sheets>
    <sheet name=" 4.1" sheetId="2" r:id="rId1"/>
    <sheet name=" 4.2 - 4.5" sheetId="1" r:id="rId2"/>
    <sheet name=" 4.6 - 4.10" sheetId="13" r:id="rId3"/>
    <sheet name="4.11 - 4.14" sheetId="14" r:id="rId4"/>
  </sheets>
  <definedNames>
    <definedName name="_xlnm.Print_Area" localSheetId="1">' 4.2 - 4.5'!$A$1:$V$31,' 4.2 - 4.5'!$A$32:$J$62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14" l="1"/>
  <c r="E123" i="14"/>
  <c r="F119" i="14"/>
  <c r="F123" i="14" s="1"/>
  <c r="F111" i="14"/>
  <c r="F112" i="14" s="1"/>
  <c r="F113" i="14" s="1"/>
  <c r="F124" i="14" s="1"/>
  <c r="F90" i="14"/>
  <c r="F60" i="14"/>
  <c r="F58" i="14"/>
  <c r="F59" i="14" s="1"/>
  <c r="E71" i="14" s="1"/>
  <c r="E73" i="14" s="1"/>
  <c r="E80" i="14" s="1"/>
  <c r="E82" i="14" s="1"/>
  <c r="E83" i="14" s="1"/>
  <c r="E51" i="14"/>
  <c r="E52" i="14" s="1"/>
  <c r="F93" i="14" s="1"/>
  <c r="G32" i="14"/>
  <c r="F6" i="14"/>
  <c r="E118" i="13"/>
  <c r="E119" i="13" s="1"/>
  <c r="D118" i="13"/>
  <c r="D119" i="13" s="1"/>
  <c r="E108" i="13"/>
  <c r="E109" i="13" s="1"/>
  <c r="E110" i="13" s="1"/>
  <c r="E126" i="13" s="1"/>
  <c r="E128" i="13" s="1"/>
  <c r="E99" i="13"/>
  <c r="E80" i="13"/>
  <c r="F80" i="13"/>
  <c r="D80" i="13"/>
  <c r="E72" i="13"/>
  <c r="E73" i="13" s="1"/>
  <c r="F72" i="13"/>
  <c r="D72" i="13"/>
  <c r="D73" i="13" s="1"/>
  <c r="G71" i="13"/>
  <c r="F69" i="13"/>
  <c r="F70" i="13" s="1"/>
  <c r="E69" i="13"/>
  <c r="E70" i="13" s="1"/>
  <c r="D69" i="13"/>
  <c r="G68" i="13"/>
  <c r="D45" i="13"/>
  <c r="E45" i="13" s="1"/>
  <c r="D36" i="13"/>
  <c r="E36" i="13" s="1"/>
  <c r="D37" i="13" s="1"/>
  <c r="F28" i="13"/>
  <c r="F17" i="13"/>
  <c r="F18" i="13" s="1"/>
  <c r="G17" i="13"/>
  <c r="G18" i="13" s="1"/>
  <c r="G19" i="13" s="1"/>
  <c r="H17" i="13"/>
  <c r="I17" i="13"/>
  <c r="E17" i="13"/>
  <c r="E18" i="13" s="1"/>
  <c r="D16" i="13"/>
  <c r="J8" i="13"/>
  <c r="J9" i="13"/>
  <c r="J10" i="13"/>
  <c r="J13" i="13"/>
  <c r="J14" i="13"/>
  <c r="J15" i="13"/>
  <c r="J6" i="13"/>
  <c r="E57" i="1"/>
  <c r="E53" i="1"/>
  <c r="E56" i="1" s="1"/>
  <c r="S9" i="1"/>
  <c r="V8" i="1"/>
  <c r="C10" i="1"/>
  <c r="E23" i="1" s="1"/>
  <c r="E8" i="1"/>
  <c r="E10" i="1" s="1"/>
  <c r="E20" i="1" s="1"/>
  <c r="C8" i="1"/>
  <c r="F6" i="2"/>
  <c r="E8" i="2"/>
  <c r="D8" i="2"/>
  <c r="D17" i="2" s="1"/>
  <c r="G19" i="2"/>
  <c r="J18" i="2"/>
  <c r="D10" i="2"/>
  <c r="F7" i="14" l="1"/>
  <c r="F8" i="14" s="1"/>
  <c r="E125" i="14"/>
  <c r="E126" i="14" s="1"/>
  <c r="E129" i="13"/>
  <c r="E130" i="13" s="1"/>
  <c r="D120" i="13"/>
  <c r="E19" i="1"/>
  <c r="F125" i="14"/>
  <c r="F126" i="14" s="1"/>
  <c r="E58" i="1"/>
  <c r="E53" i="14"/>
  <c r="F81" i="14" s="1"/>
  <c r="F82" i="14" s="1"/>
  <c r="F61" i="14"/>
  <c r="E64" i="14"/>
  <c r="E65" i="14" s="1"/>
  <c r="E120" i="13"/>
  <c r="E79" i="13"/>
  <c r="G72" i="13"/>
  <c r="G73" i="13" s="1"/>
  <c r="G80" i="13"/>
  <c r="E100" i="13"/>
  <c r="E101" i="13" s="1"/>
  <c r="F73" i="13"/>
  <c r="F79" i="13" s="1"/>
  <c r="G69" i="13"/>
  <c r="G70" i="13" s="1"/>
  <c r="D70" i="13"/>
  <c r="D79" i="13" s="1"/>
  <c r="F45" i="13"/>
  <c r="D46" i="13"/>
  <c r="D47" i="13" s="1"/>
  <c r="D49" i="13" s="1"/>
  <c r="J17" i="13"/>
  <c r="F19" i="13"/>
  <c r="E19" i="13"/>
  <c r="I18" i="13"/>
  <c r="I19" i="13" s="1"/>
  <c r="H18" i="13"/>
  <c r="E37" i="13"/>
  <c r="Q7" i="1"/>
  <c r="F8" i="1"/>
  <c r="E14" i="1" s="1"/>
  <c r="E15" i="1" s="1"/>
  <c r="E17" i="1" s="1"/>
  <c r="E22" i="1" s="1"/>
  <c r="E24" i="1" s="1"/>
  <c r="D11" i="2"/>
  <c r="F17" i="2" s="1"/>
  <c r="E20" i="2" s="1"/>
  <c r="G20" i="2" s="1"/>
  <c r="H16" i="14" l="1"/>
  <c r="H18" i="14" s="1"/>
  <c r="H20" i="14" s="1"/>
  <c r="F16" i="14"/>
  <c r="F18" i="14" s="1"/>
  <c r="F19" i="14" s="1"/>
  <c r="G16" i="14"/>
  <c r="G18" i="14" s="1"/>
  <c r="G21" i="14" s="1"/>
  <c r="G133" i="14"/>
  <c r="H19" i="13"/>
  <c r="J18" i="13"/>
  <c r="J19" i="13" s="1"/>
  <c r="G82" i="14"/>
  <c r="F83" i="14"/>
  <c r="G125" i="14"/>
  <c r="F129" i="14" s="1"/>
  <c r="F130" i="14" s="1"/>
  <c r="G132" i="14" s="1"/>
  <c r="G134" i="14" s="1"/>
  <c r="G79" i="13"/>
  <c r="G45" i="13"/>
  <c r="D38" i="13"/>
  <c r="E38" i="13" s="1"/>
  <c r="E46" i="13"/>
  <c r="E47" i="13" s="1"/>
  <c r="E49" i="13" s="1"/>
  <c r="V7" i="1"/>
  <c r="R10" i="1"/>
  <c r="T10" i="1" s="1"/>
  <c r="D12" i="2"/>
  <c r="J17" i="2"/>
  <c r="H21" i="14" l="1"/>
  <c r="F21" i="14"/>
  <c r="D39" i="13"/>
  <c r="E39" i="13" s="1"/>
  <c r="F46" i="13"/>
  <c r="F47" i="13" s="1"/>
  <c r="F49" i="13" s="1"/>
  <c r="H45" i="13"/>
  <c r="D40" i="13" l="1"/>
  <c r="E40" i="13" s="1"/>
  <c r="H46" i="13" s="1"/>
  <c r="H47" i="13" s="1"/>
  <c r="H50" i="13" s="1"/>
  <c r="G46" i="13"/>
  <c r="G47" i="13" s="1"/>
  <c r="G50" i="13" s="1"/>
</calcChain>
</file>

<file path=xl/sharedStrings.xml><?xml version="1.0" encoding="utf-8"?>
<sst xmlns="http://schemas.openxmlformats.org/spreadsheetml/2006/main" count="436" uniqueCount="260">
  <si>
    <t>Konto</t>
  </si>
  <si>
    <t>Saldobalanse</t>
  </si>
  <si>
    <t>Resultat</t>
  </si>
  <si>
    <t>Balanse</t>
  </si>
  <si>
    <t>Posteringer</t>
  </si>
  <si>
    <t>Nr.</t>
  </si>
  <si>
    <t>Utsatt skatt</t>
  </si>
  <si>
    <t>Betalbar skatt</t>
  </si>
  <si>
    <t>Endring utsatt skatt</t>
  </si>
  <si>
    <t>Debet</t>
  </si>
  <si>
    <t>Kredit</t>
  </si>
  <si>
    <t>a)</t>
  </si>
  <si>
    <t>Skattepliktig overskudd</t>
  </si>
  <si>
    <t>Regnskapsmessig verdi</t>
  </si>
  <si>
    <t>Skattemessig verdi</t>
  </si>
  <si>
    <t>–</t>
  </si>
  <si>
    <t>=</t>
  </si>
  <si>
    <t>Forskjell/endring forskjell</t>
  </si>
  <si>
    <t>Driftsmidler</t>
  </si>
  <si>
    <t>1.1.20x1</t>
  </si>
  <si>
    <t>31.12.20x1</t>
  </si>
  <si>
    <t>Endring</t>
  </si>
  <si>
    <t>Regnskapsmessig resultat før skattekostnad</t>
  </si>
  <si>
    <t>Endring i forskjeller</t>
  </si>
  <si>
    <t>b)</t>
  </si>
  <si>
    <t>c)</t>
  </si>
  <si>
    <t>Skattekostnad</t>
  </si>
  <si>
    <t>d)</t>
  </si>
  <si>
    <t>+</t>
  </si>
  <si>
    <t>Salgssum</t>
  </si>
  <si>
    <t>Avskrivningsgrunnlag</t>
  </si>
  <si>
    <t>Forskjell</t>
  </si>
  <si>
    <t>Anskaffelser i 20x1</t>
  </si>
  <si>
    <t>Saldoavskrivning, 30 %</t>
  </si>
  <si>
    <t>R-verdi solgt driftsmiddel</t>
  </si>
  <si>
    <t>Avskrivning</t>
  </si>
  <si>
    <t>1.1.x1</t>
  </si>
  <si>
    <t>31.12.x1</t>
  </si>
  <si>
    <t>forskjeller</t>
  </si>
  <si>
    <t>31.12.</t>
  </si>
  <si>
    <t>Utsatt skattefordel</t>
  </si>
  <si>
    <t>Forretnings-</t>
  </si>
  <si>
    <t>bygg</t>
  </si>
  <si>
    <t>R-verdi 31.12.</t>
  </si>
  <si>
    <t>Saldoavskrivning</t>
  </si>
  <si>
    <t>S-verdi 31.12.</t>
  </si>
  <si>
    <t>Sum</t>
  </si>
  <si>
    <t>Saldo-</t>
  </si>
  <si>
    <t>Anskaffelser i 20x2</t>
  </si>
  <si>
    <t xml:space="preserve">Oppgave 4.1 </t>
  </si>
  <si>
    <t xml:space="preserve">Oppgave 4.2 </t>
  </si>
  <si>
    <t>Oppgave 4.6</t>
  </si>
  <si>
    <t>Kopimaskin</t>
  </si>
  <si>
    <t>Datautstyr</t>
  </si>
  <si>
    <t>Personbil</t>
  </si>
  <si>
    <t>Kontorinventar</t>
  </si>
  <si>
    <t>Butikkinventar</t>
  </si>
  <si>
    <t>Snøfreser</t>
  </si>
  <si>
    <t>Gressklipper</t>
  </si>
  <si>
    <t>Driftsbygning</t>
  </si>
  <si>
    <t>Lagerbygg</t>
  </si>
  <si>
    <t>Garasje</t>
  </si>
  <si>
    <t>Kostnads-</t>
  </si>
  <si>
    <t>føres</t>
  </si>
  <si>
    <t>Saldogruppe:</t>
  </si>
  <si>
    <t>Saldoverdi 31.12.</t>
  </si>
  <si>
    <t>Utstyr som fradragsføres direkte, føres i kolonnen "Kostnadsføres".</t>
  </si>
  <si>
    <t xml:space="preserve">Utstyr som føres på saldo og er gjenstand for saldoavskrivning føres i øvrige (gule) kolonner  </t>
  </si>
  <si>
    <t>20x1</t>
  </si>
  <si>
    <t>20x2</t>
  </si>
  <si>
    <t>20x3</t>
  </si>
  <si>
    <t>20x4</t>
  </si>
  <si>
    <t>20x5</t>
  </si>
  <si>
    <t>År</t>
  </si>
  <si>
    <t>avskrivning</t>
  </si>
  <si>
    <t>Saldoverdi</t>
  </si>
  <si>
    <t>b) og c)</t>
  </si>
  <si>
    <t>Beregning av saldoavskrivninger og saldoverdi:</t>
  </si>
  <si>
    <t>Oppgave 4.8</t>
  </si>
  <si>
    <t>Drifts-</t>
  </si>
  <si>
    <t>bygning</t>
  </si>
  <si>
    <t>Lager-</t>
  </si>
  <si>
    <t>R-verdi per 1.1.x1</t>
  </si>
  <si>
    <t>R-avskrivninger</t>
  </si>
  <si>
    <t>R-verdi per 31.12.x1</t>
  </si>
  <si>
    <t>S-verdi per 1.1.x1</t>
  </si>
  <si>
    <t>S-avskrivninger</t>
  </si>
  <si>
    <t>S-verdi per 31.12.x1</t>
  </si>
  <si>
    <t>Forskjeller per 31.12.x1</t>
  </si>
  <si>
    <t>Forskjeller per 1.1.x1</t>
  </si>
  <si>
    <t>Utsatt skatt per 1.1.x1:</t>
  </si>
  <si>
    <t>Utsatt skatt per 31.12.x1:</t>
  </si>
  <si>
    <t>Oppgave 4.10</t>
  </si>
  <si>
    <t>Saldoverdi per 1.1.x2</t>
  </si>
  <si>
    <t>Kjøp</t>
  </si>
  <si>
    <t>Oppgave 4.13</t>
  </si>
  <si>
    <t>Oppgave 4.7</t>
  </si>
  <si>
    <r>
      <t xml:space="preserve">Betalbar skatt: 140 000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0,22 =</t>
    </r>
  </si>
  <si>
    <t>Forskjeller/endring i forskjeller</t>
  </si>
  <si>
    <r>
      <t xml:space="preserve">Vi forutsetter at det ikke er noen saldo på konto </t>
    </r>
    <r>
      <rPr>
        <i/>
        <sz val="12"/>
        <color theme="1"/>
        <rFont val="Times New Roman"/>
        <family val="1"/>
      </rPr>
      <t>2500 Betalbar skatt</t>
    </r>
    <r>
      <rPr>
        <sz val="12"/>
        <color theme="1"/>
        <rFont val="Times New Roman"/>
        <family val="1"/>
      </rPr>
      <t xml:space="preserve"> i saldobalansen. Det betyr at den faktiske skatten</t>
    </r>
  </si>
  <si>
    <t>i fjor (i 20x0) stemte med den skatten vi beregnet ved årsoppgjøret for 20x0.</t>
  </si>
  <si>
    <r>
      <t xml:space="preserve">Betalbar skatt: 200 000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0,22 =</t>
    </r>
  </si>
  <si>
    <r>
      <t xml:space="preserve">Utsatt skatt 1.1.20x1: 50 000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0,22 =</t>
    </r>
  </si>
  <si>
    <r>
      <t xml:space="preserve">Utsatt skatt 31.12.20x1: 25 000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0,22 =</t>
    </r>
  </si>
  <si>
    <t>Nedgang i utsatt skatt</t>
  </si>
  <si>
    <t xml:space="preserve"> = grunnlag for beregning av skattekostnad</t>
  </si>
  <si>
    <t>Oppgave 4.3</t>
  </si>
  <si>
    <t>Inventar, elektrisk drill og spesialverktøy hører til i avskrivningsgruppe d, goodwill i gruppe b,</t>
  </si>
  <si>
    <t>Inventar avskrives med 20 %. Elektrisk drill og spesialverktøy kostnadsføres i anskaffelsesåret 20x1</t>
  </si>
  <si>
    <t>lagerbygningen med 4 %. Heisanlegget føres i gruppe j og saldoavskrives med 10 %.</t>
  </si>
  <si>
    <t>Oppgave 4.4</t>
  </si>
  <si>
    <t>Det er tillatt å avskrive både kontormaskiner og goodwill med 20 %. Men kontormaskinene kunne</t>
  </si>
  <si>
    <t>vært avskrevet med 30 %.</t>
  </si>
  <si>
    <t>må avskrives med samme sats, som er maksimalt 30 %.</t>
  </si>
  <si>
    <t>gruppe d er 20 %.</t>
  </si>
  <si>
    <t>Nei. Både personbiler og inventar hører til i gruppe d. De må avskrives med samme sats. Maksimalsatsen i</t>
  </si>
  <si>
    <t>Satsen i 20x4 er for høy (maksimalsatsen er 24 %). De andre er tillatt, men vi kunne som sagt ha økt</t>
  </si>
  <si>
    <t>satsen til 24 %.</t>
  </si>
  <si>
    <t>Oppgave 4.5</t>
  </si>
  <si>
    <t>Saldoverdi gruppe d per 1.1.20x1</t>
  </si>
  <si>
    <t>Anskaffelsesverdi ny maskin</t>
  </si>
  <si>
    <t>Bygningsmessige arbeider</t>
  </si>
  <si>
    <t>Skattemessige avskrivninger (saldoavskrivninger):</t>
  </si>
  <si>
    <r>
      <t xml:space="preserve">Gruppe h: 15 700 000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0,04 =</t>
    </r>
  </si>
  <si>
    <t>Bygningsmessige arbeider ved montering av produksjons-</t>
  </si>
  <si>
    <t xml:space="preserve">maskiner avskrives sammen med maskinen, det vil si i </t>
  </si>
  <si>
    <t>a</t>
  </si>
  <si>
    <t>d</t>
  </si>
  <si>
    <t>h</t>
  </si>
  <si>
    <t>h - Drifts-</t>
  </si>
  <si>
    <t>h - Lager-</t>
  </si>
  <si>
    <t>a og</t>
  </si>
  <si>
    <t>x1</t>
  </si>
  <si>
    <t>x2</t>
  </si>
  <si>
    <t>x3</t>
  </si>
  <si>
    <t>x4</t>
  </si>
  <si>
    <t>x5</t>
  </si>
  <si>
    <r>
      <t xml:space="preserve">Årlige lineære avskrivninger: 600 000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 =</t>
    </r>
  </si>
  <si>
    <r>
      <t xml:space="preserve">600 000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0,30 =</t>
    </r>
  </si>
  <si>
    <t xml:space="preserve"> etc.</t>
  </si>
  <si>
    <t>fordelt ulikt over tid.</t>
  </si>
  <si>
    <t>Dette er også årsaken til at forskjellene blir kalt midlertidige forskjeller. En eller annen gang i fremtiden blir de reversert til null.</t>
  </si>
  <si>
    <t>Skattemessig vil vi fortsette å avskrive kontormaskinene med 30 % av saldoverdien i år 20x6, 20x7 etc.</t>
  </si>
  <si>
    <t>Når restsaldoen er lavere enn kr 15 000, kan restverdien avskrives i sin helhet.</t>
  </si>
  <si>
    <t>Saldoavskrivningssats</t>
  </si>
  <si>
    <r>
      <t xml:space="preserve">1 000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0,22 = 220</t>
    </r>
  </si>
  <si>
    <r>
      <t xml:space="preserve">600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0,22 = 132</t>
    </r>
  </si>
  <si>
    <t>Oppgave 4.9</t>
  </si>
  <si>
    <t>Saldoverdi gruppe d 1.1.</t>
  </si>
  <si>
    <t>Anskaffelser</t>
  </si>
  <si>
    <t>Saldoavskrivning, 20 %</t>
  </si>
  <si>
    <t>Saldoverdi 31.12.20x1</t>
  </si>
  <si>
    <t>Saldoverdi 1.1.20x1</t>
  </si>
  <si>
    <t>Beregningsgrunnlag</t>
  </si>
  <si>
    <t>Vederlag ved salg</t>
  </si>
  <si>
    <t>Inntektsføring, 20 %</t>
  </si>
  <si>
    <t>Ifølge sktl. § 14-46 skal vi minst inntektsføre 20 % (gruppens avskrivningssats)</t>
  </si>
  <si>
    <t>når det oppstår negativ saldo.</t>
  </si>
  <si>
    <t>S-verdi per 31.12.x2</t>
  </si>
  <si>
    <t>I gruppe a inntektsføres 30 % av 200 000 = 60 000, og i gruppe c</t>
  </si>
  <si>
    <t>blir inntektsføringen 24 % av 200 000 = 48 000.</t>
  </si>
  <si>
    <t>1 - gruppe a</t>
  </si>
  <si>
    <t>2 - gruppe c</t>
  </si>
  <si>
    <t>Saldoverdi 31.12.20x2</t>
  </si>
  <si>
    <t>Saldoverdi gruppe d 1.1.20x2</t>
  </si>
  <si>
    <t>Oppgave 4.11</t>
  </si>
  <si>
    <t>S-verdi i gruppe c per 1.1.20x1</t>
  </si>
  <si>
    <t>Solgt i 20x1</t>
  </si>
  <si>
    <t>Negativ saldo</t>
  </si>
  <si>
    <t>Inntektsføring, 24 %</t>
  </si>
  <si>
    <t>Negativ saldo 31.12.20x1</t>
  </si>
  <si>
    <t xml:space="preserve">I gruppe c skal 24 % (tilsvarer gruppens maksimale avskrivningssats) av den negative saldoen </t>
  </si>
  <si>
    <t xml:space="preserve">inntektsføres. Saldoverdien som overføres til 20x2 blir altså –836 000. Neste år vil </t>
  </si>
  <si>
    <r>
      <t xml:space="preserve">inntektsføring bli 836 000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0,24 = 200 640 dersom det ikke skjer anskaffelser eller salg</t>
    </r>
  </si>
  <si>
    <t>av driftsmidler i gruppen.</t>
  </si>
  <si>
    <t>Saldoverdi per 1.1.20x2</t>
  </si>
  <si>
    <t>Saldoavskrivning, 24 %</t>
  </si>
  <si>
    <t>Saldoverdi per 31.12.20x2</t>
  </si>
  <si>
    <t>Alternativ 2</t>
  </si>
  <si>
    <t>Når den negative saldoen er mindre enn 15 000, skal den negative saldoen inntektsføres</t>
  </si>
  <si>
    <t>i sin helhet.</t>
  </si>
  <si>
    <t>Oppgave 4.12</t>
  </si>
  <si>
    <t>S-verdi av lagerbygningen per 1.1.20x1</t>
  </si>
  <si>
    <t>Skattemessig gevinst</t>
  </si>
  <si>
    <t>Skattemessige gevinster eller tap som oppstår ved salg av driftsmidler i "hver-for-seg-gruppene"</t>
  </si>
  <si>
    <t>og en eventuell negativ saldoverdi fra gruppe b overføres til gevinst- og tapskonto. Dette</t>
  </si>
  <si>
    <t>er ingen konto i regnskapsmessig forstand, men et skatteskjema der vi holder styr på</t>
  </si>
  <si>
    <t>gevinster og tap fra de nevnte saldogruppene.</t>
  </si>
  <si>
    <t>Dersom det er gevinst, må minst 20 % av saldoen inntektsføres skattemessig. Dersom det</t>
  </si>
  <si>
    <t>oppstår et skattemessig tap, kan vi maksimalt fradragsføre 20 % skattemessig. Resten av</t>
  </si>
  <si>
    <t>saldoen overføres neste år.</t>
  </si>
  <si>
    <r>
      <t xml:space="preserve">I dette tilfelle må vi inntektsføre kr 450 000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 = kr 90 000.</t>
    </r>
  </si>
  <si>
    <t>Saldoverdi 1.1.20x3</t>
  </si>
  <si>
    <t>Saldoverdi 31.12.20x3</t>
  </si>
  <si>
    <t>Anskaffelsesverdi</t>
  </si>
  <si>
    <r>
      <t xml:space="preserve">Årlig regnskapsmessig avskrivning: kr 490 000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 = kr 98 000 </t>
    </r>
  </si>
  <si>
    <t>Avskrivning 20x1 og 20x2</t>
  </si>
  <si>
    <r>
      <t xml:space="preserve">Avskrivning 20x3: 98 000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6/12 =</t>
    </r>
  </si>
  <si>
    <t>Regnskapsmessig verdi ved salg</t>
  </si>
  <si>
    <t>R-verdi solgt bil</t>
  </si>
  <si>
    <t>Regnskapsmessig gevinst</t>
  </si>
  <si>
    <t>Regnskapsmessig verdi 31.12.20x2</t>
  </si>
  <si>
    <t>Her er det praktisk å bruke skjemaet for midlertidige forskjeller</t>
  </si>
  <si>
    <t>1.1.20x3</t>
  </si>
  <si>
    <t>31.12.20x3</t>
  </si>
  <si>
    <t>R-verdi lastebil 1.1.20x3</t>
  </si>
  <si>
    <t>R-verdi andre dr.midler</t>
  </si>
  <si>
    <t>R-verdi driftsmidler 1.1.</t>
  </si>
  <si>
    <t>Siden lastebilen er solgt, vil den regnskapsmessige verdien 31.12.20x3 være</t>
  </si>
  <si>
    <t>kr (200 000 – 40 000) = kr 160 000</t>
  </si>
  <si>
    <t>Utsatt skatt, 22 %</t>
  </si>
  <si>
    <t>Regnskapsmessig resultatvirkning:</t>
  </si>
  <si>
    <t>Avskrivning lastebil</t>
  </si>
  <si>
    <t>Avskrivning andre driftsmidler</t>
  </si>
  <si>
    <t>Gevinst ved salg</t>
  </si>
  <si>
    <t>Netto resultateffekt</t>
  </si>
  <si>
    <t>Skattemessig resultatvirkning:</t>
  </si>
  <si>
    <t>Netto vil dette redusere det regnskapsmessige resultatet med kr 74 000, mens</t>
  </si>
  <si>
    <t>det skattemessige resultatet reduseres noe mindre, nemlig med kr 45 600.</t>
  </si>
  <si>
    <t>Dette betyr at det skattemessige resultatet blir kr (74 000 – 45 600) = 28 400 høyere</t>
  </si>
  <si>
    <t>enn det regnskapsmessige resultatet. Hvis vi tenker oss at det regnskapsmessige resultatet</t>
  </si>
  <si>
    <t>er kr 100 000, vil det skattepliktige overskuddet bli kr 128 400.</t>
  </si>
  <si>
    <t>I skjemaet for midlertidige forskjeller finner vi (ikke helt tilfeldig) kr 28 400 i kolonnen</t>
  </si>
  <si>
    <t>til høyre.</t>
  </si>
  <si>
    <t>Her setter vi minus foran poster</t>
  </si>
  <si>
    <t xml:space="preserve">som virker negativt på resultatet </t>
  </si>
  <si>
    <t>og pluss foran poster som virker</t>
  </si>
  <si>
    <t>positivt.</t>
  </si>
  <si>
    <t>Oppgave 4.14</t>
  </si>
  <si>
    <t>R-verdi 1.1.20x1</t>
  </si>
  <si>
    <t>R-verdi 31.12.20x1</t>
  </si>
  <si>
    <t>Regnskapsmessig overskudd før skatt</t>
  </si>
  <si>
    <r>
      <t xml:space="preserve">Betalbar skatt: 100 000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0,22 =</t>
    </r>
  </si>
  <si>
    <t>Forskjell/endring i forskjeller</t>
  </si>
  <si>
    <t>Begge driftsmidlene hører til i gruppe a. Da sier skatteloven at de skal avskrives "under ett". Det betyr at de</t>
  </si>
  <si>
    <r>
      <t xml:space="preserve">Gruppe d: 8 370 000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 =</t>
    </r>
  </si>
  <si>
    <t>Vi ser at den regnskapsmessige verdien er høyere enn den skattemessige verdien de tre første årene. Forskjellen er derfor</t>
  </si>
  <si>
    <t>positiv i denne perioden. Så ser vi at den skattemessige verdien er størst de to siste årene, og forskjellen er derfor</t>
  </si>
  <si>
    <t>negativ. Over tid vil de regnskapsmessige og skattemessige avskrivningene bli like store. Det er jo i begge tilfeller kostprisen på</t>
  </si>
  <si>
    <t>kr 600 000 som kommer til fradrag, men fordi avskrivningssatsen og avskrivningsmetoden er forskjellig, blir avskrivningsfradraget</t>
  </si>
  <si>
    <t>Inntektsføring</t>
  </si>
  <si>
    <t>Resten, kr (450 000 – 90 000) = kr 360 000 overføres neste år.</t>
  </si>
  <si>
    <t>Beregningsgrunnlag avskrivninger</t>
  </si>
  <si>
    <t>4 000 000 + 1 200 000</t>
  </si>
  <si>
    <t>Forskjell mellom regnskapsmessige og skattemessige verdier</t>
  </si>
  <si>
    <t>Økning i utsatt skatt: 316 800 – 264 000 =</t>
  </si>
  <si>
    <t>Økning i utsatt skatt: 6 600 – 2 200 =</t>
  </si>
  <si>
    <t>lagerbygningen i gruppe h, mens heisanlegget plasseres i gruppe j.</t>
  </si>
  <si>
    <t>fordi kostpris er mindre enn kr 15 000 og levetid under 3 år. Goodwill saldoavskrives med 20 %,</t>
  </si>
  <si>
    <t>gruppe d med maksimalsats 20 %, jf. sktl. § 14-41 3. ledd.</t>
  </si>
  <si>
    <t>For elektriske varebiler er imidlertid maksimalsatsen 30 %, jf. skatteloven § 14-43 4. ledd.</t>
  </si>
  <si>
    <r>
      <t xml:space="preserve">294 000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0,30 =</t>
    </r>
  </si>
  <si>
    <r>
      <t xml:space="preserve">205 800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0,30 =</t>
    </r>
  </si>
  <si>
    <r>
      <t xml:space="preserve">144 060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0,30 =</t>
    </r>
  </si>
  <si>
    <t>Vi forutsetter at gruppe c ikke består av elektriske varebiler</t>
  </si>
  <si>
    <t>Vi forutsetter 24 % saldoavskrivning</t>
  </si>
  <si>
    <t>Vi bruker 24 % saldoavskrivning</t>
  </si>
  <si>
    <t>2 år à kr 98 000</t>
  </si>
  <si>
    <t>Først må vi beregne de regnskapsmessige verdien 1.1. og 31.12.:</t>
  </si>
  <si>
    <r>
      <t xml:space="preserve">420 000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0,30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</si>
</sst>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/>
    <xf numFmtId="0" fontId="2" fillId="0" borderId="0"/>
  </cellStyleXfs>
  <cellXfs count="168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quotePrefix="1" applyFont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3" fontId="4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/>
    <xf numFmtId="3" fontId="4" fillId="0" borderId="15" xfId="0" applyNumberFormat="1" applyFont="1" applyBorder="1"/>
    <xf numFmtId="3" fontId="4" fillId="2" borderId="15" xfId="0" applyNumberFormat="1" applyFont="1" applyFill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3" fontId="4" fillId="0" borderId="18" xfId="0" applyNumberFormat="1" applyFont="1" applyBorder="1"/>
    <xf numFmtId="3" fontId="4" fillId="2" borderId="18" xfId="0" applyNumberFormat="1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3" fontId="4" fillId="0" borderId="21" xfId="0" applyNumberFormat="1" applyFont="1" applyBorder="1"/>
    <xf numFmtId="3" fontId="4" fillId="2" borderId="21" xfId="0" applyNumberFormat="1" applyFont="1" applyFill="1" applyBorder="1"/>
    <xf numFmtId="0" fontId="4" fillId="0" borderId="0" xfId="0" applyFont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5" xfId="0" quotePrefix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0" xfId="0" applyFont="1" applyFill="1" applyBorder="1"/>
    <xf numFmtId="3" fontId="4" fillId="0" borderId="9" xfId="0" applyNumberFormat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4" fillId="3" borderId="8" xfId="0" quotePrefix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4" fillId="3" borderId="0" xfId="0" applyNumberFormat="1" applyFont="1" applyFill="1" applyBorder="1"/>
    <xf numFmtId="0" fontId="4" fillId="3" borderId="23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3" fontId="4" fillId="0" borderId="2" xfId="0" applyNumberFormat="1" applyFont="1" applyBorder="1"/>
    <xf numFmtId="0" fontId="4" fillId="0" borderId="0" xfId="0" applyFont="1" applyFill="1"/>
    <xf numFmtId="3" fontId="4" fillId="0" borderId="0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8" xfId="0" applyFont="1" applyBorder="1"/>
    <xf numFmtId="0" fontId="4" fillId="0" borderId="21" xfId="0" applyFont="1" applyBorder="1"/>
    <xf numFmtId="3" fontId="4" fillId="0" borderId="24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3" fontId="4" fillId="0" borderId="12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3" fontId="4" fillId="0" borderId="23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5" fillId="0" borderId="3" xfId="0" applyFont="1" applyBorder="1"/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3" fontId="4" fillId="4" borderId="3" xfId="0" applyNumberFormat="1" applyFont="1" applyFill="1" applyBorder="1"/>
    <xf numFmtId="0" fontId="4" fillId="5" borderId="6" xfId="0" applyFont="1" applyFill="1" applyBorder="1" applyAlignment="1">
      <alignment horizontal="center"/>
    </xf>
    <xf numFmtId="0" fontId="4" fillId="5" borderId="12" xfId="0" applyFont="1" applyFill="1" applyBorder="1"/>
    <xf numFmtId="3" fontId="4" fillId="5" borderId="7" xfId="0" applyNumberFormat="1" applyFont="1" applyFill="1" applyBorder="1"/>
    <xf numFmtId="3" fontId="4" fillId="5" borderId="23" xfId="0" applyNumberFormat="1" applyFont="1" applyFill="1" applyBorder="1"/>
    <xf numFmtId="3" fontId="4" fillId="5" borderId="14" xfId="0" applyNumberFormat="1" applyFont="1" applyFill="1" applyBorder="1"/>
    <xf numFmtId="3" fontId="4" fillId="5" borderId="9" xfId="0" applyNumberFormat="1" applyFont="1" applyFill="1" applyBorder="1"/>
    <xf numFmtId="3" fontId="4" fillId="4" borderId="16" xfId="0" applyNumberFormat="1" applyFont="1" applyFill="1" applyBorder="1"/>
    <xf numFmtId="3" fontId="4" fillId="5" borderId="15" xfId="0" applyNumberFormat="1" applyFont="1" applyFill="1" applyBorder="1"/>
    <xf numFmtId="3" fontId="4" fillId="5" borderId="25" xfId="0" applyNumberFormat="1" applyFont="1" applyFill="1" applyBorder="1"/>
    <xf numFmtId="3" fontId="4" fillId="4" borderId="20" xfId="0" applyNumberFormat="1" applyFont="1" applyFill="1" applyBorder="1"/>
    <xf numFmtId="3" fontId="4" fillId="5" borderId="18" xfId="0" applyNumberFormat="1" applyFont="1" applyFill="1" applyBorder="1"/>
    <xf numFmtId="3" fontId="4" fillId="5" borderId="26" xfId="0" applyNumberFormat="1" applyFont="1" applyFill="1" applyBorder="1"/>
    <xf numFmtId="0" fontId="4" fillId="0" borderId="27" xfId="0" applyFont="1" applyBorder="1"/>
    <xf numFmtId="3" fontId="4" fillId="4" borderId="28" xfId="0" applyNumberFormat="1" applyFont="1" applyFill="1" applyBorder="1"/>
    <xf numFmtId="3" fontId="4" fillId="0" borderId="25" xfId="0" applyNumberFormat="1" applyFont="1" applyBorder="1"/>
    <xf numFmtId="0" fontId="4" fillId="0" borderId="14" xfId="0" quotePrefix="1" applyFont="1" applyBorder="1" applyAlignment="1">
      <alignment horizontal="center"/>
    </xf>
    <xf numFmtId="0" fontId="6" fillId="0" borderId="0" xfId="0" applyFont="1" applyBorder="1"/>
    <xf numFmtId="0" fontId="4" fillId="0" borderId="3" xfId="0" applyFont="1" applyBorder="1"/>
    <xf numFmtId="0" fontId="3" fillId="0" borderId="9" xfId="0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0" fontId="4" fillId="0" borderId="6" xfId="0" applyFont="1" applyBorder="1"/>
    <xf numFmtId="0" fontId="4" fillId="0" borderId="25" xfId="0" applyFont="1" applyBorder="1"/>
    <xf numFmtId="0" fontId="4" fillId="0" borderId="29" xfId="0" applyFont="1" applyBorder="1"/>
    <xf numFmtId="3" fontId="4" fillId="0" borderId="17" xfId="0" applyNumberFormat="1" applyFont="1" applyBorder="1"/>
    <xf numFmtId="3" fontId="4" fillId="0" borderId="30" xfId="0" applyNumberFormat="1" applyFont="1" applyBorder="1"/>
    <xf numFmtId="0" fontId="4" fillId="0" borderId="0" xfId="0" applyFont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3" fontId="4" fillId="0" borderId="14" xfId="0" applyNumberFormat="1" applyFont="1" applyBorder="1"/>
    <xf numFmtId="3" fontId="4" fillId="0" borderId="11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4" fillId="0" borderId="8" xfId="0" applyFont="1" applyBorder="1"/>
    <xf numFmtId="3" fontId="4" fillId="0" borderId="2" xfId="0" quotePrefix="1" applyNumberFormat="1" applyFont="1" applyBorder="1" applyAlignment="1">
      <alignment horizontal="center"/>
    </xf>
    <xf numFmtId="3" fontId="4" fillId="0" borderId="9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left" indent="4"/>
    </xf>
    <xf numFmtId="0" fontId="4" fillId="4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9" fontId="4" fillId="0" borderId="0" xfId="3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3" fontId="4" fillId="0" borderId="7" xfId="0" applyNumberFormat="1" applyFont="1" applyBorder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8" xfId="0" quotePrefix="1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3" fontId="4" fillId="0" borderId="0" xfId="0" applyNumberFormat="1" applyFont="1" applyAlignment="1">
      <alignment horizontal="left" indent="2"/>
    </xf>
    <xf numFmtId="0" fontId="4" fillId="3" borderId="14" xfId="0" applyFont="1" applyFill="1" applyBorder="1"/>
    <xf numFmtId="0" fontId="4" fillId="3" borderId="9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/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3" fontId="4" fillId="0" borderId="0" xfId="0" applyNumberFormat="1" applyFont="1" applyAlignment="1">
      <alignment horizontal="left" indent="3"/>
    </xf>
    <xf numFmtId="9" fontId="4" fillId="0" borderId="4" xfId="3" applyFont="1" applyBorder="1" applyAlignment="1">
      <alignment horizontal="center"/>
    </xf>
    <xf numFmtId="9" fontId="4" fillId="0" borderId="5" xfId="3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9" fontId="4" fillId="0" borderId="13" xfId="3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 indent="1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1A895E2B-533C-4508-97C8-37B155F01401}"/>
    <cellStyle name="Normal 2 2 2 2" xfId="6" xr:uid="{B7755C51-CA4D-4CDD-A702-AA704431B301}"/>
    <cellStyle name="Normal 2 3" xfId="5" xr:uid="{DC97E0AC-BCB4-4E14-BA94-7EE67103699C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workbookViewId="0">
      <selection activeCell="M7" sqref="M7"/>
    </sheetView>
  </sheetViews>
  <sheetFormatPr baseColWidth="10" defaultRowHeight="15.75" x14ac:dyDescent="0.25"/>
  <cols>
    <col min="1" max="1" width="6.140625" style="3" customWidth="1"/>
    <col min="2" max="2" width="22.85546875" style="3" customWidth="1"/>
    <col min="3" max="16384" width="11.42578125" style="3"/>
  </cols>
  <sheetData>
    <row r="1" spans="1:13" x14ac:dyDescent="0.25">
      <c r="A1" s="2" t="s">
        <v>49</v>
      </c>
    </row>
    <row r="2" spans="1:13" x14ac:dyDescent="0.25">
      <c r="C2" s="5"/>
      <c r="D2" s="5"/>
      <c r="E2" s="5"/>
      <c r="F2" s="5"/>
      <c r="G2" s="5"/>
      <c r="H2" s="5"/>
      <c r="I2" s="5"/>
      <c r="J2" s="5"/>
      <c r="K2" s="5"/>
    </row>
    <row r="3" spans="1:13" x14ac:dyDescent="0.25">
      <c r="A3" s="3" t="s">
        <v>11</v>
      </c>
      <c r="B3" s="3" t="s">
        <v>12</v>
      </c>
      <c r="C3" s="5">
        <v>140000</v>
      </c>
      <c r="D3" s="5"/>
      <c r="E3" s="5"/>
      <c r="F3" s="5"/>
      <c r="G3" s="5"/>
      <c r="H3" s="5"/>
      <c r="I3" s="5"/>
      <c r="J3" s="5"/>
      <c r="K3" s="5"/>
    </row>
    <row r="4" spans="1:13" x14ac:dyDescent="0.25"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B5" s="64"/>
      <c r="C5" s="63"/>
      <c r="D5" s="106" t="s">
        <v>36</v>
      </c>
      <c r="E5" s="105" t="s">
        <v>37</v>
      </c>
      <c r="F5" s="12" t="s">
        <v>21</v>
      </c>
      <c r="G5" s="5"/>
      <c r="H5" s="5"/>
      <c r="I5" s="5"/>
      <c r="J5" s="5"/>
      <c r="K5" s="5"/>
    </row>
    <row r="6" spans="1:13" x14ac:dyDescent="0.25">
      <c r="B6" s="64" t="s">
        <v>98</v>
      </c>
      <c r="C6" s="43"/>
      <c r="D6" s="33">
        <v>10000</v>
      </c>
      <c r="E6" s="43">
        <v>30000</v>
      </c>
      <c r="F6" s="33">
        <f>D6-E6</f>
        <v>-20000</v>
      </c>
      <c r="G6" s="5"/>
      <c r="H6" s="5"/>
      <c r="I6" s="5"/>
      <c r="J6" s="5"/>
      <c r="K6" s="5"/>
    </row>
    <row r="7" spans="1:13" x14ac:dyDescent="0.25">
      <c r="B7" s="104"/>
      <c r="C7" s="7"/>
      <c r="D7" s="62"/>
      <c r="E7" s="7"/>
      <c r="F7" s="62"/>
      <c r="G7" s="5"/>
      <c r="H7" s="5"/>
      <c r="I7" s="5"/>
      <c r="J7" s="5"/>
      <c r="K7" s="5"/>
    </row>
    <row r="8" spans="1:13" x14ac:dyDescent="0.25">
      <c r="B8" s="64" t="s">
        <v>6</v>
      </c>
      <c r="C8" s="43"/>
      <c r="D8" s="33">
        <f>D6*0.22</f>
        <v>2200</v>
      </c>
      <c r="E8" s="43">
        <f>E6*0.22</f>
        <v>6600</v>
      </c>
      <c r="F8" s="33"/>
      <c r="G8" s="5"/>
      <c r="H8" s="5"/>
      <c r="I8" s="5"/>
      <c r="J8" s="5"/>
      <c r="K8" s="5"/>
    </row>
    <row r="9" spans="1:13" x14ac:dyDescent="0.25">
      <c r="C9" s="5"/>
      <c r="D9" s="5"/>
      <c r="E9" s="5"/>
      <c r="F9" s="5"/>
      <c r="G9" s="5"/>
      <c r="H9" s="5"/>
      <c r="I9" s="5"/>
      <c r="J9" s="5"/>
      <c r="K9" s="5"/>
    </row>
    <row r="10" spans="1:13" x14ac:dyDescent="0.25">
      <c r="A10" s="4"/>
      <c r="B10" s="3" t="s">
        <v>97</v>
      </c>
      <c r="C10" s="5"/>
      <c r="D10" s="5">
        <f>C3*0.22</f>
        <v>30800</v>
      </c>
      <c r="E10" s="5"/>
      <c r="F10" s="5"/>
      <c r="G10" s="5"/>
      <c r="H10" s="5"/>
      <c r="I10" s="5"/>
      <c r="J10" s="5"/>
      <c r="K10" s="5"/>
    </row>
    <row r="11" spans="1:13" x14ac:dyDescent="0.25">
      <c r="A11" s="6" t="s">
        <v>28</v>
      </c>
      <c r="B11" s="3" t="s">
        <v>246</v>
      </c>
      <c r="C11" s="5"/>
      <c r="D11" s="5">
        <f>E8-D8</f>
        <v>4400</v>
      </c>
      <c r="E11" s="5"/>
      <c r="F11" s="5"/>
      <c r="G11" s="5"/>
      <c r="H11" s="5"/>
      <c r="I11" s="5"/>
      <c r="J11" s="5"/>
      <c r="K11" s="5"/>
    </row>
    <row r="12" spans="1:13" s="1" customFormat="1" ht="20.25" x14ac:dyDescent="0.3">
      <c r="A12" s="6" t="s">
        <v>16</v>
      </c>
      <c r="B12" s="3" t="s">
        <v>26</v>
      </c>
      <c r="C12" s="5"/>
      <c r="D12" s="43">
        <f>SUM(D10:D11)</f>
        <v>35200</v>
      </c>
      <c r="E12" s="5"/>
      <c r="F12" s="5"/>
      <c r="G12" s="5"/>
      <c r="H12" s="5"/>
      <c r="I12" s="5"/>
      <c r="J12" s="5"/>
      <c r="K12" s="5"/>
      <c r="L12" s="3"/>
      <c r="M12" s="3"/>
    </row>
    <row r="13" spans="1:13" x14ac:dyDescent="0.25">
      <c r="C13" s="5"/>
      <c r="D13" s="5"/>
      <c r="E13" s="5"/>
      <c r="F13" s="5"/>
      <c r="G13" s="5"/>
      <c r="H13" s="5"/>
      <c r="I13" s="5"/>
      <c r="J13" s="5"/>
      <c r="K13" s="5"/>
    </row>
    <row r="14" spans="1:13" x14ac:dyDescent="0.25">
      <c r="A14" s="3" t="s">
        <v>24</v>
      </c>
    </row>
    <row r="15" spans="1:13" x14ac:dyDescent="0.25">
      <c r="A15" s="8" t="s">
        <v>5</v>
      </c>
      <c r="B15" s="9" t="s">
        <v>0</v>
      </c>
      <c r="C15" s="161" t="s">
        <v>1</v>
      </c>
      <c r="D15" s="162"/>
      <c r="E15" s="163" t="s">
        <v>4</v>
      </c>
      <c r="F15" s="164"/>
      <c r="G15" s="163" t="s">
        <v>2</v>
      </c>
      <c r="H15" s="164"/>
      <c r="I15" s="163" t="s">
        <v>3</v>
      </c>
      <c r="J15" s="164"/>
    </row>
    <row r="16" spans="1:13" x14ac:dyDescent="0.25">
      <c r="A16" s="10"/>
      <c r="B16" s="11"/>
      <c r="C16" s="12" t="s">
        <v>9</v>
      </c>
      <c r="D16" s="12" t="s">
        <v>10</v>
      </c>
      <c r="E16" s="12" t="s">
        <v>9</v>
      </c>
      <c r="F16" s="12" t="s">
        <v>10</v>
      </c>
      <c r="G16" s="12" t="s">
        <v>9</v>
      </c>
      <c r="H16" s="12" t="s">
        <v>10</v>
      </c>
      <c r="I16" s="12" t="s">
        <v>9</v>
      </c>
      <c r="J16" s="12" t="s">
        <v>10</v>
      </c>
    </row>
    <row r="17" spans="1:10" x14ac:dyDescent="0.25">
      <c r="A17" s="13">
        <v>2120</v>
      </c>
      <c r="B17" s="14" t="s">
        <v>6</v>
      </c>
      <c r="C17" s="15"/>
      <c r="D17" s="16">
        <f>D8</f>
        <v>2200</v>
      </c>
      <c r="E17" s="15"/>
      <c r="F17" s="16">
        <f>D11</f>
        <v>4400</v>
      </c>
      <c r="G17" s="15"/>
      <c r="H17" s="16"/>
      <c r="I17" s="15"/>
      <c r="J17" s="16">
        <f>D17+F17</f>
        <v>6600</v>
      </c>
    </row>
    <row r="18" spans="1:10" x14ac:dyDescent="0.25">
      <c r="A18" s="17">
        <v>2500</v>
      </c>
      <c r="B18" s="18" t="s">
        <v>7</v>
      </c>
      <c r="C18" s="19"/>
      <c r="D18" s="20"/>
      <c r="E18" s="19"/>
      <c r="F18" s="20">
        <v>30800</v>
      </c>
      <c r="G18" s="19"/>
      <c r="H18" s="20"/>
      <c r="I18" s="19"/>
      <c r="J18" s="20">
        <f>F18</f>
        <v>30800</v>
      </c>
    </row>
    <row r="19" spans="1:10" x14ac:dyDescent="0.25">
      <c r="A19" s="17">
        <v>8300</v>
      </c>
      <c r="B19" s="18" t="s">
        <v>7</v>
      </c>
      <c r="C19" s="19"/>
      <c r="D19" s="20"/>
      <c r="E19" s="19">
        <v>30800</v>
      </c>
      <c r="F19" s="20"/>
      <c r="G19" s="19">
        <f>E19</f>
        <v>30800</v>
      </c>
      <c r="H19" s="20"/>
      <c r="I19" s="19"/>
      <c r="J19" s="20"/>
    </row>
    <row r="20" spans="1:10" x14ac:dyDescent="0.25">
      <c r="A20" s="21">
        <v>8320</v>
      </c>
      <c r="B20" s="22" t="s">
        <v>8</v>
      </c>
      <c r="C20" s="23"/>
      <c r="D20" s="24"/>
      <c r="E20" s="23">
        <f>F17</f>
        <v>4400</v>
      </c>
      <c r="F20" s="24"/>
      <c r="G20" s="23">
        <f>E20</f>
        <v>4400</v>
      </c>
      <c r="H20" s="24"/>
      <c r="I20" s="23"/>
      <c r="J20" s="24"/>
    </row>
    <row r="22" spans="1:10" x14ac:dyDescent="0.25">
      <c r="A22" s="3" t="s">
        <v>99</v>
      </c>
    </row>
    <row r="23" spans="1:10" x14ac:dyDescent="0.25">
      <c r="A23" s="3" t="s">
        <v>100</v>
      </c>
    </row>
  </sheetData>
  <mergeCells count="4">
    <mergeCell ref="C15:D15"/>
    <mergeCell ref="E15:F15"/>
    <mergeCell ref="G15:H15"/>
    <mergeCell ref="I15:J15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1200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2"/>
  <sheetViews>
    <sheetView showGridLines="0" topLeftCell="A14" workbookViewId="0">
      <selection activeCell="E24" sqref="E24"/>
    </sheetView>
  </sheetViews>
  <sheetFormatPr baseColWidth="10" defaultRowHeight="15.75" x14ac:dyDescent="0.25"/>
  <cols>
    <col min="1" max="1" width="5.7109375" style="3" customWidth="1"/>
    <col min="2" max="2" width="25.42578125" style="3" customWidth="1"/>
    <col min="3" max="3" width="11.42578125" style="5"/>
    <col min="4" max="4" width="3.85546875" style="3" customWidth="1"/>
    <col min="5" max="11" width="11.42578125" style="3"/>
    <col min="12" max="12" width="5.7109375" style="3" customWidth="1"/>
    <col min="13" max="13" width="7.140625" style="3" customWidth="1"/>
    <col min="14" max="14" width="17.5703125" style="3" bestFit="1" customWidth="1"/>
    <col min="15" max="22" width="9.7109375" style="3" customWidth="1"/>
    <col min="23" max="16384" width="11.42578125" style="3"/>
  </cols>
  <sheetData>
    <row r="1" spans="1:22" x14ac:dyDescent="0.25">
      <c r="A1" s="2" t="s">
        <v>50</v>
      </c>
    </row>
    <row r="2" spans="1:22" x14ac:dyDescent="0.25">
      <c r="C2" s="7"/>
    </row>
    <row r="3" spans="1:22" x14ac:dyDescent="0.25">
      <c r="A3" s="3" t="s">
        <v>11</v>
      </c>
      <c r="B3" s="25"/>
      <c r="C3" s="7"/>
      <c r="D3" s="25"/>
      <c r="E3" s="25"/>
      <c r="M3" s="3" t="s">
        <v>27</v>
      </c>
    </row>
    <row r="4" spans="1:22" x14ac:dyDescent="0.25">
      <c r="B4" s="25"/>
      <c r="C4" s="7"/>
      <c r="D4" s="25"/>
      <c r="E4" s="25"/>
    </row>
    <row r="5" spans="1:22" x14ac:dyDescent="0.25">
      <c r="A5" s="26"/>
      <c r="B5" s="27" t="s">
        <v>18</v>
      </c>
      <c r="C5" s="28" t="s">
        <v>19</v>
      </c>
      <c r="D5" s="29"/>
      <c r="E5" s="29" t="s">
        <v>20</v>
      </c>
      <c r="F5" s="30" t="s">
        <v>21</v>
      </c>
      <c r="M5" s="46" t="s">
        <v>5</v>
      </c>
      <c r="N5" s="47" t="s">
        <v>0</v>
      </c>
      <c r="O5" s="161" t="s">
        <v>1</v>
      </c>
      <c r="P5" s="162"/>
      <c r="Q5" s="163" t="s">
        <v>4</v>
      </c>
      <c r="R5" s="164"/>
      <c r="S5" s="163" t="s">
        <v>2</v>
      </c>
      <c r="T5" s="164"/>
      <c r="U5" s="163" t="s">
        <v>3</v>
      </c>
      <c r="V5" s="164"/>
    </row>
    <row r="6" spans="1:22" x14ac:dyDescent="0.25">
      <c r="A6" s="31"/>
      <c r="B6" s="32" t="s">
        <v>13</v>
      </c>
      <c r="C6" s="33">
        <v>500000</v>
      </c>
      <c r="D6" s="32"/>
      <c r="E6" s="33">
        <v>380000</v>
      </c>
      <c r="F6" s="34"/>
      <c r="M6" s="48"/>
      <c r="N6" s="49"/>
      <c r="O6" s="12" t="s">
        <v>9</v>
      </c>
      <c r="P6" s="12" t="s">
        <v>10</v>
      </c>
      <c r="Q6" s="12" t="s">
        <v>9</v>
      </c>
      <c r="R6" s="12" t="s">
        <v>10</v>
      </c>
      <c r="S6" s="12" t="s">
        <v>9</v>
      </c>
      <c r="T6" s="12" t="s">
        <v>10</v>
      </c>
      <c r="U6" s="12" t="s">
        <v>9</v>
      </c>
      <c r="V6" s="12" t="s">
        <v>10</v>
      </c>
    </row>
    <row r="7" spans="1:22" x14ac:dyDescent="0.25">
      <c r="A7" s="35" t="s">
        <v>15</v>
      </c>
      <c r="B7" s="32" t="s">
        <v>14</v>
      </c>
      <c r="C7" s="33">
        <v>450000</v>
      </c>
      <c r="D7" s="32"/>
      <c r="E7" s="33">
        <v>355000</v>
      </c>
      <c r="F7" s="34"/>
      <c r="M7" s="13">
        <v>2120</v>
      </c>
      <c r="N7" s="50" t="s">
        <v>6</v>
      </c>
      <c r="O7" s="15"/>
      <c r="P7" s="16">
        <v>11000</v>
      </c>
      <c r="Q7" s="15">
        <f>C10-E10</f>
        <v>5500</v>
      </c>
      <c r="R7" s="16"/>
      <c r="S7" s="15"/>
      <c r="T7" s="16"/>
      <c r="U7" s="15"/>
      <c r="V7" s="16">
        <f>P7-Q7</f>
        <v>5500</v>
      </c>
    </row>
    <row r="8" spans="1:22" x14ac:dyDescent="0.25">
      <c r="A8" s="36" t="s">
        <v>16</v>
      </c>
      <c r="B8" s="32" t="s">
        <v>233</v>
      </c>
      <c r="C8" s="33">
        <f>C6-C7</f>
        <v>50000</v>
      </c>
      <c r="D8" s="37" t="s">
        <v>15</v>
      </c>
      <c r="E8" s="33">
        <f>E6-E7</f>
        <v>25000</v>
      </c>
      <c r="F8" s="33">
        <f>C8-E8</f>
        <v>25000</v>
      </c>
      <c r="M8" s="17">
        <v>2500</v>
      </c>
      <c r="N8" s="51" t="s">
        <v>7</v>
      </c>
      <c r="O8" s="19"/>
      <c r="P8" s="20"/>
      <c r="Q8" s="19"/>
      <c r="R8" s="20">
        <v>44000</v>
      </c>
      <c r="S8" s="19"/>
      <c r="T8" s="20"/>
      <c r="U8" s="19"/>
      <c r="V8" s="20">
        <f>R8</f>
        <v>44000</v>
      </c>
    </row>
    <row r="9" spans="1:22" x14ac:dyDescent="0.25">
      <c r="A9" s="31"/>
      <c r="B9" s="32"/>
      <c r="C9" s="38"/>
      <c r="D9" s="32"/>
      <c r="E9" s="38"/>
      <c r="F9" s="34"/>
      <c r="M9" s="17">
        <v>8300</v>
      </c>
      <c r="N9" s="51" t="s">
        <v>7</v>
      </c>
      <c r="O9" s="19"/>
      <c r="P9" s="20"/>
      <c r="Q9" s="19">
        <v>44000</v>
      </c>
      <c r="R9" s="20"/>
      <c r="S9" s="19">
        <f>Q9</f>
        <v>44000</v>
      </c>
      <c r="T9" s="20"/>
      <c r="U9" s="19"/>
      <c r="V9" s="20"/>
    </row>
    <row r="10" spans="1:22" x14ac:dyDescent="0.25">
      <c r="A10" s="31"/>
      <c r="B10" s="32" t="s">
        <v>6</v>
      </c>
      <c r="C10" s="33">
        <f>C8*0.22</f>
        <v>11000</v>
      </c>
      <c r="D10" s="39"/>
      <c r="E10" s="33">
        <f>E8*0.22</f>
        <v>5500</v>
      </c>
      <c r="F10" s="34"/>
      <c r="M10" s="21">
        <v>8320</v>
      </c>
      <c r="N10" s="52" t="s">
        <v>8</v>
      </c>
      <c r="O10" s="23"/>
      <c r="P10" s="24"/>
      <c r="Q10" s="23"/>
      <c r="R10" s="24">
        <f>Q7</f>
        <v>5500</v>
      </c>
      <c r="S10" s="23"/>
      <c r="T10" s="24">
        <f>R10</f>
        <v>5500</v>
      </c>
      <c r="U10" s="23"/>
      <c r="V10" s="24"/>
    </row>
    <row r="11" spans="1:22" x14ac:dyDescent="0.25">
      <c r="A11" s="40"/>
      <c r="B11" s="41"/>
      <c r="C11" s="41"/>
      <c r="D11" s="41"/>
      <c r="E11" s="41"/>
      <c r="F11" s="42"/>
    </row>
    <row r="12" spans="1:22" x14ac:dyDescent="0.25">
      <c r="C12" s="3"/>
    </row>
    <row r="13" spans="1:22" x14ac:dyDescent="0.25">
      <c r="B13" s="3" t="s">
        <v>22</v>
      </c>
      <c r="C13" s="3"/>
      <c r="E13" s="53">
        <v>175000</v>
      </c>
      <c r="F13" s="3" t="s">
        <v>105</v>
      </c>
    </row>
    <row r="14" spans="1:22" x14ac:dyDescent="0.25">
      <c r="B14" s="3" t="s">
        <v>23</v>
      </c>
      <c r="C14" s="3"/>
      <c r="E14" s="5">
        <f>F8</f>
        <v>25000</v>
      </c>
      <c r="L14" s="2" t="s">
        <v>106</v>
      </c>
    </row>
    <row r="15" spans="1:22" s="1" customFormat="1" ht="20.25" x14ac:dyDescent="0.3">
      <c r="B15" s="3" t="s">
        <v>12</v>
      </c>
      <c r="C15" s="3"/>
      <c r="D15" s="3"/>
      <c r="E15" s="43">
        <f>SUM(E13:E14)</f>
        <v>200000</v>
      </c>
      <c r="F15" s="3"/>
      <c r="G15" s="3"/>
      <c r="H15" s="3"/>
      <c r="I15" s="3"/>
      <c r="J15" s="3"/>
      <c r="K15" s="3"/>
    </row>
    <row r="16" spans="1:22" x14ac:dyDescent="0.25">
      <c r="C16" s="3"/>
      <c r="E16" s="7"/>
      <c r="L16" s="3" t="s">
        <v>11</v>
      </c>
      <c r="M16" s="3" t="s">
        <v>107</v>
      </c>
    </row>
    <row r="17" spans="1:19" x14ac:dyDescent="0.25">
      <c r="B17" s="3" t="s">
        <v>101</v>
      </c>
      <c r="C17" s="3"/>
      <c r="E17" s="99">
        <f>E15*0.22</f>
        <v>44000</v>
      </c>
      <c r="M17" s="3" t="s">
        <v>247</v>
      </c>
    </row>
    <row r="18" spans="1:19" x14ac:dyDescent="0.25">
      <c r="B18" s="25"/>
      <c r="C18" s="25"/>
      <c r="D18" s="7"/>
      <c r="E18" s="25"/>
    </row>
    <row r="19" spans="1:19" x14ac:dyDescent="0.25">
      <c r="A19" s="3" t="s">
        <v>24</v>
      </c>
      <c r="B19" s="25" t="s">
        <v>102</v>
      </c>
      <c r="C19" s="25"/>
      <c r="D19" s="7"/>
      <c r="E19" s="99">
        <f>C10</f>
        <v>11000</v>
      </c>
      <c r="L19" s="3" t="s">
        <v>24</v>
      </c>
      <c r="M19" s="3" t="s">
        <v>108</v>
      </c>
    </row>
    <row r="20" spans="1:19" x14ac:dyDescent="0.25">
      <c r="B20" s="25" t="s">
        <v>103</v>
      </c>
      <c r="C20" s="25"/>
      <c r="D20" s="7"/>
      <c r="E20" s="43">
        <f>E10</f>
        <v>5500</v>
      </c>
      <c r="M20" s="3" t="s">
        <v>248</v>
      </c>
    </row>
    <row r="21" spans="1:19" x14ac:dyDescent="0.25">
      <c r="B21" s="25"/>
      <c r="C21" s="25"/>
      <c r="D21" s="7"/>
      <c r="E21" s="25"/>
      <c r="M21" s="3" t="s">
        <v>109</v>
      </c>
    </row>
    <row r="22" spans="1:19" x14ac:dyDescent="0.25">
      <c r="A22" s="3" t="s">
        <v>25</v>
      </c>
      <c r="B22" s="25" t="s">
        <v>7</v>
      </c>
      <c r="C22" s="25"/>
      <c r="D22" s="7"/>
      <c r="E22" s="7">
        <f>E17</f>
        <v>44000</v>
      </c>
    </row>
    <row r="23" spans="1:19" x14ac:dyDescent="0.25">
      <c r="A23" s="4" t="s">
        <v>15</v>
      </c>
      <c r="B23" s="25" t="s">
        <v>104</v>
      </c>
      <c r="C23" s="25"/>
      <c r="D23" s="7"/>
      <c r="E23" s="7">
        <f>C10-E10</f>
        <v>5500</v>
      </c>
    </row>
    <row r="24" spans="1:19" s="1" customFormat="1" ht="20.25" x14ac:dyDescent="0.3">
      <c r="A24" s="6" t="s">
        <v>16</v>
      </c>
      <c r="B24" s="25" t="s">
        <v>26</v>
      </c>
      <c r="C24" s="25"/>
      <c r="D24" s="7"/>
      <c r="E24" s="43">
        <f>E22-E23</f>
        <v>38500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C25" s="3"/>
      <c r="D25" s="7"/>
    </row>
    <row r="26" spans="1:19" x14ac:dyDescent="0.25">
      <c r="A26" s="44"/>
      <c r="B26" s="44"/>
      <c r="C26" s="44"/>
      <c r="D26" s="45"/>
      <c r="E26" s="44"/>
      <c r="F26" s="44"/>
    </row>
    <row r="27" spans="1:19" x14ac:dyDescent="0.25">
      <c r="A27" s="44"/>
      <c r="B27" s="44"/>
      <c r="C27" s="44"/>
      <c r="D27" s="45"/>
      <c r="E27" s="44"/>
      <c r="F27" s="44"/>
    </row>
    <row r="28" spans="1:19" x14ac:dyDescent="0.25">
      <c r="C28" s="3"/>
      <c r="D28" s="7"/>
    </row>
    <row r="29" spans="1:19" x14ac:dyDescent="0.25">
      <c r="C29" s="3"/>
      <c r="D29" s="7"/>
    </row>
    <row r="30" spans="1:19" x14ac:dyDescent="0.25">
      <c r="C30" s="3"/>
      <c r="D30" s="7"/>
    </row>
    <row r="31" spans="1:19" x14ac:dyDescent="0.25">
      <c r="C31" s="3"/>
      <c r="D31" s="7"/>
    </row>
    <row r="32" spans="1:19" x14ac:dyDescent="0.25">
      <c r="A32" s="2" t="s">
        <v>110</v>
      </c>
    </row>
    <row r="34" spans="1:2" x14ac:dyDescent="0.25">
      <c r="A34" s="3" t="s">
        <v>11</v>
      </c>
      <c r="B34" s="3" t="s">
        <v>111</v>
      </c>
    </row>
    <row r="35" spans="1:2" x14ac:dyDescent="0.25">
      <c r="A35" s="2"/>
      <c r="B35" s="3" t="s">
        <v>112</v>
      </c>
    </row>
    <row r="37" spans="1:2" x14ac:dyDescent="0.25">
      <c r="A37" s="3" t="s">
        <v>24</v>
      </c>
      <c r="B37" s="3" t="s">
        <v>234</v>
      </c>
    </row>
    <row r="38" spans="1:2" x14ac:dyDescent="0.25">
      <c r="B38" s="3" t="s">
        <v>113</v>
      </c>
    </row>
    <row r="40" spans="1:2" x14ac:dyDescent="0.25">
      <c r="A40" s="3" t="s">
        <v>25</v>
      </c>
      <c r="B40" s="3" t="s">
        <v>115</v>
      </c>
    </row>
    <row r="41" spans="1:2" x14ac:dyDescent="0.25">
      <c r="B41" s="3" t="s">
        <v>114</v>
      </c>
    </row>
    <row r="43" spans="1:2" x14ac:dyDescent="0.25">
      <c r="A43" s="3" t="s">
        <v>27</v>
      </c>
      <c r="B43" s="3" t="s">
        <v>116</v>
      </c>
    </row>
    <row r="44" spans="1:2" x14ac:dyDescent="0.25">
      <c r="B44" s="3" t="s">
        <v>117</v>
      </c>
    </row>
    <row r="45" spans="1:2" x14ac:dyDescent="0.25">
      <c r="B45" s="3" t="s">
        <v>250</v>
      </c>
    </row>
    <row r="48" spans="1:2" x14ac:dyDescent="0.25">
      <c r="A48" s="2" t="s">
        <v>118</v>
      </c>
    </row>
    <row r="49" spans="1:18" x14ac:dyDescent="0.25">
      <c r="E49" s="5"/>
      <c r="F49" s="5"/>
      <c r="G49" s="5"/>
      <c r="H49" s="5"/>
      <c r="I49" s="5"/>
      <c r="J49" s="5"/>
      <c r="K49" s="5"/>
    </row>
    <row r="50" spans="1:18" x14ac:dyDescent="0.25">
      <c r="A50" s="4"/>
      <c r="B50" s="3" t="s">
        <v>119</v>
      </c>
      <c r="E50" s="5">
        <v>4320000</v>
      </c>
      <c r="F50" s="108" t="s">
        <v>124</v>
      </c>
      <c r="H50" s="5"/>
      <c r="I50" s="5"/>
      <c r="J50" s="5"/>
      <c r="K50" s="5"/>
    </row>
    <row r="51" spans="1:18" x14ac:dyDescent="0.25">
      <c r="A51" s="6" t="s">
        <v>28</v>
      </c>
      <c r="B51" s="3" t="s">
        <v>120</v>
      </c>
      <c r="E51" s="5">
        <v>3600000</v>
      </c>
      <c r="F51" s="108" t="s">
        <v>125</v>
      </c>
      <c r="H51" s="5"/>
      <c r="I51" s="5"/>
      <c r="J51" s="5"/>
      <c r="K51" s="5"/>
    </row>
    <row r="52" spans="1:18" x14ac:dyDescent="0.25">
      <c r="A52" s="6" t="s">
        <v>28</v>
      </c>
      <c r="B52" s="3" t="s">
        <v>121</v>
      </c>
      <c r="E52" s="99">
        <v>450000</v>
      </c>
      <c r="F52" s="108" t="s">
        <v>249</v>
      </c>
      <c r="H52" s="5"/>
      <c r="I52" s="5"/>
      <c r="J52" s="5"/>
      <c r="K52" s="5"/>
    </row>
    <row r="53" spans="1:18" s="1" customFormat="1" ht="20.25" x14ac:dyDescent="0.3">
      <c r="A53" s="6" t="s">
        <v>16</v>
      </c>
      <c r="B53" s="3" t="s">
        <v>30</v>
      </c>
      <c r="C53" s="5"/>
      <c r="D53" s="3"/>
      <c r="E53" s="43">
        <f>SUM(E50:E52)</f>
        <v>8370000</v>
      </c>
      <c r="F53" s="5"/>
      <c r="G53" s="5"/>
      <c r="H53" s="5"/>
      <c r="I53" s="5"/>
      <c r="J53" s="5"/>
      <c r="K53" s="5"/>
      <c r="L53" s="3"/>
      <c r="M53" s="3"/>
      <c r="N53" s="3"/>
      <c r="O53" s="3"/>
      <c r="P53" s="3"/>
      <c r="Q53" s="3"/>
      <c r="R53" s="3"/>
    </row>
    <row r="54" spans="1:18" x14ac:dyDescent="0.25">
      <c r="E54" s="5"/>
      <c r="F54" s="5"/>
      <c r="G54" s="5"/>
      <c r="H54" s="5"/>
      <c r="I54" s="5"/>
      <c r="J54" s="5"/>
      <c r="K54" s="5"/>
    </row>
    <row r="55" spans="1:18" x14ac:dyDescent="0.25">
      <c r="B55" s="103" t="s">
        <v>122</v>
      </c>
      <c r="E55" s="5"/>
      <c r="F55" s="5"/>
      <c r="G55" s="5"/>
      <c r="H55" s="5"/>
      <c r="I55" s="5"/>
      <c r="J55" s="5"/>
      <c r="K55" s="5"/>
    </row>
    <row r="56" spans="1:18" x14ac:dyDescent="0.25">
      <c r="B56" s="3" t="s">
        <v>235</v>
      </c>
      <c r="E56" s="5">
        <f>E53*0.2</f>
        <v>1674000</v>
      </c>
      <c r="F56" s="5"/>
      <c r="G56" s="5"/>
      <c r="H56" s="5"/>
      <c r="I56" s="5"/>
      <c r="J56" s="5"/>
      <c r="K56" s="5"/>
    </row>
    <row r="57" spans="1:18" x14ac:dyDescent="0.25">
      <c r="B57" s="3" t="s">
        <v>123</v>
      </c>
      <c r="E57" s="5">
        <f>15700000*0.04</f>
        <v>628000</v>
      </c>
      <c r="F57" s="5"/>
      <c r="G57" s="5"/>
      <c r="H57" s="5"/>
      <c r="I57" s="5"/>
      <c r="J57" s="5"/>
      <c r="K57" s="5"/>
    </row>
    <row r="58" spans="1:18" s="1" customFormat="1" ht="20.25" x14ac:dyDescent="0.3">
      <c r="A58" s="3"/>
      <c r="B58" s="3"/>
      <c r="C58" s="5"/>
      <c r="D58" s="3"/>
      <c r="E58" s="43">
        <f>SUM(E56:E57)</f>
        <v>2302000</v>
      </c>
      <c r="F58" s="5"/>
      <c r="G58" s="5"/>
      <c r="H58" s="5"/>
      <c r="I58" s="5"/>
      <c r="J58" s="5"/>
      <c r="K58" s="5"/>
      <c r="L58" s="3"/>
      <c r="M58" s="3"/>
      <c r="N58" s="3"/>
      <c r="O58" s="3"/>
      <c r="P58" s="3"/>
      <c r="Q58" s="3"/>
    </row>
    <row r="59" spans="1:18" x14ac:dyDescent="0.25">
      <c r="E59" s="5"/>
      <c r="F59" s="5"/>
      <c r="G59" s="5"/>
      <c r="H59" s="5"/>
      <c r="I59" s="5"/>
      <c r="J59" s="5"/>
      <c r="K59" s="5"/>
    </row>
    <row r="60" spans="1:18" x14ac:dyDescent="0.25">
      <c r="E60" s="5"/>
      <c r="F60" s="5"/>
      <c r="G60" s="5"/>
      <c r="H60" s="5"/>
      <c r="I60" s="5"/>
      <c r="J60" s="5"/>
      <c r="K60" s="5"/>
    </row>
    <row r="61" spans="1:18" x14ac:dyDescent="0.25">
      <c r="E61" s="5"/>
      <c r="F61" s="5"/>
      <c r="G61" s="5"/>
      <c r="H61" s="5"/>
      <c r="I61" s="5"/>
      <c r="J61" s="5"/>
      <c r="K61" s="5"/>
    </row>
    <row r="62" spans="1:18" x14ac:dyDescent="0.25">
      <c r="E62" s="5"/>
      <c r="F62" s="5"/>
      <c r="G62" s="5"/>
      <c r="H62" s="5"/>
      <c r="I62" s="5"/>
      <c r="J62" s="5"/>
      <c r="K62" s="5"/>
    </row>
  </sheetData>
  <mergeCells count="4">
    <mergeCell ref="O5:P5"/>
    <mergeCell ref="Q5:R5"/>
    <mergeCell ref="S5:T5"/>
    <mergeCell ref="U5:V5"/>
  </mergeCells>
  <pageMargins left="0.9055118110236221" right="0.9055118110236221" top="0.78740157480314965" bottom="0.78740157480314965" header="0.31496062992125984" footer="0.31496062992125984"/>
  <pageSetup paperSize="9" pageOrder="overThenDown" orientation="landscape" horizontalDpi="4294967293" verticalDpi="200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0"/>
  <sheetViews>
    <sheetView showGridLines="0" topLeftCell="A23" workbookViewId="0">
      <selection activeCell="C40" sqref="C40"/>
    </sheetView>
  </sheetViews>
  <sheetFormatPr baseColWidth="10" defaultRowHeight="15.75" x14ac:dyDescent="0.25"/>
  <cols>
    <col min="1" max="1" width="4.7109375" style="3" customWidth="1"/>
    <col min="2" max="2" width="4.140625" style="4" customWidth="1"/>
    <col min="3" max="3" width="20.28515625" style="3" customWidth="1"/>
    <col min="4" max="16384" width="11.42578125" style="3"/>
  </cols>
  <sheetData>
    <row r="1" spans="1:16" x14ac:dyDescent="0.25">
      <c r="A1" s="2" t="s">
        <v>51</v>
      </c>
    </row>
    <row r="2" spans="1:16" x14ac:dyDescent="0.25">
      <c r="B2" s="121"/>
    </row>
    <row r="3" spans="1:16" x14ac:dyDescent="0.25">
      <c r="B3" s="122"/>
      <c r="C3" s="54"/>
      <c r="D3" s="66" t="s">
        <v>62</v>
      </c>
      <c r="E3" s="165" t="s">
        <v>64</v>
      </c>
      <c r="F3" s="166"/>
      <c r="G3" s="166"/>
      <c r="H3" s="166"/>
      <c r="I3" s="167"/>
      <c r="J3" s="69" t="s">
        <v>46</v>
      </c>
    </row>
    <row r="4" spans="1:16" x14ac:dyDescent="0.25">
      <c r="B4" s="114"/>
      <c r="C4" s="25"/>
      <c r="D4" s="109" t="s">
        <v>63</v>
      </c>
      <c r="E4" s="111" t="s">
        <v>126</v>
      </c>
      <c r="F4" s="111" t="s">
        <v>127</v>
      </c>
      <c r="G4" s="111" t="s">
        <v>129</v>
      </c>
      <c r="H4" s="111" t="s">
        <v>130</v>
      </c>
      <c r="I4" s="111" t="s">
        <v>128</v>
      </c>
      <c r="J4" s="110"/>
    </row>
    <row r="5" spans="1:16" x14ac:dyDescent="0.25">
      <c r="B5" s="123"/>
      <c r="C5" s="57"/>
      <c r="D5" s="67"/>
      <c r="E5" s="112"/>
      <c r="F5" s="110"/>
      <c r="G5" s="110" t="s">
        <v>80</v>
      </c>
      <c r="H5" s="110" t="s">
        <v>80</v>
      </c>
      <c r="I5" s="110" t="s">
        <v>61</v>
      </c>
      <c r="J5" s="70"/>
    </row>
    <row r="6" spans="1:16" x14ac:dyDescent="0.25">
      <c r="B6" s="136" t="s">
        <v>52</v>
      </c>
      <c r="C6" s="14"/>
      <c r="D6" s="75"/>
      <c r="E6" s="76">
        <v>28000</v>
      </c>
      <c r="F6" s="76"/>
      <c r="G6" s="76"/>
      <c r="H6" s="76"/>
      <c r="I6" s="76"/>
      <c r="J6" s="77">
        <f>SUM(D6:I6)</f>
        <v>28000</v>
      </c>
      <c r="K6" s="5"/>
      <c r="L6" s="5"/>
      <c r="M6" s="5"/>
    </row>
    <row r="7" spans="1:16" x14ac:dyDescent="0.25">
      <c r="B7" s="137" t="s">
        <v>53</v>
      </c>
      <c r="C7" s="18"/>
      <c r="D7" s="78">
        <v>14000</v>
      </c>
      <c r="E7" s="79"/>
      <c r="F7" s="79"/>
      <c r="G7" s="79"/>
      <c r="H7" s="79"/>
      <c r="I7" s="79"/>
      <c r="J7" s="80"/>
      <c r="K7" s="5"/>
      <c r="L7" s="5"/>
      <c r="M7" s="5"/>
    </row>
    <row r="8" spans="1:16" x14ac:dyDescent="0.25">
      <c r="B8" s="137" t="s">
        <v>54</v>
      </c>
      <c r="C8" s="18"/>
      <c r="D8" s="78"/>
      <c r="E8" s="79"/>
      <c r="F8" s="79">
        <v>298000</v>
      </c>
      <c r="G8" s="79"/>
      <c r="H8" s="79"/>
      <c r="I8" s="79"/>
      <c r="J8" s="80">
        <f t="shared" ref="J8:J15" si="0">SUM(D8:I8)</f>
        <v>298000</v>
      </c>
      <c r="K8" s="5"/>
      <c r="L8" s="5"/>
      <c r="M8" s="5"/>
    </row>
    <row r="9" spans="1:16" x14ac:dyDescent="0.25">
      <c r="B9" s="137" t="s">
        <v>55</v>
      </c>
      <c r="C9" s="18"/>
      <c r="D9" s="78"/>
      <c r="E9" s="79"/>
      <c r="F9" s="79">
        <v>80000</v>
      </c>
      <c r="G9" s="79"/>
      <c r="H9" s="79"/>
      <c r="I9" s="79"/>
      <c r="J9" s="80">
        <f t="shared" si="0"/>
        <v>80000</v>
      </c>
      <c r="K9" s="5"/>
      <c r="L9" s="5"/>
      <c r="M9" s="5"/>
    </row>
    <row r="10" spans="1:16" x14ac:dyDescent="0.25">
      <c r="B10" s="137" t="s">
        <v>56</v>
      </c>
      <c r="C10" s="18"/>
      <c r="D10" s="78"/>
      <c r="E10" s="79"/>
      <c r="F10" s="79">
        <v>165000</v>
      </c>
      <c r="G10" s="79"/>
      <c r="H10" s="79"/>
      <c r="I10" s="79"/>
      <c r="J10" s="80">
        <f t="shared" si="0"/>
        <v>165000</v>
      </c>
      <c r="K10" s="5"/>
      <c r="L10" s="5"/>
      <c r="M10" s="5"/>
    </row>
    <row r="11" spans="1:16" x14ac:dyDescent="0.25">
      <c r="B11" s="137" t="s">
        <v>57</v>
      </c>
      <c r="C11" s="18"/>
      <c r="D11" s="78">
        <v>13000</v>
      </c>
      <c r="E11" s="79"/>
      <c r="F11" s="79"/>
      <c r="G11" s="79"/>
      <c r="H11" s="79"/>
      <c r="I11" s="79"/>
      <c r="J11" s="80"/>
      <c r="K11" s="5"/>
      <c r="L11" s="5"/>
      <c r="M11" s="5"/>
    </row>
    <row r="12" spans="1:16" x14ac:dyDescent="0.25">
      <c r="B12" s="137" t="s">
        <v>58</v>
      </c>
      <c r="C12" s="18"/>
      <c r="D12" s="78">
        <v>7000</v>
      </c>
      <c r="E12" s="79"/>
      <c r="F12" s="79"/>
      <c r="G12" s="79"/>
      <c r="H12" s="79"/>
      <c r="I12" s="79"/>
      <c r="J12" s="80"/>
      <c r="K12" s="5"/>
      <c r="L12" s="5"/>
      <c r="M12" s="5"/>
    </row>
    <row r="13" spans="1:16" x14ac:dyDescent="0.25">
      <c r="B13" s="137" t="s">
        <v>59</v>
      </c>
      <c r="C13" s="18"/>
      <c r="D13" s="78"/>
      <c r="E13" s="79"/>
      <c r="F13" s="79"/>
      <c r="G13" s="79">
        <v>3800000</v>
      </c>
      <c r="H13" s="79"/>
      <c r="I13" s="79"/>
      <c r="J13" s="80">
        <f t="shared" si="0"/>
        <v>3800000</v>
      </c>
      <c r="K13" s="5"/>
      <c r="L13" s="5"/>
      <c r="M13" s="5"/>
    </row>
    <row r="14" spans="1:16" x14ac:dyDescent="0.25">
      <c r="B14" s="137" t="s">
        <v>60</v>
      </c>
      <c r="C14" s="18"/>
      <c r="D14" s="78"/>
      <c r="E14" s="79"/>
      <c r="F14" s="79"/>
      <c r="G14" s="79"/>
      <c r="H14" s="79">
        <v>2200000</v>
      </c>
      <c r="I14" s="79"/>
      <c r="J14" s="80">
        <f t="shared" si="0"/>
        <v>2200000</v>
      </c>
      <c r="K14" s="5"/>
      <c r="L14" s="5"/>
      <c r="M14" s="5"/>
    </row>
    <row r="15" spans="1:16" x14ac:dyDescent="0.25">
      <c r="B15" s="138" t="s">
        <v>61</v>
      </c>
      <c r="C15" s="81"/>
      <c r="D15" s="82"/>
      <c r="E15" s="79"/>
      <c r="F15" s="79"/>
      <c r="G15" s="79"/>
      <c r="H15" s="79"/>
      <c r="I15" s="79">
        <v>900000</v>
      </c>
      <c r="J15" s="80">
        <f t="shared" si="0"/>
        <v>900000</v>
      </c>
      <c r="K15" s="5"/>
      <c r="L15" s="5"/>
      <c r="M15" s="5"/>
    </row>
    <row r="16" spans="1:16" s="1" customFormat="1" ht="20.25" x14ac:dyDescent="0.3">
      <c r="B16" s="139" t="s">
        <v>46</v>
      </c>
      <c r="C16" s="65"/>
      <c r="D16" s="68">
        <f>SUM(D6:D14)</f>
        <v>34000</v>
      </c>
      <c r="E16" s="73"/>
      <c r="F16" s="73"/>
      <c r="G16" s="73"/>
      <c r="H16" s="73"/>
      <c r="I16" s="73"/>
      <c r="J16" s="73"/>
      <c r="K16" s="5"/>
      <c r="L16" s="5"/>
      <c r="M16" s="5"/>
      <c r="N16" s="3"/>
      <c r="O16" s="3"/>
      <c r="P16" s="3"/>
    </row>
    <row r="17" spans="1:14" s="1" customFormat="1" ht="20.25" x14ac:dyDescent="0.3">
      <c r="B17" s="113"/>
      <c r="C17" s="14" t="s">
        <v>30</v>
      </c>
      <c r="D17" s="83"/>
      <c r="E17" s="76">
        <f>SUM(E6:E16)</f>
        <v>28000</v>
      </c>
      <c r="F17" s="76">
        <f t="shared" ref="F17:J17" si="1">SUM(F6:F16)</f>
        <v>543000</v>
      </c>
      <c r="G17" s="76">
        <f t="shared" si="1"/>
        <v>3800000</v>
      </c>
      <c r="H17" s="76">
        <f t="shared" si="1"/>
        <v>2200000</v>
      </c>
      <c r="I17" s="76">
        <f t="shared" si="1"/>
        <v>900000</v>
      </c>
      <c r="J17" s="76">
        <f t="shared" si="1"/>
        <v>7471000</v>
      </c>
      <c r="K17" s="5"/>
      <c r="L17" s="5"/>
      <c r="M17" s="5"/>
    </row>
    <row r="18" spans="1:14" x14ac:dyDescent="0.25">
      <c r="A18" s="3" t="s">
        <v>131</v>
      </c>
      <c r="B18" s="114" t="s">
        <v>15</v>
      </c>
      <c r="C18" s="25" t="s">
        <v>44</v>
      </c>
      <c r="D18" s="7"/>
      <c r="E18" s="72">
        <f>E17*0.3</f>
        <v>8400</v>
      </c>
      <c r="F18" s="72">
        <f>F17*0.2</f>
        <v>108600</v>
      </c>
      <c r="G18" s="72">
        <f>G17*0.04</f>
        <v>152000</v>
      </c>
      <c r="H18" s="72">
        <f t="shared" ref="H18:I18" si="2">H17*0.04</f>
        <v>88000</v>
      </c>
      <c r="I18" s="72">
        <f t="shared" si="2"/>
        <v>36000</v>
      </c>
      <c r="J18" s="71">
        <f>SUM(E18:I18)</f>
        <v>393000</v>
      </c>
      <c r="K18" s="5"/>
      <c r="L18" s="5"/>
      <c r="M18" s="5"/>
      <c r="N18" s="5"/>
    </row>
    <row r="19" spans="1:14" s="1" customFormat="1" ht="20.25" x14ac:dyDescent="0.3">
      <c r="A19" s="3" t="s">
        <v>24</v>
      </c>
      <c r="B19" s="115" t="s">
        <v>16</v>
      </c>
      <c r="C19" s="63" t="s">
        <v>65</v>
      </c>
      <c r="D19" s="43"/>
      <c r="E19" s="74">
        <f>E17-E18</f>
        <v>19600</v>
      </c>
      <c r="F19" s="74">
        <f t="shared" ref="F19:J19" si="3">F17-F18</f>
        <v>434400</v>
      </c>
      <c r="G19" s="74">
        <f t="shared" si="3"/>
        <v>3648000</v>
      </c>
      <c r="H19" s="74">
        <f t="shared" si="3"/>
        <v>2112000</v>
      </c>
      <c r="I19" s="74">
        <f t="shared" si="3"/>
        <v>864000</v>
      </c>
      <c r="J19" s="74">
        <f t="shared" si="3"/>
        <v>7078000</v>
      </c>
      <c r="K19" s="5"/>
      <c r="L19" s="5"/>
      <c r="M19" s="5"/>
    </row>
    <row r="20" spans="1:14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C22" s="3" t="s">
        <v>66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x14ac:dyDescent="0.25">
      <c r="C23" s="3" t="s">
        <v>67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4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 x14ac:dyDescent="0.25"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x14ac:dyDescent="0.25">
      <c r="A26" s="2" t="s">
        <v>96</v>
      </c>
      <c r="I26" s="5"/>
      <c r="J26" s="5"/>
      <c r="K26" s="5"/>
      <c r="L26" s="5"/>
      <c r="M26" s="5"/>
    </row>
    <row r="27" spans="1:14" x14ac:dyDescent="0.25">
      <c r="A27" s="2"/>
      <c r="B27" s="118"/>
      <c r="I27" s="5"/>
      <c r="J27" s="5"/>
      <c r="K27" s="5"/>
      <c r="L27" s="5"/>
      <c r="M27" s="5"/>
    </row>
    <row r="28" spans="1:14" x14ac:dyDescent="0.25">
      <c r="A28" s="3" t="s">
        <v>11</v>
      </c>
      <c r="B28" s="118" t="s">
        <v>137</v>
      </c>
      <c r="F28" s="99">
        <f>600000*0.2</f>
        <v>120000</v>
      </c>
      <c r="I28" s="5"/>
      <c r="J28" s="5"/>
      <c r="K28" s="5"/>
      <c r="L28" s="5"/>
      <c r="M28" s="5"/>
    </row>
    <row r="29" spans="1:14" x14ac:dyDescent="0.25">
      <c r="B29" s="118"/>
      <c r="I29" s="5"/>
      <c r="J29" s="5"/>
      <c r="K29" s="5"/>
      <c r="L29" s="5"/>
      <c r="M29" s="5"/>
    </row>
    <row r="30" spans="1:14" x14ac:dyDescent="0.25">
      <c r="B30" s="118"/>
      <c r="I30" s="5"/>
      <c r="J30" s="5"/>
      <c r="K30" s="5"/>
      <c r="L30" s="5"/>
      <c r="M30" s="5"/>
    </row>
    <row r="31" spans="1:14" x14ac:dyDescent="0.25">
      <c r="B31" s="118"/>
      <c r="I31" s="5"/>
      <c r="J31" s="5"/>
      <c r="K31" s="5"/>
      <c r="L31" s="5"/>
      <c r="M31" s="5"/>
    </row>
    <row r="32" spans="1:14" x14ac:dyDescent="0.25">
      <c r="B32" s="118" t="s">
        <v>77</v>
      </c>
      <c r="I32" s="5"/>
      <c r="J32" s="5"/>
      <c r="K32" s="5"/>
      <c r="L32" s="5"/>
      <c r="M32" s="5"/>
    </row>
    <row r="33" spans="1:17" x14ac:dyDescent="0.25">
      <c r="I33" s="5"/>
      <c r="J33" s="5"/>
      <c r="K33" s="5"/>
      <c r="L33" s="5"/>
      <c r="M33" s="5"/>
    </row>
    <row r="34" spans="1:17" x14ac:dyDescent="0.25">
      <c r="B34" s="125" t="s">
        <v>73</v>
      </c>
      <c r="C34" s="55"/>
      <c r="D34" s="46" t="s">
        <v>47</v>
      </c>
      <c r="E34" s="46" t="s">
        <v>75</v>
      </c>
      <c r="I34" s="5"/>
      <c r="J34" s="5"/>
      <c r="K34" s="5"/>
      <c r="L34" s="5"/>
      <c r="M34" s="5"/>
    </row>
    <row r="35" spans="1:17" x14ac:dyDescent="0.25">
      <c r="B35" s="126"/>
      <c r="C35" s="60"/>
      <c r="D35" s="84" t="s">
        <v>74</v>
      </c>
      <c r="E35" s="84" t="s">
        <v>39</v>
      </c>
      <c r="I35" s="5"/>
      <c r="J35" s="5"/>
      <c r="K35" s="5"/>
      <c r="L35" s="5"/>
      <c r="M35" s="5"/>
    </row>
    <row r="36" spans="1:17" x14ac:dyDescent="0.25">
      <c r="B36" s="127" t="s">
        <v>132</v>
      </c>
      <c r="C36" s="33" t="s">
        <v>138</v>
      </c>
      <c r="D36" s="33">
        <f>600000*0.3</f>
        <v>180000</v>
      </c>
      <c r="E36" s="33">
        <f>600000-D36</f>
        <v>420000</v>
      </c>
      <c r="I36" s="5"/>
      <c r="J36" s="5"/>
      <c r="K36" s="5"/>
      <c r="L36" s="5"/>
      <c r="M36" s="5"/>
    </row>
    <row r="37" spans="1:17" x14ac:dyDescent="0.25">
      <c r="B37" s="127" t="s">
        <v>133</v>
      </c>
      <c r="C37" s="33" t="s">
        <v>259</v>
      </c>
      <c r="D37" s="33">
        <f>E36*0.3</f>
        <v>126000</v>
      </c>
      <c r="E37" s="33">
        <f>E36-D37</f>
        <v>294000</v>
      </c>
    </row>
    <row r="38" spans="1:17" x14ac:dyDescent="0.25">
      <c r="B38" s="127" t="s">
        <v>134</v>
      </c>
      <c r="C38" s="33" t="s">
        <v>251</v>
      </c>
      <c r="D38" s="33">
        <f>E37*0.3</f>
        <v>88200</v>
      </c>
      <c r="E38" s="33">
        <f>E37-D38</f>
        <v>205800</v>
      </c>
    </row>
    <row r="39" spans="1:17" x14ac:dyDescent="0.25">
      <c r="B39" s="127" t="s">
        <v>135</v>
      </c>
      <c r="C39" s="33" t="s">
        <v>252</v>
      </c>
      <c r="D39" s="33">
        <f>E38*0.3</f>
        <v>61740</v>
      </c>
      <c r="E39" s="33">
        <f>E38-D39</f>
        <v>144060</v>
      </c>
    </row>
    <row r="40" spans="1:17" x14ac:dyDescent="0.25">
      <c r="B40" s="126" t="s">
        <v>136</v>
      </c>
      <c r="C40" s="33" t="s">
        <v>253</v>
      </c>
      <c r="D40" s="33">
        <f>E39*0.3</f>
        <v>43218</v>
      </c>
      <c r="E40" s="33">
        <f>E39-D40</f>
        <v>100842</v>
      </c>
      <c r="F40" s="3" t="s">
        <v>139</v>
      </c>
    </row>
    <row r="43" spans="1:17" x14ac:dyDescent="0.25">
      <c r="A43" s="3" t="s">
        <v>76</v>
      </c>
    </row>
    <row r="44" spans="1:17" x14ac:dyDescent="0.25">
      <c r="A44" s="107"/>
      <c r="B44" s="128"/>
      <c r="C44" s="63"/>
      <c r="D44" s="87" t="s">
        <v>68</v>
      </c>
      <c r="E44" s="87" t="s">
        <v>69</v>
      </c>
      <c r="F44" s="87" t="s">
        <v>70</v>
      </c>
      <c r="G44" s="87" t="s">
        <v>71</v>
      </c>
      <c r="H44" s="87" t="s">
        <v>72</v>
      </c>
    </row>
    <row r="45" spans="1:17" x14ac:dyDescent="0.25">
      <c r="A45" s="113"/>
      <c r="B45" s="148" t="s">
        <v>43</v>
      </c>
      <c r="C45" s="14"/>
      <c r="D45" s="15">
        <f>600000-120000</f>
        <v>480000</v>
      </c>
      <c r="E45" s="15">
        <f>D45-120000</f>
        <v>360000</v>
      </c>
      <c r="F45" s="15">
        <f t="shared" ref="F45:H45" si="4">E45-120000</f>
        <v>240000</v>
      </c>
      <c r="G45" s="15">
        <f t="shared" si="4"/>
        <v>120000</v>
      </c>
      <c r="H45" s="15">
        <f t="shared" si="4"/>
        <v>0</v>
      </c>
    </row>
    <row r="46" spans="1:17" x14ac:dyDescent="0.25">
      <c r="A46" s="114" t="s">
        <v>15</v>
      </c>
      <c r="B46" s="149" t="s">
        <v>45</v>
      </c>
      <c r="C46" s="25"/>
      <c r="D46" s="62">
        <f>E36</f>
        <v>420000</v>
      </c>
      <c r="E46" s="62">
        <f>E37</f>
        <v>294000</v>
      </c>
      <c r="F46" s="62">
        <f>E38</f>
        <v>205800</v>
      </c>
      <c r="G46" s="62">
        <f>E39</f>
        <v>144060</v>
      </c>
      <c r="H46" s="62">
        <f>E40</f>
        <v>100842</v>
      </c>
    </row>
    <row r="47" spans="1:17" s="1" customFormat="1" ht="20.25" x14ac:dyDescent="0.3">
      <c r="A47" s="115" t="s">
        <v>16</v>
      </c>
      <c r="B47" s="150" t="s">
        <v>31</v>
      </c>
      <c r="C47" s="63"/>
      <c r="D47" s="33">
        <f>D45-D46</f>
        <v>60000</v>
      </c>
      <c r="E47" s="33">
        <f t="shared" ref="E47:H47" si="5">E45-E46</f>
        <v>66000</v>
      </c>
      <c r="F47" s="33">
        <f t="shared" si="5"/>
        <v>34200</v>
      </c>
      <c r="G47" s="33">
        <f t="shared" si="5"/>
        <v>-24060</v>
      </c>
      <c r="H47" s="33">
        <f t="shared" si="5"/>
        <v>-100842</v>
      </c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88"/>
      <c r="B48" s="129"/>
      <c r="C48" s="85"/>
      <c r="D48" s="89"/>
      <c r="E48" s="89"/>
      <c r="F48" s="89"/>
      <c r="G48" s="89"/>
      <c r="H48" s="89"/>
    </row>
    <row r="49" spans="1:8" x14ac:dyDescent="0.25">
      <c r="A49" s="64"/>
      <c r="B49" s="150" t="s">
        <v>6</v>
      </c>
      <c r="C49" s="86"/>
      <c r="D49" s="33">
        <f>D47*0.22</f>
        <v>13200</v>
      </c>
      <c r="E49" s="33">
        <f t="shared" ref="E49:F49" si="6">E47*0.22</f>
        <v>14520</v>
      </c>
      <c r="F49" s="33">
        <f t="shared" si="6"/>
        <v>7524</v>
      </c>
      <c r="G49" s="33"/>
      <c r="H49" s="33"/>
    </row>
    <row r="50" spans="1:8" x14ac:dyDescent="0.25">
      <c r="A50" s="64"/>
      <c r="B50" s="150" t="s">
        <v>40</v>
      </c>
      <c r="C50" s="86"/>
      <c r="D50" s="33"/>
      <c r="E50" s="33"/>
      <c r="F50" s="33"/>
      <c r="G50" s="33">
        <f>-G47*0.22</f>
        <v>5293.2</v>
      </c>
      <c r="H50" s="33">
        <f>-H47*0.22</f>
        <v>22185.24</v>
      </c>
    </row>
    <row r="52" spans="1:8" x14ac:dyDescent="0.25">
      <c r="A52" s="3" t="s">
        <v>27</v>
      </c>
      <c r="B52" s="118" t="s">
        <v>236</v>
      </c>
    </row>
    <row r="53" spans="1:8" x14ac:dyDescent="0.25">
      <c r="B53" s="118" t="s">
        <v>237</v>
      </c>
    </row>
    <row r="54" spans="1:8" x14ac:dyDescent="0.25">
      <c r="B54" s="118" t="s">
        <v>238</v>
      </c>
    </row>
    <row r="55" spans="1:8" x14ac:dyDescent="0.25">
      <c r="B55" s="118" t="s">
        <v>239</v>
      </c>
    </row>
    <row r="56" spans="1:8" x14ac:dyDescent="0.25">
      <c r="B56" s="118" t="s">
        <v>140</v>
      </c>
    </row>
    <row r="57" spans="1:8" x14ac:dyDescent="0.25">
      <c r="B57" s="118"/>
    </row>
    <row r="58" spans="1:8" x14ac:dyDescent="0.25">
      <c r="B58" s="118" t="s">
        <v>141</v>
      </c>
    </row>
    <row r="59" spans="1:8" x14ac:dyDescent="0.25">
      <c r="B59" s="118" t="s">
        <v>142</v>
      </c>
    </row>
    <row r="60" spans="1:8" x14ac:dyDescent="0.25">
      <c r="B60" s="118" t="s">
        <v>143</v>
      </c>
    </row>
    <row r="64" spans="1:8" x14ac:dyDescent="0.25">
      <c r="A64" s="2" t="s">
        <v>78</v>
      </c>
    </row>
    <row r="66" spans="1:17" x14ac:dyDescent="0.25">
      <c r="B66" s="122"/>
      <c r="C66" s="90"/>
      <c r="D66" s="55" t="s">
        <v>79</v>
      </c>
      <c r="E66" s="46" t="s">
        <v>81</v>
      </c>
      <c r="F66" s="55" t="s">
        <v>41</v>
      </c>
      <c r="G66" s="46" t="s">
        <v>46</v>
      </c>
    </row>
    <row r="67" spans="1:17" x14ac:dyDescent="0.25">
      <c r="B67" s="123"/>
      <c r="C67" s="61"/>
      <c r="D67" s="60" t="s">
        <v>80</v>
      </c>
      <c r="E67" s="48" t="s">
        <v>80</v>
      </c>
      <c r="F67" s="60" t="s">
        <v>42</v>
      </c>
      <c r="G67" s="49"/>
    </row>
    <row r="68" spans="1:17" x14ac:dyDescent="0.25">
      <c r="B68" s="113"/>
      <c r="C68" s="91" t="s">
        <v>82</v>
      </c>
      <c r="D68" s="93">
        <v>12000</v>
      </c>
      <c r="E68" s="15">
        <v>4000</v>
      </c>
      <c r="F68" s="93">
        <v>19000</v>
      </c>
      <c r="G68" s="15">
        <f>SUM(D68:F68)</f>
        <v>35000</v>
      </c>
    </row>
    <row r="69" spans="1:17" x14ac:dyDescent="0.25">
      <c r="B69" s="114" t="s">
        <v>15</v>
      </c>
      <c r="C69" s="56" t="s">
        <v>83</v>
      </c>
      <c r="D69" s="7">
        <f>14000*0.05</f>
        <v>700</v>
      </c>
      <c r="E69" s="62">
        <f>6000*0.04</f>
        <v>240</v>
      </c>
      <c r="F69" s="7">
        <f>21000*0.02</f>
        <v>420</v>
      </c>
      <c r="G69" s="62">
        <f>SUM(D69:F69)</f>
        <v>1360</v>
      </c>
    </row>
    <row r="70" spans="1:17" s="1" customFormat="1" ht="20.25" x14ac:dyDescent="0.3">
      <c r="A70" s="3"/>
      <c r="B70" s="115" t="s">
        <v>16</v>
      </c>
      <c r="C70" s="86" t="s">
        <v>84</v>
      </c>
      <c r="D70" s="33">
        <f>D68-D69</f>
        <v>11300</v>
      </c>
      <c r="E70" s="33">
        <f t="shared" ref="E70:G70" si="7">E68-E69</f>
        <v>3760</v>
      </c>
      <c r="F70" s="33">
        <f t="shared" si="7"/>
        <v>18580</v>
      </c>
      <c r="G70" s="33">
        <f t="shared" si="7"/>
        <v>33640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s="1" customFormat="1" ht="20.25" x14ac:dyDescent="0.3">
      <c r="A71" s="3"/>
      <c r="B71" s="130"/>
      <c r="C71" s="92" t="s">
        <v>85</v>
      </c>
      <c r="D71" s="53">
        <v>9000</v>
      </c>
      <c r="E71" s="94">
        <v>5000</v>
      </c>
      <c r="F71" s="53">
        <v>20000</v>
      </c>
      <c r="G71" s="94">
        <f>SUM(D71:F71)</f>
        <v>34000</v>
      </c>
      <c r="H71" s="3"/>
      <c r="I71" s="3"/>
      <c r="J71" s="3"/>
      <c r="K71" s="3"/>
      <c r="L71" s="3"/>
      <c r="M71" s="3"/>
      <c r="N71" s="3"/>
      <c r="O71" s="3"/>
    </row>
    <row r="72" spans="1:17" x14ac:dyDescent="0.25">
      <c r="B72" s="114" t="s">
        <v>15</v>
      </c>
      <c r="C72" s="56" t="s">
        <v>86</v>
      </c>
      <c r="D72" s="23">
        <f>D71*D75</f>
        <v>360</v>
      </c>
      <c r="E72" s="23">
        <f t="shared" ref="E72:F72" si="8">E71*E75</f>
        <v>200</v>
      </c>
      <c r="F72" s="23">
        <f t="shared" si="8"/>
        <v>400</v>
      </c>
      <c r="G72" s="23">
        <f>SUM(D72:F72)</f>
        <v>960</v>
      </c>
    </row>
    <row r="73" spans="1:17" s="1" customFormat="1" ht="20.25" x14ac:dyDescent="0.3">
      <c r="A73" s="3"/>
      <c r="B73" s="115" t="s">
        <v>16</v>
      </c>
      <c r="C73" s="86" t="s">
        <v>87</v>
      </c>
      <c r="D73" s="33">
        <f>D71-D72</f>
        <v>8640</v>
      </c>
      <c r="E73" s="33">
        <f t="shared" ref="E73:F73" si="9">E71-E72</f>
        <v>4800</v>
      </c>
      <c r="F73" s="33">
        <f t="shared" si="9"/>
        <v>19600</v>
      </c>
      <c r="G73" s="33">
        <f>G71-G72</f>
        <v>33040</v>
      </c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B74" s="131"/>
      <c r="C74" s="25"/>
      <c r="D74" s="7"/>
      <c r="E74" s="7"/>
      <c r="F74" s="7"/>
      <c r="G74" s="7"/>
    </row>
    <row r="75" spans="1:17" x14ac:dyDescent="0.25">
      <c r="B75" s="151" t="s">
        <v>144</v>
      </c>
      <c r="C75" s="25"/>
      <c r="D75" s="116">
        <v>0.04</v>
      </c>
      <c r="E75" s="116">
        <v>0.04</v>
      </c>
      <c r="F75" s="116">
        <v>0.02</v>
      </c>
    </row>
    <row r="76" spans="1:17" x14ac:dyDescent="0.25">
      <c r="B76" s="151"/>
      <c r="C76" s="25"/>
      <c r="D76" s="116"/>
      <c r="E76" s="116"/>
      <c r="F76" s="116"/>
    </row>
    <row r="77" spans="1:17" x14ac:dyDescent="0.25">
      <c r="A77" s="3" t="s">
        <v>11</v>
      </c>
      <c r="B77" s="151"/>
      <c r="C77" s="25"/>
      <c r="D77" s="153" t="s">
        <v>79</v>
      </c>
      <c r="E77" s="157" t="s">
        <v>81</v>
      </c>
      <c r="F77" s="154" t="s">
        <v>41</v>
      </c>
      <c r="G77" s="159" t="s">
        <v>46</v>
      </c>
    </row>
    <row r="78" spans="1:17" x14ac:dyDescent="0.25">
      <c r="D78" s="155" t="s">
        <v>80</v>
      </c>
      <c r="E78" s="158" t="s">
        <v>80</v>
      </c>
      <c r="F78" s="156" t="s">
        <v>42</v>
      </c>
      <c r="G78" s="158" t="s">
        <v>38</v>
      </c>
    </row>
    <row r="79" spans="1:17" x14ac:dyDescent="0.25">
      <c r="B79" s="134" t="s">
        <v>88</v>
      </c>
      <c r="C79" s="86"/>
      <c r="D79" s="33">
        <f>D70-D73</f>
        <v>2660</v>
      </c>
      <c r="E79" s="33">
        <f t="shared" ref="E79:F79" si="10">E70-E73</f>
        <v>-1040</v>
      </c>
      <c r="F79" s="33">
        <f t="shared" si="10"/>
        <v>-1020</v>
      </c>
      <c r="G79" s="33">
        <f>SUM(D79:F79)</f>
        <v>600</v>
      </c>
    </row>
    <row r="80" spans="1:17" x14ac:dyDescent="0.25">
      <c r="B80" s="135" t="s">
        <v>89</v>
      </c>
      <c r="C80" s="61"/>
      <c r="D80" s="33">
        <f>D68-D71</f>
        <v>3000</v>
      </c>
      <c r="E80" s="33">
        <f t="shared" ref="E80:F80" si="11">E68-E71</f>
        <v>-1000</v>
      </c>
      <c r="F80" s="33">
        <f t="shared" si="11"/>
        <v>-1000</v>
      </c>
      <c r="G80" s="33">
        <f>SUM(D80:F80)</f>
        <v>1000</v>
      </c>
    </row>
    <row r="81" spans="1:7" x14ac:dyDescent="0.25">
      <c r="B81" s="118"/>
    </row>
    <row r="82" spans="1:7" x14ac:dyDescent="0.25">
      <c r="B82" s="118"/>
    </row>
    <row r="83" spans="1:7" x14ac:dyDescent="0.25">
      <c r="A83" s="3" t="s">
        <v>24</v>
      </c>
      <c r="B83" s="118" t="s">
        <v>90</v>
      </c>
      <c r="D83" s="5" t="s">
        <v>145</v>
      </c>
      <c r="E83" s="5"/>
      <c r="F83" s="5"/>
      <c r="G83" s="5"/>
    </row>
    <row r="84" spans="1:7" x14ac:dyDescent="0.25">
      <c r="B84" s="118" t="s">
        <v>91</v>
      </c>
      <c r="D84" s="5" t="s">
        <v>146</v>
      </c>
      <c r="E84" s="5"/>
      <c r="F84" s="5"/>
      <c r="G84" s="5"/>
    </row>
    <row r="85" spans="1:7" x14ac:dyDescent="0.25">
      <c r="B85" s="95"/>
    </row>
    <row r="94" spans="1:7" x14ac:dyDescent="0.25">
      <c r="A94" s="2" t="s">
        <v>147</v>
      </c>
    </row>
    <row r="96" spans="1:7" x14ac:dyDescent="0.25">
      <c r="C96" s="3" t="s">
        <v>148</v>
      </c>
      <c r="E96" s="5">
        <v>550000</v>
      </c>
    </row>
    <row r="97" spans="1:16" x14ac:dyDescent="0.25">
      <c r="B97" s="6" t="s">
        <v>28</v>
      </c>
      <c r="C97" s="3" t="s">
        <v>149</v>
      </c>
      <c r="E97" s="5">
        <v>360000</v>
      </c>
    </row>
    <row r="98" spans="1:16" x14ac:dyDescent="0.25">
      <c r="B98" s="4" t="s">
        <v>15</v>
      </c>
      <c r="C98" s="3" t="s">
        <v>29</v>
      </c>
      <c r="E98" s="99">
        <v>125000</v>
      </c>
    </row>
    <row r="99" spans="1:16" s="1" customFormat="1" ht="20.25" x14ac:dyDescent="0.3">
      <c r="A99" s="3"/>
      <c r="B99" s="6" t="s">
        <v>16</v>
      </c>
      <c r="C99" s="3" t="s">
        <v>30</v>
      </c>
      <c r="D99" s="3"/>
      <c r="E99" s="5">
        <f>E96+E97-E98</f>
        <v>785000</v>
      </c>
      <c r="F99" s="3"/>
      <c r="G99" s="3"/>
      <c r="H99" s="3"/>
      <c r="I99" s="3"/>
      <c r="J99" s="3"/>
      <c r="K99" s="3"/>
      <c r="L99" s="3"/>
      <c r="M99" s="3"/>
    </row>
    <row r="100" spans="1:16" x14ac:dyDescent="0.25">
      <c r="B100" s="4" t="s">
        <v>15</v>
      </c>
      <c r="C100" s="3" t="s">
        <v>150</v>
      </c>
      <c r="E100" s="5">
        <f>E99*0.2</f>
        <v>157000</v>
      </c>
    </row>
    <row r="101" spans="1:16" s="1" customFormat="1" ht="20.25" x14ac:dyDescent="0.3">
      <c r="A101" s="3"/>
      <c r="B101" s="6" t="s">
        <v>16</v>
      </c>
      <c r="C101" s="3" t="s">
        <v>151</v>
      </c>
      <c r="D101" s="3"/>
      <c r="E101" s="43">
        <f>E99-E100</f>
        <v>628000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6" x14ac:dyDescent="0.25">
      <c r="E102" s="5"/>
    </row>
    <row r="104" spans="1:16" x14ac:dyDescent="0.25">
      <c r="A104" s="2" t="s">
        <v>92</v>
      </c>
      <c r="B104" s="121"/>
    </row>
    <row r="106" spans="1:16" x14ac:dyDescent="0.25">
      <c r="A106" s="3" t="s">
        <v>11</v>
      </c>
      <c r="C106" s="3" t="s">
        <v>152</v>
      </c>
      <c r="E106" s="5">
        <v>800000</v>
      </c>
    </row>
    <row r="107" spans="1:16" x14ac:dyDescent="0.25">
      <c r="B107" s="4" t="s">
        <v>15</v>
      </c>
      <c r="C107" s="3" t="s">
        <v>154</v>
      </c>
      <c r="E107" s="99">
        <v>1000000</v>
      </c>
    </row>
    <row r="108" spans="1:16" s="1" customFormat="1" ht="20.25" x14ac:dyDescent="0.3">
      <c r="A108" s="3"/>
      <c r="B108" s="6" t="s">
        <v>16</v>
      </c>
      <c r="C108" s="3" t="s">
        <v>153</v>
      </c>
      <c r="D108" s="3"/>
      <c r="E108" s="5">
        <f>E106-E107</f>
        <v>-200000</v>
      </c>
      <c r="F108" s="3"/>
      <c r="G108" s="3"/>
      <c r="H108" s="3"/>
      <c r="I108" s="3"/>
      <c r="J108" s="3"/>
      <c r="K108" s="3"/>
      <c r="L108" s="3"/>
      <c r="M108" s="3"/>
      <c r="N108" s="3"/>
    </row>
    <row r="109" spans="1:16" x14ac:dyDescent="0.25">
      <c r="B109" s="6" t="s">
        <v>28</v>
      </c>
      <c r="C109" s="3" t="s">
        <v>155</v>
      </c>
      <c r="E109" s="5">
        <f>-E108*0.2</f>
        <v>40000</v>
      </c>
    </row>
    <row r="110" spans="1:16" s="1" customFormat="1" ht="20.25" x14ac:dyDescent="0.3">
      <c r="A110" s="3"/>
      <c r="B110" s="6" t="s">
        <v>16</v>
      </c>
      <c r="C110" s="3" t="s">
        <v>151</v>
      </c>
      <c r="D110" s="3"/>
      <c r="E110" s="43">
        <f>SUM(E108:E109)</f>
        <v>-160000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E111" s="5"/>
    </row>
    <row r="112" spans="1:16" x14ac:dyDescent="0.25">
      <c r="A112" s="147"/>
      <c r="B112" s="118" t="s">
        <v>156</v>
      </c>
      <c r="E112" s="5"/>
    </row>
    <row r="113" spans="1:15" x14ac:dyDescent="0.25">
      <c r="A113" s="4"/>
      <c r="B113" s="118" t="s">
        <v>157</v>
      </c>
      <c r="E113" s="5"/>
    </row>
    <row r="114" spans="1:15" x14ac:dyDescent="0.25">
      <c r="E114" s="5"/>
    </row>
    <row r="115" spans="1:15" x14ac:dyDescent="0.25">
      <c r="A115" s="3" t="s">
        <v>24</v>
      </c>
      <c r="B115" s="124"/>
      <c r="C115" s="63"/>
      <c r="D115" s="119" t="s">
        <v>161</v>
      </c>
      <c r="E115" s="119" t="s">
        <v>162</v>
      </c>
      <c r="F115" s="102"/>
      <c r="G115" s="3" t="s">
        <v>254</v>
      </c>
    </row>
    <row r="116" spans="1:15" x14ac:dyDescent="0.25">
      <c r="B116" s="114"/>
      <c r="C116" s="25" t="s">
        <v>93</v>
      </c>
      <c r="D116" s="62">
        <v>800000</v>
      </c>
      <c r="E116" s="62">
        <v>800000</v>
      </c>
      <c r="F116" s="7"/>
    </row>
    <row r="117" spans="1:15" x14ac:dyDescent="0.25">
      <c r="B117" s="132" t="s">
        <v>15</v>
      </c>
      <c r="C117" s="25" t="s">
        <v>154</v>
      </c>
      <c r="D117" s="98">
        <v>1000000</v>
      </c>
      <c r="E117" s="98">
        <v>1000000</v>
      </c>
      <c r="F117" s="7"/>
    </row>
    <row r="118" spans="1:15" s="1" customFormat="1" ht="20.25" x14ac:dyDescent="0.3">
      <c r="A118" s="3"/>
      <c r="B118" s="132" t="s">
        <v>16</v>
      </c>
      <c r="C118" s="25" t="s">
        <v>30</v>
      </c>
      <c r="D118" s="62">
        <f>D116-D117</f>
        <v>-200000</v>
      </c>
      <c r="E118" s="62">
        <f>E116-E117</f>
        <v>-200000</v>
      </c>
      <c r="F118" s="7"/>
      <c r="G118" s="3"/>
      <c r="H118" s="3"/>
      <c r="I118" s="3"/>
      <c r="J118" s="3"/>
      <c r="K118" s="3"/>
      <c r="L118" s="3"/>
      <c r="M118" s="3"/>
    </row>
    <row r="119" spans="1:15" x14ac:dyDescent="0.25">
      <c r="B119" s="132" t="s">
        <v>28</v>
      </c>
      <c r="C119" s="25" t="s">
        <v>240</v>
      </c>
      <c r="D119" s="62">
        <f>-D118*0.3</f>
        <v>60000</v>
      </c>
      <c r="E119" s="62">
        <f>-E118*0.24</f>
        <v>48000</v>
      </c>
      <c r="F119" s="7"/>
    </row>
    <row r="120" spans="1:15" s="1" customFormat="1" ht="20.25" x14ac:dyDescent="0.3">
      <c r="A120" s="3"/>
      <c r="B120" s="133" t="s">
        <v>16</v>
      </c>
      <c r="C120" s="57" t="s">
        <v>158</v>
      </c>
      <c r="D120" s="33">
        <f>SUM(D118:D119)</f>
        <v>-140000</v>
      </c>
      <c r="E120" s="33">
        <f>SUM(E118:E119)</f>
        <v>-152000</v>
      </c>
      <c r="F120" s="7"/>
      <c r="G120" s="3"/>
      <c r="H120" s="3"/>
      <c r="I120" s="3"/>
      <c r="J120" s="3"/>
      <c r="K120" s="3"/>
      <c r="L120" s="3"/>
      <c r="M120" s="3"/>
      <c r="N120" s="3"/>
      <c r="O120" s="3"/>
    </row>
    <row r="122" spans="1:15" x14ac:dyDescent="0.25">
      <c r="B122" s="118" t="s">
        <v>159</v>
      </c>
    </row>
    <row r="123" spans="1:15" x14ac:dyDescent="0.25">
      <c r="B123" s="118" t="s">
        <v>160</v>
      </c>
    </row>
    <row r="125" spans="1:15" x14ac:dyDescent="0.25">
      <c r="E125" s="5"/>
    </row>
    <row r="126" spans="1:15" x14ac:dyDescent="0.25">
      <c r="A126" s="3" t="s">
        <v>25</v>
      </c>
      <c r="C126" s="3" t="s">
        <v>164</v>
      </c>
      <c r="E126" s="5">
        <f>E110</f>
        <v>-160000</v>
      </c>
    </row>
    <row r="127" spans="1:15" x14ac:dyDescent="0.25">
      <c r="B127" s="6" t="s">
        <v>28</v>
      </c>
      <c r="C127" s="3" t="s">
        <v>48</v>
      </c>
      <c r="E127" s="99">
        <v>400000</v>
      </c>
    </row>
    <row r="128" spans="1:15" s="1" customFormat="1" ht="20.25" x14ac:dyDescent="0.3">
      <c r="A128" s="3"/>
      <c r="B128" s="6" t="s">
        <v>16</v>
      </c>
      <c r="C128" s="3" t="s">
        <v>30</v>
      </c>
      <c r="D128" s="3"/>
      <c r="E128" s="5">
        <f>SUM(E126:E127)</f>
        <v>240000</v>
      </c>
      <c r="F128" s="3"/>
      <c r="G128" s="3"/>
      <c r="H128" s="3"/>
      <c r="I128" s="3"/>
      <c r="J128" s="3"/>
      <c r="K128" s="3"/>
      <c r="L128" s="3"/>
      <c r="M128" s="3"/>
    </row>
    <row r="129" spans="1:15" x14ac:dyDescent="0.25">
      <c r="B129" s="4" t="s">
        <v>15</v>
      </c>
      <c r="C129" s="3" t="s">
        <v>150</v>
      </c>
      <c r="E129" s="5">
        <f>E128*0.2</f>
        <v>48000</v>
      </c>
    </row>
    <row r="130" spans="1:15" s="1" customFormat="1" ht="20.25" x14ac:dyDescent="0.3">
      <c r="A130" s="3"/>
      <c r="B130" s="6" t="s">
        <v>16</v>
      </c>
      <c r="C130" s="3" t="s">
        <v>163</v>
      </c>
      <c r="D130" s="3"/>
      <c r="E130" s="43">
        <f>E128-E129</f>
        <v>192000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</row>
  </sheetData>
  <mergeCells count="1">
    <mergeCell ref="E3:I3"/>
  </mergeCells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4"/>
  <sheetViews>
    <sheetView showGridLines="0" tabSelected="1" topLeftCell="A9" workbookViewId="0">
      <selection activeCell="N29" sqref="N29"/>
    </sheetView>
  </sheetViews>
  <sheetFormatPr baseColWidth="10" defaultRowHeight="15.75" x14ac:dyDescent="0.25"/>
  <cols>
    <col min="1" max="1" width="4.140625" style="3" customWidth="1"/>
    <col min="2" max="2" width="3.28515625" style="3" customWidth="1"/>
    <col min="3" max="3" width="11.42578125" style="3"/>
    <col min="4" max="4" width="12" style="3" customWidth="1"/>
    <col min="5" max="6" width="11.42578125" style="5"/>
    <col min="7" max="7" width="11.42578125" style="5" customWidth="1"/>
    <col min="8" max="9" width="11.42578125" style="5"/>
    <col min="10" max="16384" width="11.42578125" style="3"/>
  </cols>
  <sheetData>
    <row r="1" spans="1:17" x14ac:dyDescent="0.25">
      <c r="A1" s="2" t="s">
        <v>165</v>
      </c>
    </row>
    <row r="2" spans="1:17" x14ac:dyDescent="0.25">
      <c r="A2" s="2"/>
    </row>
    <row r="3" spans="1:17" x14ac:dyDescent="0.25">
      <c r="A3" s="3" t="s">
        <v>11</v>
      </c>
      <c r="B3" s="4"/>
      <c r="C3" s="3" t="s">
        <v>166</v>
      </c>
      <c r="F3" s="5">
        <v>2000000</v>
      </c>
      <c r="G3" s="160" t="s">
        <v>255</v>
      </c>
    </row>
    <row r="4" spans="1:17" x14ac:dyDescent="0.25">
      <c r="B4" s="6" t="s">
        <v>28</v>
      </c>
      <c r="C4" s="3" t="s">
        <v>32</v>
      </c>
      <c r="F4" s="5">
        <v>900000</v>
      </c>
    </row>
    <row r="5" spans="1:17" x14ac:dyDescent="0.25">
      <c r="B5" s="4" t="s">
        <v>15</v>
      </c>
      <c r="C5" s="3" t="s">
        <v>167</v>
      </c>
      <c r="F5" s="99">
        <v>4000000</v>
      </c>
    </row>
    <row r="6" spans="1:17" s="1" customFormat="1" ht="20.25" x14ac:dyDescent="0.3">
      <c r="A6" s="3"/>
      <c r="B6" s="6" t="s">
        <v>16</v>
      </c>
      <c r="C6" s="3" t="s">
        <v>168</v>
      </c>
      <c r="D6" s="3"/>
      <c r="E6" s="5"/>
      <c r="F6" s="5">
        <f>F3+F4-F5</f>
        <v>-1100000</v>
      </c>
      <c r="G6" s="5"/>
      <c r="H6" s="5"/>
      <c r="I6" s="5"/>
      <c r="J6" s="3"/>
      <c r="K6" s="3"/>
      <c r="L6" s="3"/>
      <c r="M6" s="3"/>
      <c r="N6" s="3"/>
      <c r="O6" s="3"/>
      <c r="P6" s="3"/>
      <c r="Q6" s="3"/>
    </row>
    <row r="7" spans="1:17" x14ac:dyDescent="0.25">
      <c r="B7" s="6" t="s">
        <v>28</v>
      </c>
      <c r="C7" s="3" t="s">
        <v>169</v>
      </c>
      <c r="F7" s="5">
        <f>-F6*0.24</f>
        <v>264000</v>
      </c>
    </row>
    <row r="8" spans="1:17" s="1" customFormat="1" ht="20.25" x14ac:dyDescent="0.3">
      <c r="A8" s="3"/>
      <c r="B8" s="6" t="s">
        <v>16</v>
      </c>
      <c r="C8" s="3" t="s">
        <v>170</v>
      </c>
      <c r="D8" s="3"/>
      <c r="E8" s="5"/>
      <c r="F8" s="43">
        <f>SUM(F6:F7)</f>
        <v>-836000</v>
      </c>
      <c r="G8" s="5"/>
      <c r="H8" s="5"/>
      <c r="I8" s="5"/>
      <c r="J8" s="3"/>
      <c r="K8" s="3"/>
      <c r="L8" s="3"/>
      <c r="M8" s="3"/>
      <c r="N8" s="3"/>
      <c r="O8" s="3"/>
      <c r="P8" s="3"/>
    </row>
    <row r="10" spans="1:17" x14ac:dyDescent="0.25">
      <c r="B10" s="3" t="s">
        <v>171</v>
      </c>
    </row>
    <row r="11" spans="1:17" x14ac:dyDescent="0.25">
      <c r="B11" s="3" t="s">
        <v>172</v>
      </c>
    </row>
    <row r="12" spans="1:17" x14ac:dyDescent="0.25">
      <c r="B12" s="3" t="s">
        <v>173</v>
      </c>
    </row>
    <row r="13" spans="1:17" x14ac:dyDescent="0.25">
      <c r="B13" s="3" t="s">
        <v>174</v>
      </c>
    </row>
    <row r="15" spans="1:17" x14ac:dyDescent="0.25">
      <c r="A15" s="3" t="s">
        <v>24</v>
      </c>
      <c r="B15" s="64"/>
      <c r="C15" s="64"/>
      <c r="D15" s="63"/>
      <c r="E15" s="101"/>
      <c r="F15" s="100">
        <v>1</v>
      </c>
      <c r="G15" s="12">
        <v>2</v>
      </c>
      <c r="H15" s="117">
        <v>3</v>
      </c>
    </row>
    <row r="16" spans="1:17" x14ac:dyDescent="0.25">
      <c r="B16" s="59"/>
      <c r="C16" s="104" t="s">
        <v>175</v>
      </c>
      <c r="D16" s="25"/>
      <c r="E16" s="120"/>
      <c r="F16" s="7">
        <f>$F$8</f>
        <v>-836000</v>
      </c>
      <c r="G16" s="62">
        <f t="shared" ref="G16:H16" si="0">$F$8</f>
        <v>-836000</v>
      </c>
      <c r="H16" s="120">
        <f t="shared" si="0"/>
        <v>-836000</v>
      </c>
    </row>
    <row r="17" spans="1:16" x14ac:dyDescent="0.25">
      <c r="B17" s="96" t="s">
        <v>28</v>
      </c>
      <c r="C17" s="104" t="s">
        <v>94</v>
      </c>
      <c r="D17" s="25"/>
      <c r="E17" s="120"/>
      <c r="F17" s="99">
        <v>525000</v>
      </c>
      <c r="G17" s="98">
        <v>825000</v>
      </c>
      <c r="H17" s="58">
        <v>1025000</v>
      </c>
    </row>
    <row r="18" spans="1:16" s="1" customFormat="1" ht="20.25" x14ac:dyDescent="0.3">
      <c r="A18" s="3"/>
      <c r="B18" s="96" t="s">
        <v>16</v>
      </c>
      <c r="C18" s="104" t="s">
        <v>30</v>
      </c>
      <c r="D18" s="25"/>
      <c r="E18" s="120"/>
      <c r="F18" s="7">
        <f>SUM(F16:F17)</f>
        <v>-311000</v>
      </c>
      <c r="G18" s="62">
        <f t="shared" ref="G18:H18" si="1">SUM(G16:G17)</f>
        <v>-11000</v>
      </c>
      <c r="H18" s="120">
        <f t="shared" si="1"/>
        <v>189000</v>
      </c>
      <c r="I18" s="5"/>
      <c r="J18" s="3"/>
      <c r="K18" s="3"/>
      <c r="L18" s="3"/>
      <c r="M18" s="3"/>
      <c r="N18" s="3"/>
      <c r="O18" s="3"/>
      <c r="P18" s="3"/>
    </row>
    <row r="19" spans="1:16" x14ac:dyDescent="0.25">
      <c r="B19" s="96" t="s">
        <v>28</v>
      </c>
      <c r="C19" s="104" t="s">
        <v>169</v>
      </c>
      <c r="D19" s="25"/>
      <c r="E19" s="120"/>
      <c r="F19" s="7">
        <f>-F18*0.24</f>
        <v>74640</v>
      </c>
      <c r="G19" s="62">
        <v>11000</v>
      </c>
      <c r="H19" s="120"/>
    </row>
    <row r="20" spans="1:16" x14ac:dyDescent="0.25">
      <c r="B20" s="59" t="s">
        <v>15</v>
      </c>
      <c r="C20" s="104" t="s">
        <v>176</v>
      </c>
      <c r="D20" s="25"/>
      <c r="E20" s="120"/>
      <c r="F20" s="7"/>
      <c r="G20" s="62"/>
      <c r="H20" s="120">
        <f>H18*0.24</f>
        <v>45360</v>
      </c>
    </row>
    <row r="21" spans="1:16" s="1" customFormat="1" ht="20.25" x14ac:dyDescent="0.3">
      <c r="A21" s="3"/>
      <c r="B21" s="97" t="s">
        <v>16</v>
      </c>
      <c r="C21" s="11" t="s">
        <v>177</v>
      </c>
      <c r="D21" s="57"/>
      <c r="E21" s="58"/>
      <c r="F21" s="43">
        <f>F18+F19</f>
        <v>-236360</v>
      </c>
      <c r="G21" s="33">
        <f>G18+G19</f>
        <v>0</v>
      </c>
      <c r="H21" s="101">
        <f>H18-H20</f>
        <v>143640</v>
      </c>
      <c r="I21" s="5"/>
      <c r="J21" s="3"/>
      <c r="K21" s="3"/>
      <c r="L21" s="3"/>
      <c r="M21" s="3"/>
    </row>
    <row r="23" spans="1:16" x14ac:dyDescent="0.25">
      <c r="B23" s="2" t="s">
        <v>178</v>
      </c>
    </row>
    <row r="24" spans="1:16" x14ac:dyDescent="0.25">
      <c r="B24" s="3" t="s">
        <v>179</v>
      </c>
    </row>
    <row r="25" spans="1:16" x14ac:dyDescent="0.25">
      <c r="B25" s="3" t="s">
        <v>180</v>
      </c>
    </row>
    <row r="28" spans="1:16" x14ac:dyDescent="0.25">
      <c r="A28" s="2" t="s">
        <v>181</v>
      </c>
    </row>
    <row r="30" spans="1:16" x14ac:dyDescent="0.25">
      <c r="A30" s="3" t="s">
        <v>11</v>
      </c>
      <c r="B30" s="4"/>
      <c r="C30" s="3" t="s">
        <v>182</v>
      </c>
      <c r="G30" s="5">
        <v>2830000</v>
      </c>
    </row>
    <row r="31" spans="1:16" x14ac:dyDescent="0.25">
      <c r="B31" s="4" t="s">
        <v>15</v>
      </c>
      <c r="C31" s="3" t="s">
        <v>167</v>
      </c>
      <c r="G31" s="99">
        <v>3280000</v>
      </c>
    </row>
    <row r="32" spans="1:16" s="1" customFormat="1" ht="20.25" x14ac:dyDescent="0.3">
      <c r="A32" s="3"/>
      <c r="B32" s="6" t="s">
        <v>16</v>
      </c>
      <c r="C32" s="3" t="s">
        <v>183</v>
      </c>
      <c r="D32" s="3"/>
      <c r="E32" s="5"/>
      <c r="F32" s="5"/>
      <c r="G32" s="43">
        <f>G30-G31</f>
        <v>-450000</v>
      </c>
      <c r="H32" s="5"/>
      <c r="I32" s="5"/>
      <c r="J32" s="3"/>
      <c r="K32" s="3"/>
      <c r="L32" s="3"/>
      <c r="M32" s="3"/>
      <c r="N32" s="3"/>
      <c r="O32" s="3"/>
      <c r="P32" s="3"/>
    </row>
    <row r="34" spans="1:2" x14ac:dyDescent="0.25">
      <c r="B34" s="3" t="s">
        <v>184</v>
      </c>
    </row>
    <row r="35" spans="1:2" x14ac:dyDescent="0.25">
      <c r="B35" s="3" t="s">
        <v>185</v>
      </c>
    </row>
    <row r="36" spans="1:2" x14ac:dyDescent="0.25">
      <c r="B36" s="3" t="s">
        <v>186</v>
      </c>
    </row>
    <row r="37" spans="1:2" x14ac:dyDescent="0.25">
      <c r="B37" s="3" t="s">
        <v>187</v>
      </c>
    </row>
    <row r="39" spans="1:2" x14ac:dyDescent="0.25">
      <c r="B39" s="3" t="s">
        <v>188</v>
      </c>
    </row>
    <row r="40" spans="1:2" x14ac:dyDescent="0.25">
      <c r="B40" s="3" t="s">
        <v>189</v>
      </c>
    </row>
    <row r="41" spans="1:2" x14ac:dyDescent="0.25">
      <c r="B41" s="3" t="s">
        <v>190</v>
      </c>
    </row>
    <row r="43" spans="1:2" x14ac:dyDescent="0.25">
      <c r="B43" s="3" t="s">
        <v>191</v>
      </c>
    </row>
    <row r="45" spans="1:2" x14ac:dyDescent="0.25">
      <c r="B45" s="3" t="s">
        <v>241</v>
      </c>
    </row>
    <row r="47" spans="1:2" x14ac:dyDescent="0.25">
      <c r="A47" s="2" t="s">
        <v>95</v>
      </c>
    </row>
    <row r="49" spans="1:17" x14ac:dyDescent="0.25">
      <c r="A49" s="3" t="s">
        <v>11</v>
      </c>
      <c r="B49" s="4"/>
      <c r="C49" s="3" t="s">
        <v>192</v>
      </c>
      <c r="E49" s="5">
        <v>450000</v>
      </c>
      <c r="F49" s="142" t="s">
        <v>256</v>
      </c>
    </row>
    <row r="50" spans="1:17" x14ac:dyDescent="0.25">
      <c r="B50" s="4" t="s">
        <v>15</v>
      </c>
      <c r="C50" s="3" t="s">
        <v>29</v>
      </c>
      <c r="E50" s="99">
        <v>260000</v>
      </c>
    </row>
    <row r="51" spans="1:17" s="1" customFormat="1" ht="20.25" x14ac:dyDescent="0.3">
      <c r="A51" s="3"/>
      <c r="B51" s="6" t="s">
        <v>16</v>
      </c>
      <c r="C51" s="3" t="s">
        <v>30</v>
      </c>
      <c r="D51" s="3"/>
      <c r="E51" s="5">
        <f>E49-E50</f>
        <v>190000</v>
      </c>
      <c r="F51" s="5"/>
      <c r="G51" s="5"/>
      <c r="H51" s="5"/>
      <c r="I51" s="5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B52" s="4" t="s">
        <v>15</v>
      </c>
      <c r="C52" s="3" t="s">
        <v>176</v>
      </c>
      <c r="E52" s="5">
        <f>E51*0.24</f>
        <v>45600</v>
      </c>
    </row>
    <row r="53" spans="1:17" s="1" customFormat="1" ht="20.25" x14ac:dyDescent="0.3">
      <c r="A53" s="3"/>
      <c r="B53" s="6" t="s">
        <v>16</v>
      </c>
      <c r="C53" s="3" t="s">
        <v>193</v>
      </c>
      <c r="D53" s="3"/>
      <c r="E53" s="43">
        <f>E51-E52</f>
        <v>144400</v>
      </c>
      <c r="F53" s="5"/>
      <c r="G53" s="5"/>
      <c r="H53" s="5"/>
      <c r="I53" s="5"/>
      <c r="J53" s="3"/>
      <c r="K53" s="3"/>
      <c r="L53" s="3"/>
      <c r="M53" s="3"/>
      <c r="N53" s="3"/>
      <c r="O53" s="3"/>
      <c r="P53" s="3"/>
    </row>
    <row r="55" spans="1:17" x14ac:dyDescent="0.25">
      <c r="A55" s="3" t="s">
        <v>24</v>
      </c>
      <c r="C55" s="3" t="s">
        <v>195</v>
      </c>
    </row>
    <row r="57" spans="1:17" x14ac:dyDescent="0.25">
      <c r="B57" s="4"/>
      <c r="C57" s="3" t="s">
        <v>194</v>
      </c>
      <c r="F57" s="5">
        <v>490000</v>
      </c>
    </row>
    <row r="58" spans="1:17" x14ac:dyDescent="0.25">
      <c r="B58" s="4" t="s">
        <v>15</v>
      </c>
      <c r="C58" s="3" t="s">
        <v>196</v>
      </c>
      <c r="F58" s="99">
        <f>98000*2</f>
        <v>196000</v>
      </c>
      <c r="G58" s="142" t="s">
        <v>257</v>
      </c>
    </row>
    <row r="59" spans="1:17" s="1" customFormat="1" ht="20.25" x14ac:dyDescent="0.3">
      <c r="A59" s="3"/>
      <c r="B59" s="6" t="s">
        <v>16</v>
      </c>
      <c r="C59" s="3" t="s">
        <v>201</v>
      </c>
      <c r="D59" s="3"/>
      <c r="E59" s="5"/>
      <c r="F59" s="5">
        <f>F57-F58</f>
        <v>294000</v>
      </c>
      <c r="G59" s="5"/>
      <c r="H59" s="5"/>
      <c r="I59" s="5"/>
      <c r="J59" s="3"/>
      <c r="K59" s="3"/>
      <c r="L59" s="3"/>
      <c r="M59" s="3"/>
      <c r="N59" s="3"/>
      <c r="O59" s="3"/>
      <c r="P59" s="3"/>
    </row>
    <row r="60" spans="1:17" x14ac:dyDescent="0.25">
      <c r="B60" s="4" t="s">
        <v>15</v>
      </c>
      <c r="C60" s="3" t="s">
        <v>197</v>
      </c>
      <c r="F60" s="5">
        <f>98000/2</f>
        <v>49000</v>
      </c>
    </row>
    <row r="61" spans="1:17" s="1" customFormat="1" ht="20.25" x14ac:dyDescent="0.3">
      <c r="A61" s="3"/>
      <c r="B61" s="6" t="s">
        <v>16</v>
      </c>
      <c r="C61" s="3" t="s">
        <v>198</v>
      </c>
      <c r="D61" s="3"/>
      <c r="E61" s="5"/>
      <c r="F61" s="43">
        <f>F59-F60</f>
        <v>245000</v>
      </c>
      <c r="G61" s="5"/>
      <c r="H61" s="5"/>
      <c r="I61" s="5"/>
      <c r="J61" s="3"/>
      <c r="K61" s="3"/>
      <c r="L61" s="3"/>
      <c r="M61" s="3"/>
      <c r="N61" s="3"/>
      <c r="O61" s="3"/>
      <c r="P61" s="3"/>
    </row>
    <row r="62" spans="1:17" x14ac:dyDescent="0.25">
      <c r="B62" s="4"/>
    </row>
    <row r="63" spans="1:17" x14ac:dyDescent="0.25">
      <c r="B63" s="4"/>
      <c r="C63" s="3" t="s">
        <v>29</v>
      </c>
      <c r="E63" s="5">
        <v>260000</v>
      </c>
    </row>
    <row r="64" spans="1:17" x14ac:dyDescent="0.25">
      <c r="B64" s="4" t="s">
        <v>15</v>
      </c>
      <c r="C64" s="3" t="s">
        <v>199</v>
      </c>
      <c r="E64" s="5">
        <f>F61</f>
        <v>245000</v>
      </c>
    </row>
    <row r="65" spans="1:18" s="1" customFormat="1" ht="20.25" x14ac:dyDescent="0.3">
      <c r="A65" s="3"/>
      <c r="B65" s="6" t="s">
        <v>16</v>
      </c>
      <c r="C65" s="3" t="s">
        <v>200</v>
      </c>
      <c r="D65" s="3"/>
      <c r="E65" s="43">
        <f>E63-E64</f>
        <v>15000</v>
      </c>
      <c r="F65" s="5"/>
      <c r="G65" s="5"/>
      <c r="H65" s="5"/>
      <c r="I65" s="5"/>
      <c r="J65" s="3"/>
      <c r="K65" s="3"/>
      <c r="L65" s="3"/>
      <c r="M65" s="3"/>
      <c r="N65" s="3"/>
    </row>
    <row r="67" spans="1:18" x14ac:dyDescent="0.25">
      <c r="A67" s="3" t="s">
        <v>25</v>
      </c>
      <c r="B67" s="3" t="s">
        <v>202</v>
      </c>
    </row>
    <row r="69" spans="1:18" x14ac:dyDescent="0.25">
      <c r="B69" s="3" t="s">
        <v>258</v>
      </c>
    </row>
    <row r="70" spans="1:18" x14ac:dyDescent="0.25">
      <c r="E70" s="3"/>
      <c r="F70" s="3"/>
      <c r="G70" s="3"/>
    </row>
    <row r="71" spans="1:18" x14ac:dyDescent="0.25">
      <c r="B71" s="3" t="s">
        <v>205</v>
      </c>
      <c r="E71" s="5">
        <f>F59</f>
        <v>294000</v>
      </c>
    </row>
    <row r="72" spans="1:18" x14ac:dyDescent="0.25">
      <c r="B72" s="3" t="s">
        <v>206</v>
      </c>
      <c r="E72" s="5">
        <v>200000</v>
      </c>
    </row>
    <row r="73" spans="1:18" s="1" customFormat="1" ht="20.25" x14ac:dyDescent="0.3">
      <c r="A73" s="3"/>
      <c r="B73" s="3" t="s">
        <v>207</v>
      </c>
      <c r="C73" s="3"/>
      <c r="D73" s="3"/>
      <c r="E73" s="43">
        <f>SUM(E71:E72)</f>
        <v>494000</v>
      </c>
      <c r="F73" s="5"/>
      <c r="G73" s="5"/>
      <c r="H73" s="3"/>
      <c r="I73" s="5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5">
      <c r="D74" s="5"/>
      <c r="H74" s="3"/>
    </row>
    <row r="75" spans="1:18" x14ac:dyDescent="0.25">
      <c r="B75" s="3" t="s">
        <v>208</v>
      </c>
      <c r="D75" s="5"/>
      <c r="H75" s="3"/>
    </row>
    <row r="76" spans="1:18" x14ac:dyDescent="0.25">
      <c r="B76" s="3" t="s">
        <v>209</v>
      </c>
      <c r="D76" s="5"/>
      <c r="H76" s="3"/>
    </row>
    <row r="78" spans="1:18" x14ac:dyDescent="0.25">
      <c r="G78" s="99"/>
    </row>
    <row r="79" spans="1:18" x14ac:dyDescent="0.25">
      <c r="B79" s="141"/>
      <c r="C79" s="27" t="s">
        <v>18</v>
      </c>
      <c r="D79" s="27"/>
      <c r="E79" s="140" t="s">
        <v>203</v>
      </c>
      <c r="F79" s="145" t="s">
        <v>204</v>
      </c>
      <c r="G79" s="146" t="s">
        <v>21</v>
      </c>
    </row>
    <row r="80" spans="1:18" x14ac:dyDescent="0.25">
      <c r="B80" s="35"/>
      <c r="C80" s="32" t="s">
        <v>13</v>
      </c>
      <c r="D80" s="32"/>
      <c r="E80" s="33">
        <f>E73</f>
        <v>494000</v>
      </c>
      <c r="F80" s="33">
        <v>160000</v>
      </c>
      <c r="G80" s="39"/>
    </row>
    <row r="81" spans="1:17" x14ac:dyDescent="0.25">
      <c r="B81" s="35" t="s">
        <v>15</v>
      </c>
      <c r="C81" s="32" t="s">
        <v>14</v>
      </c>
      <c r="D81" s="32"/>
      <c r="E81" s="33">
        <v>450000</v>
      </c>
      <c r="F81" s="33">
        <f>E53</f>
        <v>144400</v>
      </c>
      <c r="G81" s="143"/>
    </row>
    <row r="82" spans="1:17" s="1" customFormat="1" ht="20.25" x14ac:dyDescent="0.3">
      <c r="A82" s="3"/>
      <c r="B82" s="35" t="s">
        <v>16</v>
      </c>
      <c r="C82" s="32" t="s">
        <v>17</v>
      </c>
      <c r="D82" s="34"/>
      <c r="E82" s="33">
        <f>E80-E81</f>
        <v>44000</v>
      </c>
      <c r="F82" s="33">
        <f>F80-F81</f>
        <v>15600</v>
      </c>
      <c r="G82" s="33">
        <f>E82-F82</f>
        <v>28400</v>
      </c>
      <c r="H82" s="5"/>
      <c r="I82" s="5"/>
      <c r="J82" s="3"/>
      <c r="K82" s="3"/>
      <c r="L82" s="3"/>
      <c r="M82" s="3"/>
      <c r="N82" s="3"/>
      <c r="O82" s="3"/>
      <c r="P82" s="3"/>
      <c r="Q82" s="3"/>
    </row>
    <row r="83" spans="1:17" s="1" customFormat="1" ht="20.25" x14ac:dyDescent="0.3">
      <c r="A83" s="3"/>
      <c r="B83" s="40"/>
      <c r="C83" s="41" t="s">
        <v>210</v>
      </c>
      <c r="D83" s="41"/>
      <c r="E83" s="33">
        <f>E82*0.22</f>
        <v>9680</v>
      </c>
      <c r="F83" s="33">
        <f>F82*0.22</f>
        <v>3432</v>
      </c>
      <c r="G83" s="144"/>
      <c r="H83" s="5"/>
      <c r="I83" s="5"/>
      <c r="J83" s="3"/>
      <c r="K83" s="3"/>
      <c r="L83" s="3"/>
      <c r="M83" s="3"/>
      <c r="N83" s="3"/>
      <c r="O83" s="3"/>
      <c r="P83" s="3"/>
    </row>
    <row r="84" spans="1:17" x14ac:dyDescent="0.25">
      <c r="E84" s="3"/>
      <c r="F84" s="3"/>
    </row>
    <row r="86" spans="1:17" x14ac:dyDescent="0.25">
      <c r="A86" s="3" t="s">
        <v>27</v>
      </c>
      <c r="B86" s="2" t="s">
        <v>211</v>
      </c>
    </row>
    <row r="87" spans="1:17" x14ac:dyDescent="0.25">
      <c r="C87" s="3" t="s">
        <v>212</v>
      </c>
      <c r="F87" s="5">
        <v>-49000</v>
      </c>
      <c r="G87" s="142" t="s">
        <v>224</v>
      </c>
    </row>
    <row r="88" spans="1:17" x14ac:dyDescent="0.25">
      <c r="C88" s="3" t="s">
        <v>213</v>
      </c>
      <c r="F88" s="5">
        <v>-40000</v>
      </c>
      <c r="G88" s="142" t="s">
        <v>225</v>
      </c>
    </row>
    <row r="89" spans="1:17" x14ac:dyDescent="0.25">
      <c r="C89" s="3" t="s">
        <v>214</v>
      </c>
      <c r="F89" s="5">
        <v>15000</v>
      </c>
      <c r="G89" s="142" t="s">
        <v>226</v>
      </c>
    </row>
    <row r="90" spans="1:17" s="1" customFormat="1" ht="20.25" x14ac:dyDescent="0.3">
      <c r="A90" s="3"/>
      <c r="B90" s="3"/>
      <c r="C90" s="3" t="s">
        <v>215</v>
      </c>
      <c r="D90" s="3"/>
      <c r="E90" s="5"/>
      <c r="F90" s="43">
        <f>SUM(F87:F89)</f>
        <v>-74000</v>
      </c>
      <c r="G90" s="142" t="s">
        <v>227</v>
      </c>
      <c r="H90" s="5"/>
      <c r="I90" s="5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G91" s="142"/>
    </row>
    <row r="92" spans="1:17" x14ac:dyDescent="0.25">
      <c r="B92" s="2" t="s">
        <v>216</v>
      </c>
      <c r="G92" s="142"/>
    </row>
    <row r="93" spans="1:17" x14ac:dyDescent="0.25">
      <c r="C93" s="3" t="s">
        <v>44</v>
      </c>
      <c r="F93" s="5">
        <f>-E52</f>
        <v>-45600</v>
      </c>
      <c r="G93" s="142"/>
    </row>
    <row r="96" spans="1:17" x14ac:dyDescent="0.25">
      <c r="B96" s="3" t="s">
        <v>217</v>
      </c>
    </row>
    <row r="97" spans="1:17" x14ac:dyDescent="0.25">
      <c r="B97" s="3" t="s">
        <v>218</v>
      </c>
    </row>
    <row r="99" spans="1:17" x14ac:dyDescent="0.25">
      <c r="B99" s="3" t="s">
        <v>219</v>
      </c>
    </row>
    <row r="100" spans="1:17" x14ac:dyDescent="0.25">
      <c r="B100" s="3" t="s">
        <v>220</v>
      </c>
    </row>
    <row r="101" spans="1:17" x14ac:dyDescent="0.25">
      <c r="B101" s="3" t="s">
        <v>221</v>
      </c>
    </row>
    <row r="102" spans="1:17" x14ac:dyDescent="0.25">
      <c r="B102" s="3" t="s">
        <v>222</v>
      </c>
    </row>
    <row r="103" spans="1:17" x14ac:dyDescent="0.25">
      <c r="B103" s="3" t="s">
        <v>223</v>
      </c>
    </row>
    <row r="106" spans="1:17" x14ac:dyDescent="0.25">
      <c r="A106" s="2" t="s">
        <v>228</v>
      </c>
    </row>
    <row r="108" spans="1:17" x14ac:dyDescent="0.25">
      <c r="A108" s="3" t="s">
        <v>11</v>
      </c>
      <c r="B108" s="4"/>
      <c r="C108" s="3" t="s">
        <v>152</v>
      </c>
      <c r="F108" s="5">
        <v>4000000</v>
      </c>
    </row>
    <row r="109" spans="1:17" x14ac:dyDescent="0.25">
      <c r="B109" s="6" t="s">
        <v>28</v>
      </c>
      <c r="C109" s="3" t="s">
        <v>32</v>
      </c>
      <c r="F109" s="5">
        <v>1800000</v>
      </c>
    </row>
    <row r="110" spans="1:17" x14ac:dyDescent="0.25">
      <c r="B110" s="4" t="s">
        <v>15</v>
      </c>
      <c r="C110" s="3" t="s">
        <v>154</v>
      </c>
      <c r="F110" s="99">
        <v>1000000</v>
      </c>
    </row>
    <row r="111" spans="1:17" s="1" customFormat="1" ht="20.25" x14ac:dyDescent="0.3">
      <c r="A111" s="3"/>
      <c r="B111" s="6" t="s">
        <v>16</v>
      </c>
      <c r="C111" s="3" t="s">
        <v>242</v>
      </c>
      <c r="D111" s="3"/>
      <c r="E111" s="5"/>
      <c r="F111" s="5">
        <f>F108+F109-F110</f>
        <v>4800000</v>
      </c>
      <c r="G111" s="5"/>
      <c r="H111" s="5"/>
      <c r="I111" s="5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B112" s="4" t="s">
        <v>15</v>
      </c>
      <c r="C112" s="3" t="s">
        <v>33</v>
      </c>
      <c r="F112" s="99">
        <f>F111*0.3</f>
        <v>1440000</v>
      </c>
    </row>
    <row r="113" spans="1:17" s="1" customFormat="1" ht="20.25" x14ac:dyDescent="0.3">
      <c r="A113" s="3"/>
      <c r="B113" s="6" t="s">
        <v>16</v>
      </c>
      <c r="C113" s="3" t="s">
        <v>151</v>
      </c>
      <c r="D113" s="3"/>
      <c r="E113" s="5"/>
      <c r="F113" s="43">
        <f>F111-F112</f>
        <v>3360000</v>
      </c>
      <c r="G113" s="5"/>
      <c r="H113" s="5"/>
      <c r="I113" s="5"/>
      <c r="J113" s="3"/>
      <c r="K113" s="3"/>
      <c r="L113" s="3"/>
      <c r="M113" s="3"/>
      <c r="N113" s="3"/>
      <c r="O113" s="3"/>
      <c r="P113" s="3"/>
      <c r="Q113" s="3"/>
    </row>
    <row r="115" spans="1:17" x14ac:dyDescent="0.25">
      <c r="A115" s="3" t="s">
        <v>24</v>
      </c>
      <c r="C115" s="3" t="s">
        <v>229</v>
      </c>
      <c r="F115" s="5">
        <v>5200000</v>
      </c>
      <c r="G115" s="152" t="s">
        <v>243</v>
      </c>
    </row>
    <row r="116" spans="1:17" x14ac:dyDescent="0.25">
      <c r="B116" s="6" t="s">
        <v>28</v>
      </c>
      <c r="C116" s="3" t="s">
        <v>32</v>
      </c>
      <c r="F116" s="5">
        <v>1800000</v>
      </c>
    </row>
    <row r="117" spans="1:17" x14ac:dyDescent="0.25">
      <c r="B117" s="4" t="s">
        <v>15</v>
      </c>
      <c r="C117" s="3" t="s">
        <v>35</v>
      </c>
      <c r="F117" s="5">
        <v>1400000</v>
      </c>
    </row>
    <row r="118" spans="1:17" x14ac:dyDescent="0.25">
      <c r="B118" s="4" t="s">
        <v>15</v>
      </c>
      <c r="C118" s="3" t="s">
        <v>34</v>
      </c>
      <c r="F118" s="5">
        <v>800000</v>
      </c>
    </row>
    <row r="119" spans="1:17" s="1" customFormat="1" ht="20.25" x14ac:dyDescent="0.3">
      <c r="A119" s="3"/>
      <c r="B119" s="6" t="s">
        <v>16</v>
      </c>
      <c r="C119" s="3" t="s">
        <v>230</v>
      </c>
      <c r="D119" s="3"/>
      <c r="E119" s="5"/>
      <c r="F119" s="43">
        <f>F115+F116-F117-F118</f>
        <v>4800000</v>
      </c>
      <c r="G119" s="5"/>
      <c r="H119" s="5"/>
      <c r="I119" s="5"/>
      <c r="J119" s="3"/>
      <c r="K119" s="3"/>
      <c r="L119" s="3"/>
      <c r="M119" s="3"/>
      <c r="N119" s="3"/>
      <c r="O119" s="3"/>
      <c r="P119" s="3"/>
    </row>
    <row r="121" spans="1:17" x14ac:dyDescent="0.25">
      <c r="A121" s="3" t="s">
        <v>25</v>
      </c>
      <c r="B121" s="3" t="s">
        <v>244</v>
      </c>
    </row>
    <row r="122" spans="1:17" x14ac:dyDescent="0.25">
      <c r="B122" s="141"/>
      <c r="C122" s="27" t="s">
        <v>18</v>
      </c>
      <c r="D122" s="27"/>
      <c r="E122" s="140" t="s">
        <v>19</v>
      </c>
      <c r="F122" s="145" t="s">
        <v>20</v>
      </c>
      <c r="G122" s="146" t="s">
        <v>21</v>
      </c>
    </row>
    <row r="123" spans="1:17" x14ac:dyDescent="0.25">
      <c r="B123" s="35"/>
      <c r="C123" s="32" t="s">
        <v>13</v>
      </c>
      <c r="D123" s="32"/>
      <c r="E123" s="33">
        <f>F115</f>
        <v>5200000</v>
      </c>
      <c r="F123" s="33">
        <f>F119</f>
        <v>4800000</v>
      </c>
      <c r="G123" s="39"/>
    </row>
    <row r="124" spans="1:17" x14ac:dyDescent="0.25">
      <c r="B124" s="35" t="s">
        <v>15</v>
      </c>
      <c r="C124" s="32" t="s">
        <v>14</v>
      </c>
      <c r="D124" s="32"/>
      <c r="E124" s="33">
        <f>F108</f>
        <v>4000000</v>
      </c>
      <c r="F124" s="33">
        <f>F113</f>
        <v>3360000</v>
      </c>
      <c r="G124" s="143"/>
    </row>
    <row r="125" spans="1:17" x14ac:dyDescent="0.25">
      <c r="B125" s="35" t="s">
        <v>16</v>
      </c>
      <c r="C125" s="32" t="s">
        <v>17</v>
      </c>
      <c r="D125" s="34"/>
      <c r="E125" s="33">
        <f>E123-E124</f>
        <v>1200000</v>
      </c>
      <c r="F125" s="33">
        <f>F123-F124</f>
        <v>1440000</v>
      </c>
      <c r="G125" s="33">
        <f>E125-F125</f>
        <v>-240000</v>
      </c>
    </row>
    <row r="126" spans="1:17" x14ac:dyDescent="0.25">
      <c r="B126" s="40"/>
      <c r="C126" s="41" t="s">
        <v>210</v>
      </c>
      <c r="D126" s="41"/>
      <c r="E126" s="33">
        <f>E125*0.22</f>
        <v>264000</v>
      </c>
      <c r="F126" s="33">
        <f>F125*0.22</f>
        <v>316800</v>
      </c>
      <c r="G126" s="144"/>
    </row>
    <row r="128" spans="1:17" x14ac:dyDescent="0.25">
      <c r="A128" s="3" t="s">
        <v>27</v>
      </c>
      <c r="C128" s="3" t="s">
        <v>231</v>
      </c>
      <c r="F128" s="5">
        <v>340000</v>
      </c>
    </row>
    <row r="129" spans="1:17" x14ac:dyDescent="0.25">
      <c r="C129" s="3" t="s">
        <v>23</v>
      </c>
      <c r="F129" s="5">
        <f>G125</f>
        <v>-240000</v>
      </c>
    </row>
    <row r="130" spans="1:17" s="1" customFormat="1" ht="20.25" x14ac:dyDescent="0.3">
      <c r="A130" s="3"/>
      <c r="B130" s="3"/>
      <c r="C130" s="3" t="s">
        <v>12</v>
      </c>
      <c r="D130" s="3"/>
      <c r="E130" s="5"/>
      <c r="F130" s="43">
        <f>SUM(F128:F129)</f>
        <v>100000</v>
      </c>
      <c r="G130" s="5"/>
      <c r="H130" s="5"/>
      <c r="I130" s="5"/>
      <c r="J130" s="3"/>
      <c r="K130" s="3"/>
      <c r="L130" s="3"/>
      <c r="M130" s="3"/>
      <c r="N130" s="3"/>
      <c r="O130" s="3"/>
      <c r="P130" s="3"/>
      <c r="Q130" s="3"/>
    </row>
    <row r="132" spans="1:17" x14ac:dyDescent="0.25">
      <c r="C132" s="3" t="s">
        <v>232</v>
      </c>
      <c r="G132" s="5">
        <f>F130*0.22</f>
        <v>22000</v>
      </c>
    </row>
    <row r="133" spans="1:17" x14ac:dyDescent="0.25">
      <c r="B133" s="6" t="s">
        <v>28</v>
      </c>
      <c r="C133" s="3" t="s">
        <v>245</v>
      </c>
      <c r="G133" s="5">
        <f>F126-E126</f>
        <v>52800</v>
      </c>
    </row>
    <row r="134" spans="1:17" s="1" customFormat="1" ht="20.25" x14ac:dyDescent="0.3">
      <c r="A134" s="3"/>
      <c r="B134" s="6" t="s">
        <v>16</v>
      </c>
      <c r="C134" s="3" t="s">
        <v>26</v>
      </c>
      <c r="D134" s="3"/>
      <c r="E134" s="5"/>
      <c r="F134" s="5"/>
      <c r="G134" s="43">
        <f>SUM(G132:G133)</f>
        <v>74800</v>
      </c>
      <c r="H134" s="5"/>
      <c r="I134" s="5"/>
      <c r="J134" s="3"/>
      <c r="K134" s="3"/>
      <c r="L134" s="3"/>
      <c r="M134" s="3"/>
      <c r="N134" s="3"/>
      <c r="O134" s="3"/>
      <c r="P134" s="3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 4.1</vt:lpstr>
      <vt:lpstr> 4.2 - 4.5</vt:lpstr>
      <vt:lpstr> 4.6 - 4.10</vt:lpstr>
      <vt:lpstr>4.11 - 4.14</vt:lpstr>
      <vt:lpstr>' 4.2 - 4.5'!Utskriftsområde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2022-01-09T17:52:59Z</dcterms:modified>
</cp:coreProperties>
</file>