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14A54EDB-ED30-49EE-AA9A-887EE55C05C1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Oppgave 1" sheetId="2" r:id="rId1"/>
    <sheet name="Oppgave 2" sheetId="3" r:id="rId2"/>
    <sheet name="Oppgave 3" sheetId="4" r:id="rId3"/>
    <sheet name="Oppgave 4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C18" i="4"/>
  <c r="B3" i="4"/>
  <c r="C13" i="4" s="1"/>
  <c r="B12" i="3"/>
  <c r="C12" i="3"/>
  <c r="D9" i="3"/>
  <c r="D3" i="3"/>
  <c r="D10" i="3" s="1"/>
  <c r="D4" i="3"/>
  <c r="D5" i="3"/>
  <c r="D6" i="3"/>
  <c r="D2" i="3"/>
  <c r="C10" i="3"/>
  <c r="C9" i="3"/>
  <c r="B10" i="3"/>
  <c r="B9" i="3"/>
  <c r="H10" i="3"/>
  <c r="H11" i="3" s="1"/>
  <c r="H12" i="3" s="1"/>
  <c r="I13" i="3" s="1"/>
  <c r="I14" i="3" s="1"/>
  <c r="H2" i="3"/>
  <c r="H3" i="3" s="1"/>
  <c r="H4" i="3" s="1"/>
  <c r="C35" i="2"/>
  <c r="B36" i="2"/>
  <c r="B35" i="2"/>
  <c r="B33" i="2"/>
  <c r="C32" i="2"/>
  <c r="B32" i="2"/>
  <c r="B30" i="2"/>
  <c r="B28" i="2"/>
  <c r="B27" i="2"/>
  <c r="C23" i="2"/>
  <c r="D23" i="2"/>
  <c r="E23" i="2"/>
  <c r="F23" i="2"/>
  <c r="B23" i="2"/>
  <c r="B22" i="2"/>
  <c r="F21" i="2"/>
  <c r="B21" i="2"/>
  <c r="C20" i="2"/>
  <c r="D19" i="2"/>
  <c r="E19" i="2"/>
  <c r="F19" i="2"/>
  <c r="C19" i="2"/>
  <c r="D18" i="2"/>
  <c r="E18" i="2"/>
  <c r="F18" i="2"/>
  <c r="C18" i="2"/>
  <c r="B15" i="2"/>
  <c r="B6" i="2"/>
  <c r="B4" i="2"/>
  <c r="C11" i="4" l="1"/>
  <c r="B18" i="4"/>
  <c r="B21" i="4"/>
  <c r="B16" i="4"/>
  <c r="C12" i="4"/>
  <c r="C10" i="4"/>
  <c r="D10" i="4" s="1"/>
  <c r="B17" i="4"/>
  <c r="C19" i="4"/>
  <c r="B7" i="4"/>
  <c r="B27" i="4" s="1"/>
  <c r="B29" i="4" s="1"/>
  <c r="B30" i="4" s="1"/>
  <c r="B13" i="4"/>
  <c r="C15" i="4"/>
  <c r="B15" i="4"/>
  <c r="C17" i="4"/>
  <c r="B14" i="4"/>
  <c r="C16" i="4"/>
  <c r="B10" i="4"/>
  <c r="B12" i="4"/>
  <c r="C14" i="4"/>
  <c r="B19" i="4"/>
  <c r="B11" i="4"/>
  <c r="B20" i="1"/>
  <c r="B34" i="1"/>
  <c r="E32" i="1"/>
  <c r="B32" i="1"/>
  <c r="B33" i="1" s="1"/>
  <c r="E28" i="1"/>
  <c r="D28" i="1"/>
  <c r="C28" i="1"/>
  <c r="E27" i="1"/>
  <c r="D27" i="1"/>
  <c r="C27" i="1"/>
  <c r="E26" i="1"/>
  <c r="E29" i="1" s="1"/>
  <c r="D26" i="1"/>
  <c r="D29" i="1" s="1"/>
  <c r="C26" i="1"/>
  <c r="B31" i="1" s="1"/>
  <c r="B35" i="1" s="1"/>
  <c r="B18" i="1"/>
  <c r="D11" i="4" l="1"/>
  <c r="D12" i="4" s="1"/>
  <c r="D13" i="4" s="1"/>
  <c r="D14" i="4" s="1"/>
  <c r="D15" i="4" s="1"/>
  <c r="D16" i="4" s="1"/>
  <c r="D17" i="4" s="1"/>
  <c r="D18" i="4" s="1"/>
  <c r="D19" i="4" s="1"/>
  <c r="B22" i="1"/>
  <c r="D30" i="1"/>
  <c r="E30" i="1"/>
  <c r="C31" i="1"/>
  <c r="C29" i="1"/>
  <c r="D31" i="1"/>
  <c r="E31" i="1"/>
  <c r="E35" i="1" l="1"/>
  <c r="D35" i="1"/>
  <c r="C30" i="1"/>
  <c r="C35" i="1" s="1"/>
  <c r="B37" i="1" s="1"/>
</calcChain>
</file>

<file path=xl/sharedStrings.xml><?xml version="1.0" encoding="utf-8"?>
<sst xmlns="http://schemas.openxmlformats.org/spreadsheetml/2006/main" count="89" uniqueCount="72">
  <si>
    <t>Salgspris</t>
  </si>
  <si>
    <t>Råvarekostnad</t>
  </si>
  <si>
    <t>Lønn</t>
  </si>
  <si>
    <t>Dekningsbidrag</t>
  </si>
  <si>
    <t>Betalbare faste kostnader</t>
  </si>
  <si>
    <t>Resultat pr. enhet</t>
  </si>
  <si>
    <t>Budsjettert salg årlig</t>
  </si>
  <si>
    <t>Maskiner og ustyr</t>
  </si>
  <si>
    <t>Kampanje</t>
  </si>
  <si>
    <t>Kundedefordringer</t>
  </si>
  <si>
    <t>Varelagre</t>
  </si>
  <si>
    <t>Leverandørgjeld</t>
  </si>
  <si>
    <t>Arbeidskapital</t>
  </si>
  <si>
    <t>År</t>
  </si>
  <si>
    <t>Faste kostnader</t>
  </si>
  <si>
    <t>Maskiner og utstyr</t>
  </si>
  <si>
    <t>Kontanstrøm</t>
  </si>
  <si>
    <t>Avkastningskrav</t>
  </si>
  <si>
    <t>Nåverdi</t>
  </si>
  <si>
    <t>Internrente</t>
  </si>
  <si>
    <t>Nåverdiannuitet</t>
  </si>
  <si>
    <t>Prisen kan falle med</t>
  </si>
  <si>
    <t>Laveste pris er</t>
  </si>
  <si>
    <t>Mengden kan falle med</t>
  </si>
  <si>
    <t>Laveste mengde er</t>
  </si>
  <si>
    <t>Prosjekt X</t>
  </si>
  <si>
    <t>Prosjekt Y</t>
  </si>
  <si>
    <t>Y - X</t>
  </si>
  <si>
    <t>Tilbakebetalt</t>
  </si>
  <si>
    <t>Avk krav</t>
  </si>
  <si>
    <t>Lån</t>
  </si>
  <si>
    <t>Nominell årsrente</t>
  </si>
  <si>
    <t>Halvårsrente</t>
  </si>
  <si>
    <t>Løpetid år</t>
  </si>
  <si>
    <t>Løpetid halvår</t>
  </si>
  <si>
    <t>Renter og avdrag pr. halvår</t>
  </si>
  <si>
    <t>Halvår</t>
  </si>
  <si>
    <t>Rente</t>
  </si>
  <si>
    <t>Avdrag</t>
  </si>
  <si>
    <t>Restgjeld</t>
  </si>
  <si>
    <t>Effektiv årsrente (uten gebyr)</t>
  </si>
  <si>
    <t>Etablering</t>
  </si>
  <si>
    <t>Termingebyr</t>
  </si>
  <si>
    <t>Netto utbetalt lån</t>
  </si>
  <si>
    <t>Terminbeløp inkl. gebyr</t>
  </si>
  <si>
    <t>Effektiv halvårsrente</t>
  </si>
  <si>
    <t>Effektiv årsrente</t>
  </si>
  <si>
    <t>Salgsmengde</t>
  </si>
  <si>
    <t>VEK</t>
  </si>
  <si>
    <t>FK</t>
  </si>
  <si>
    <t>Anl midler</t>
  </si>
  <si>
    <t>Salgsverdi</t>
  </si>
  <si>
    <t>Avskr</t>
  </si>
  <si>
    <t>Skatt</t>
  </si>
  <si>
    <t>Arbeidskap</t>
  </si>
  <si>
    <t>Risikofri</t>
  </si>
  <si>
    <t>Markedsporteføljen</t>
  </si>
  <si>
    <t>Gjeldsrente</t>
  </si>
  <si>
    <t>Beta</t>
  </si>
  <si>
    <t>Andel EK</t>
  </si>
  <si>
    <t>Andel Gjeld</t>
  </si>
  <si>
    <t>Egenkapitalkostnad</t>
  </si>
  <si>
    <t>WACC</t>
  </si>
  <si>
    <t>WACC avrundet</t>
  </si>
  <si>
    <t>Omsetning</t>
  </si>
  <si>
    <t>Variable kostnader</t>
  </si>
  <si>
    <t>Resultat</t>
  </si>
  <si>
    <t>Anleggsmidler</t>
  </si>
  <si>
    <t>NV spart skatt avskrivning</t>
  </si>
  <si>
    <t>NV økt skatt nedskriving</t>
  </si>
  <si>
    <t>Beregningsgrunnlag</t>
  </si>
  <si>
    <t>Nåverdi etter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</si>
</sst>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0.000\ %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0" fontId="0" fillId="3" borderId="1" xfId="0" applyFill="1" applyBorder="1"/>
    <xf numFmtId="164" fontId="0" fillId="3" borderId="1" xfId="1" applyNumberFormat="1" applyFont="1" applyFill="1" applyBorder="1"/>
    <xf numFmtId="164" fontId="0" fillId="0" borderId="0" xfId="1" applyNumberFormat="1" applyFont="1"/>
    <xf numFmtId="165" fontId="0" fillId="0" borderId="0" xfId="0" applyNumberFormat="1"/>
    <xf numFmtId="2" fontId="0" fillId="0" borderId="0" xfId="0" applyNumberFormat="1"/>
    <xf numFmtId="166" fontId="0" fillId="0" borderId="0" xfId="1" applyNumberFormat="1" applyFont="1"/>
    <xf numFmtId="3" fontId="2" fillId="2" borderId="1" xfId="0" applyNumberFormat="1" applyFont="1" applyFill="1" applyBorder="1" applyAlignment="1">
      <alignment horizontal="center"/>
    </xf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4" borderId="1" xfId="1" applyNumberFormat="1" applyFont="1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5" xfId="0" applyBorder="1"/>
    <xf numFmtId="0" fontId="0" fillId="2" borderId="2" xfId="0" applyFill="1" applyBorder="1"/>
    <xf numFmtId="3" fontId="0" fillId="0" borderId="5" xfId="0" applyNumberFormat="1" applyBorder="1"/>
    <xf numFmtId="3" fontId="0" fillId="2" borderId="2" xfId="0" applyNumberFormat="1" applyFill="1" applyBorder="1"/>
    <xf numFmtId="3" fontId="0" fillId="2" borderId="1" xfId="0" applyNumberFormat="1" applyFill="1" applyBorder="1"/>
    <xf numFmtId="3" fontId="0" fillId="5" borderId="5" xfId="0" applyNumberFormat="1" applyFill="1" applyBorder="1"/>
    <xf numFmtId="3" fontId="0" fillId="5" borderId="2" xfId="0" applyNumberFormat="1" applyFill="1" applyBorder="1"/>
    <xf numFmtId="3" fontId="0" fillId="5" borderId="3" xfId="0" applyNumberFormat="1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3" xfId="0" applyFill="1" applyBorder="1"/>
    <xf numFmtId="0" fontId="0" fillId="5" borderId="1" xfId="0" applyFill="1" applyBorder="1"/>
    <xf numFmtId="10" fontId="0" fillId="5" borderId="1" xfId="2" applyNumberFormat="1" applyFont="1" applyFill="1" applyBorder="1"/>
    <xf numFmtId="166" fontId="0" fillId="5" borderId="5" xfId="1" applyNumberFormat="1" applyFont="1" applyFill="1" applyBorder="1"/>
    <xf numFmtId="10" fontId="0" fillId="5" borderId="3" xfId="2" applyNumberFormat="1" applyFont="1" applyFill="1" applyBorder="1"/>
    <xf numFmtId="0" fontId="0" fillId="5" borderId="5" xfId="0" applyFill="1" applyBorder="1"/>
    <xf numFmtId="0" fontId="0" fillId="5" borderId="3" xfId="0" applyFill="1" applyBorder="1"/>
    <xf numFmtId="166" fontId="0" fillId="3" borderId="1" xfId="1" applyNumberFormat="1" applyFont="1" applyFill="1" applyBorder="1"/>
    <xf numFmtId="43" fontId="0" fillId="0" borderId="0" xfId="0" applyNumberFormat="1"/>
    <xf numFmtId="0" fontId="0" fillId="4" borderId="5" xfId="0" applyFill="1" applyBorder="1"/>
    <xf numFmtId="0" fontId="0" fillId="4" borderId="3" xfId="0" applyFill="1" applyBorder="1"/>
    <xf numFmtId="43" fontId="0" fillId="3" borderId="6" xfId="0" applyNumberFormat="1" applyFill="1" applyBorder="1"/>
    <xf numFmtId="10" fontId="0" fillId="0" borderId="7" xfId="2" applyNumberFormat="1" applyFont="1" applyBorder="1"/>
    <xf numFmtId="43" fontId="0" fillId="3" borderId="8" xfId="0" applyNumberFormat="1" applyFill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0" fontId="0" fillId="3" borderId="11" xfId="0" applyFill="1" applyBorder="1"/>
    <xf numFmtId="9" fontId="0" fillId="3" borderId="4" xfId="0" applyNumberFormat="1" applyFill="1" applyBorder="1"/>
    <xf numFmtId="9" fontId="0" fillId="3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right" indent="1"/>
    </xf>
    <xf numFmtId="43" fontId="0" fillId="0" borderId="8" xfId="1" applyFont="1" applyBorder="1" applyAlignment="1">
      <alignment horizontal="center"/>
    </xf>
    <xf numFmtId="10" fontId="0" fillId="5" borderId="3" xfId="0" applyNumberFormat="1" applyFill="1" applyBorder="1"/>
    <xf numFmtId="43" fontId="0" fillId="5" borderId="1" xfId="1" applyFont="1" applyFill="1" applyBorder="1"/>
    <xf numFmtId="0" fontId="0" fillId="5" borderId="2" xfId="0" applyFill="1" applyBorder="1"/>
    <xf numFmtId="3" fontId="0" fillId="6" borderId="5" xfId="0" applyNumberFormat="1" applyFill="1" applyBorder="1"/>
    <xf numFmtId="9" fontId="0" fillId="6" borderId="2" xfId="0" applyNumberFormat="1" applyFill="1" applyBorder="1"/>
    <xf numFmtId="0" fontId="0" fillId="6" borderId="2" xfId="0" applyFill="1" applyBorder="1"/>
    <xf numFmtId="0" fontId="0" fillId="6" borderId="3" xfId="0" applyFill="1" applyBorder="1"/>
    <xf numFmtId="43" fontId="0" fillId="0" borderId="2" xfId="1" applyFont="1" applyBorder="1"/>
    <xf numFmtId="43" fontId="0" fillId="0" borderId="3" xfId="1" applyFont="1" applyBorder="1"/>
    <xf numFmtId="43" fontId="0" fillId="0" borderId="2" xfId="0" applyNumberFormat="1" applyBorder="1"/>
    <xf numFmtId="43" fontId="0" fillId="0" borderId="3" xfId="0" applyNumberFormat="1" applyBorder="1"/>
    <xf numFmtId="10" fontId="0" fillId="2" borderId="1" xfId="2" applyNumberFormat="1" applyFont="1" applyFill="1" applyBorder="1"/>
    <xf numFmtId="3" fontId="0" fillId="4" borderId="5" xfId="0" applyNumberFormat="1" applyFill="1" applyBorder="1"/>
    <xf numFmtId="43" fontId="0" fillId="4" borderId="3" xfId="0" applyNumberFormat="1" applyFill="1" applyBorder="1"/>
    <xf numFmtId="10" fontId="0" fillId="4" borderId="5" xfId="0" applyNumberFormat="1" applyFill="1" applyBorder="1"/>
    <xf numFmtId="10" fontId="0" fillId="4" borderId="3" xfId="2" applyNumberFormat="1" applyFont="1" applyFill="1" applyBorder="1"/>
    <xf numFmtId="164" fontId="0" fillId="4" borderId="1" xfId="1" applyNumberFormat="1" applyFont="1" applyFill="1" applyBorder="1"/>
    <xf numFmtId="3" fontId="0" fillId="4" borderId="2" xfId="0" applyNumberFormat="1" applyFill="1" applyBorder="1"/>
    <xf numFmtId="3" fontId="0" fillId="4" borderId="3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A943-A25B-4BD8-8D45-18CD83ACCE00}">
  <dimension ref="A1:F36"/>
  <sheetViews>
    <sheetView workbookViewId="0">
      <selection activeCell="E7" sqref="E7"/>
    </sheetView>
  </sheetViews>
  <sheetFormatPr baseColWidth="10" defaultColWidth="11.42578125" defaultRowHeight="15" x14ac:dyDescent="0.25"/>
  <cols>
    <col min="1" max="1" width="24" bestFit="1" customWidth="1"/>
    <col min="3" max="3" width="12.28515625" customWidth="1"/>
  </cols>
  <sheetData>
    <row r="1" spans="1:2" x14ac:dyDescent="0.25">
      <c r="A1" s="24" t="s">
        <v>0</v>
      </c>
      <c r="B1" s="26">
        <v>2750</v>
      </c>
    </row>
    <row r="2" spans="1:2" x14ac:dyDescent="0.25">
      <c r="A2" s="8" t="s">
        <v>1</v>
      </c>
      <c r="B2" s="8">
        <v>600</v>
      </c>
    </row>
    <row r="3" spans="1:2" x14ac:dyDescent="0.25">
      <c r="A3" s="10" t="s">
        <v>2</v>
      </c>
      <c r="B3" s="10">
        <v>900</v>
      </c>
    </row>
    <row r="4" spans="1:2" x14ac:dyDescent="0.25">
      <c r="A4" s="25" t="s">
        <v>3</v>
      </c>
      <c r="B4" s="27">
        <f>B1-B2-B3</f>
        <v>1250</v>
      </c>
    </row>
    <row r="5" spans="1:2" x14ac:dyDescent="0.25">
      <c r="A5" s="10" t="s">
        <v>4</v>
      </c>
      <c r="B5" s="10">
        <v>750</v>
      </c>
    </row>
    <row r="6" spans="1:2" x14ac:dyDescent="0.25">
      <c r="A6" s="22" t="s">
        <v>5</v>
      </c>
      <c r="B6" s="28">
        <f>B4-B5</f>
        <v>500</v>
      </c>
    </row>
    <row r="8" spans="1:2" x14ac:dyDescent="0.25">
      <c r="A8" s="32" t="s">
        <v>6</v>
      </c>
      <c r="B8" s="29">
        <v>12000</v>
      </c>
    </row>
    <row r="9" spans="1:2" x14ac:dyDescent="0.25">
      <c r="A9" s="33" t="s">
        <v>7</v>
      </c>
      <c r="B9" s="30">
        <v>8750000</v>
      </c>
    </row>
    <row r="10" spans="1:2" x14ac:dyDescent="0.25">
      <c r="A10" s="34" t="s">
        <v>8</v>
      </c>
      <c r="B10" s="31">
        <v>3000000</v>
      </c>
    </row>
    <row r="12" spans="1:2" x14ac:dyDescent="0.25">
      <c r="A12" s="32" t="s">
        <v>9</v>
      </c>
      <c r="B12" s="74">
        <v>6500000</v>
      </c>
    </row>
    <row r="13" spans="1:2" x14ac:dyDescent="0.25">
      <c r="A13" s="33" t="s">
        <v>10</v>
      </c>
      <c r="B13" s="79">
        <v>1500000</v>
      </c>
    </row>
    <row r="14" spans="1:2" x14ac:dyDescent="0.25">
      <c r="A14" s="34" t="s">
        <v>11</v>
      </c>
      <c r="B14" s="80">
        <v>725000</v>
      </c>
    </row>
    <row r="15" spans="1:2" x14ac:dyDescent="0.25">
      <c r="A15" s="22" t="s">
        <v>12</v>
      </c>
      <c r="B15" s="28">
        <f>B12+B13-B14</f>
        <v>7275000</v>
      </c>
    </row>
    <row r="17" spans="1:6" x14ac:dyDescent="0.25">
      <c r="A17" s="22" t="s">
        <v>13</v>
      </c>
      <c r="B17" s="18">
        <v>0</v>
      </c>
      <c r="C17" s="7">
        <v>1</v>
      </c>
      <c r="D17" s="7">
        <v>2</v>
      </c>
      <c r="E17" s="7">
        <v>3</v>
      </c>
      <c r="F17" s="7">
        <v>4</v>
      </c>
    </row>
    <row r="18" spans="1:6" x14ac:dyDescent="0.25">
      <c r="A18" s="8" t="s">
        <v>3</v>
      </c>
      <c r="B18" s="19"/>
      <c r="C18" s="19">
        <f>$B$4*$B$8</f>
        <v>15000000</v>
      </c>
      <c r="D18" s="19">
        <f t="shared" ref="D18:F18" si="0">$B$4*$B$8</f>
        <v>15000000</v>
      </c>
      <c r="E18" s="19">
        <f t="shared" si="0"/>
        <v>15000000</v>
      </c>
      <c r="F18" s="19">
        <f t="shared" si="0"/>
        <v>15000000</v>
      </c>
    </row>
    <row r="19" spans="1:6" x14ac:dyDescent="0.25">
      <c r="A19" s="8" t="s">
        <v>14</v>
      </c>
      <c r="B19" s="19"/>
      <c r="C19" s="19">
        <f>-$B$5*$B$8</f>
        <v>-9000000</v>
      </c>
      <c r="D19" s="19">
        <f t="shared" ref="D19:F19" si="1">-$B$5*$B$8</f>
        <v>-9000000</v>
      </c>
      <c r="E19" s="19">
        <f t="shared" si="1"/>
        <v>-9000000</v>
      </c>
      <c r="F19" s="19">
        <f t="shared" si="1"/>
        <v>-9000000</v>
      </c>
    </row>
    <row r="20" spans="1:6" x14ac:dyDescent="0.25">
      <c r="A20" s="8" t="s">
        <v>8</v>
      </c>
      <c r="B20" s="19"/>
      <c r="C20" s="19">
        <f>-B10</f>
        <v>-3000000</v>
      </c>
      <c r="D20" s="19"/>
      <c r="E20" s="19"/>
      <c r="F20" s="19"/>
    </row>
    <row r="21" spans="1:6" x14ac:dyDescent="0.25">
      <c r="A21" s="8" t="s">
        <v>12</v>
      </c>
      <c r="B21" s="19">
        <f>-B15</f>
        <v>-7275000</v>
      </c>
      <c r="C21" s="19"/>
      <c r="D21" s="19"/>
      <c r="E21" s="19"/>
      <c r="F21" s="19">
        <f>B15</f>
        <v>7275000</v>
      </c>
    </row>
    <row r="22" spans="1:6" x14ac:dyDescent="0.25">
      <c r="A22" s="10" t="s">
        <v>15</v>
      </c>
      <c r="B22" s="20">
        <f>-B9</f>
        <v>-8750000</v>
      </c>
      <c r="C22" s="20"/>
      <c r="D22" s="20"/>
      <c r="E22" s="20"/>
      <c r="F22" s="20"/>
    </row>
    <row r="23" spans="1:6" x14ac:dyDescent="0.25">
      <c r="A23" s="23" t="s">
        <v>16</v>
      </c>
      <c r="B23" s="21">
        <f>SUM(B18:B22)</f>
        <v>-16025000</v>
      </c>
      <c r="C23" s="21">
        <f t="shared" ref="C23:F23" si="2">SUM(C18:C22)</f>
        <v>3000000</v>
      </c>
      <c r="D23" s="21">
        <f t="shared" si="2"/>
        <v>6000000</v>
      </c>
      <c r="E23" s="21">
        <f t="shared" si="2"/>
        <v>6000000</v>
      </c>
      <c r="F23" s="21">
        <f t="shared" si="2"/>
        <v>13275000</v>
      </c>
    </row>
    <row r="24" spans="1:6" x14ac:dyDescent="0.25">
      <c r="B24" s="17"/>
      <c r="C24" s="17"/>
      <c r="D24" s="17"/>
      <c r="E24" s="17"/>
      <c r="F24" s="17"/>
    </row>
    <row r="25" spans="1:6" x14ac:dyDescent="0.25">
      <c r="A25" s="35" t="s">
        <v>17</v>
      </c>
      <c r="B25" s="36">
        <v>0.15</v>
      </c>
      <c r="C25" s="17"/>
      <c r="D25" s="17"/>
      <c r="E25" s="17"/>
      <c r="F25" s="17"/>
    </row>
    <row r="26" spans="1:6" x14ac:dyDescent="0.25">
      <c r="B26" s="17"/>
      <c r="C26" s="17"/>
      <c r="D26" s="17"/>
      <c r="E26" s="17"/>
      <c r="F26" s="17"/>
    </row>
    <row r="27" spans="1:6" x14ac:dyDescent="0.25">
      <c r="A27" s="39" t="s">
        <v>18</v>
      </c>
      <c r="B27" s="37">
        <f>NPV(B25,C23:F23)+B23</f>
        <v>2655679.3857940771</v>
      </c>
      <c r="C27" s="17"/>
      <c r="D27" s="17"/>
      <c r="E27" s="17"/>
      <c r="F27" s="17"/>
    </row>
    <row r="28" spans="1:6" x14ac:dyDescent="0.25">
      <c r="A28" s="40" t="s">
        <v>19</v>
      </c>
      <c r="B28" s="38">
        <f>IRR(B23:F23)</f>
        <v>0.21352775786422074</v>
      </c>
      <c r="C28" s="17"/>
      <c r="D28" s="17"/>
      <c r="E28" s="17"/>
      <c r="F28" s="17"/>
    </row>
    <row r="29" spans="1:6" x14ac:dyDescent="0.25">
      <c r="B29" s="17"/>
      <c r="C29" s="17"/>
      <c r="D29" s="17"/>
      <c r="E29" s="17"/>
      <c r="F29" s="17"/>
    </row>
    <row r="30" spans="1:6" x14ac:dyDescent="0.25">
      <c r="A30" s="35" t="s">
        <v>20</v>
      </c>
      <c r="B30" s="41">
        <f>-PMT(B25,F17,B27)</f>
        <v>930192.47377775598</v>
      </c>
      <c r="C30" s="17"/>
      <c r="D30" s="17"/>
      <c r="E30" s="17"/>
      <c r="F30" s="17"/>
    </row>
    <row r="32" spans="1:6" x14ac:dyDescent="0.25">
      <c r="A32" s="43" t="s">
        <v>21</v>
      </c>
      <c r="B32" s="45">
        <f>B30/B8</f>
        <v>77.516039481479666</v>
      </c>
      <c r="C32" s="46">
        <f>B32/B1</f>
        <v>2.8187650720538061E-2</v>
      </c>
    </row>
    <row r="33" spans="1:3" x14ac:dyDescent="0.25">
      <c r="A33" s="44" t="s">
        <v>22</v>
      </c>
      <c r="B33" s="47">
        <f>B1-B32</f>
        <v>2672.4839605185202</v>
      </c>
      <c r="C33" s="48"/>
    </row>
    <row r="35" spans="1:3" x14ac:dyDescent="0.25">
      <c r="A35" s="43" t="s">
        <v>23</v>
      </c>
      <c r="B35" s="45">
        <f>B30/B4</f>
        <v>744.15397902220479</v>
      </c>
      <c r="C35" s="46">
        <f>B35/B8</f>
        <v>6.2012831585183732E-2</v>
      </c>
    </row>
    <row r="36" spans="1:3" x14ac:dyDescent="0.25">
      <c r="A36" s="44" t="s">
        <v>24</v>
      </c>
      <c r="B36" s="47">
        <f>B8-B35</f>
        <v>11255.846020977795</v>
      </c>
      <c r="C36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2F26-1B52-45E3-A491-7C62B9E3088F}">
  <dimension ref="A1:I14"/>
  <sheetViews>
    <sheetView tabSelected="1" zoomScale="130" zoomScaleNormal="130" workbookViewId="0">
      <selection activeCell="L6" sqref="L6"/>
    </sheetView>
  </sheetViews>
  <sheetFormatPr baseColWidth="10" defaultColWidth="11.42578125" defaultRowHeight="15" x14ac:dyDescent="0.25"/>
  <cols>
    <col min="5" max="5" width="7.140625" customWidth="1"/>
    <col min="8" max="8" width="12.7109375" customWidth="1"/>
  </cols>
  <sheetData>
    <row r="1" spans="1:9" x14ac:dyDescent="0.25">
      <c r="A1" s="51" t="s">
        <v>13</v>
      </c>
      <c r="B1" s="7" t="s">
        <v>25</v>
      </c>
      <c r="C1" s="7" t="s">
        <v>26</v>
      </c>
      <c r="D1" s="7" t="s">
        <v>27</v>
      </c>
      <c r="F1" s="7" t="s">
        <v>13</v>
      </c>
      <c r="G1" s="7" t="s">
        <v>25</v>
      </c>
      <c r="H1" s="7" t="s">
        <v>28</v>
      </c>
    </row>
    <row r="2" spans="1:9" x14ac:dyDescent="0.25">
      <c r="A2" s="49">
        <v>0</v>
      </c>
      <c r="B2" s="52">
        <v>-500000</v>
      </c>
      <c r="C2" s="52">
        <v>-500000</v>
      </c>
      <c r="D2" s="26">
        <f>C2-B2</f>
        <v>0</v>
      </c>
      <c r="F2" s="57">
        <v>0</v>
      </c>
      <c r="G2" s="52">
        <v>-500000</v>
      </c>
      <c r="H2" s="52">
        <f>G2</f>
        <v>-500000</v>
      </c>
    </row>
    <row r="3" spans="1:9" x14ac:dyDescent="0.25">
      <c r="A3" s="49">
        <v>1</v>
      </c>
      <c r="B3" s="52">
        <v>400000</v>
      </c>
      <c r="C3" s="52">
        <v>180000</v>
      </c>
      <c r="D3" s="52">
        <f t="shared" ref="D3:D6" si="0">C3-B3</f>
        <v>-220000</v>
      </c>
      <c r="F3" s="57">
        <v>1</v>
      </c>
      <c r="G3" s="52">
        <v>400000</v>
      </c>
      <c r="H3" s="52">
        <f>H2+G3</f>
        <v>-100000</v>
      </c>
    </row>
    <row r="4" spans="1:9" x14ac:dyDescent="0.25">
      <c r="A4" s="49">
        <v>2</v>
      </c>
      <c r="B4" s="52">
        <v>100000</v>
      </c>
      <c r="C4" s="52">
        <v>180000</v>
      </c>
      <c r="D4" s="52">
        <f t="shared" si="0"/>
        <v>80000</v>
      </c>
      <c r="F4" s="57">
        <v>2</v>
      </c>
      <c r="G4" s="52">
        <v>100000</v>
      </c>
      <c r="H4" s="52">
        <f>H3+G4</f>
        <v>0</v>
      </c>
      <c r="I4" s="60">
        <v>2</v>
      </c>
    </row>
    <row r="5" spans="1:9" x14ac:dyDescent="0.25">
      <c r="A5" s="49">
        <v>3</v>
      </c>
      <c r="B5" s="52">
        <v>100000</v>
      </c>
      <c r="C5" s="52">
        <v>180000</v>
      </c>
      <c r="D5" s="52">
        <f t="shared" si="0"/>
        <v>80000</v>
      </c>
      <c r="F5" s="57">
        <v>3</v>
      </c>
      <c r="G5" s="52">
        <v>100000</v>
      </c>
      <c r="H5" s="8"/>
    </row>
    <row r="6" spans="1:9" x14ac:dyDescent="0.25">
      <c r="A6" s="50">
        <v>4</v>
      </c>
      <c r="B6" s="53">
        <v>50000</v>
      </c>
      <c r="C6" s="53">
        <v>180000</v>
      </c>
      <c r="D6" s="53">
        <f t="shared" si="0"/>
        <v>130000</v>
      </c>
      <c r="F6" s="58">
        <v>4</v>
      </c>
      <c r="G6" s="53">
        <v>50000</v>
      </c>
      <c r="H6" s="10"/>
    </row>
    <row r="7" spans="1:9" x14ac:dyDescent="0.25">
      <c r="A7" s="54" t="s">
        <v>29</v>
      </c>
      <c r="B7" s="55">
        <v>0.12</v>
      </c>
      <c r="C7" s="56">
        <v>0.12</v>
      </c>
      <c r="D7" s="56">
        <v>0.12</v>
      </c>
      <c r="G7" s="4"/>
    </row>
    <row r="9" spans="1:9" x14ac:dyDescent="0.25">
      <c r="A9" s="43" t="s">
        <v>18</v>
      </c>
      <c r="B9" s="29">
        <f>NPV(B7,B3:B6)+B2</f>
        <v>39816.173599541886</v>
      </c>
      <c r="C9" s="29">
        <f>NPV(C7,C3:C6)+C2</f>
        <v>46722.882392752916</v>
      </c>
      <c r="D9" s="29">
        <f>NPV(D7,D3:D6)+D2</f>
        <v>6906.7087932111199</v>
      </c>
      <c r="F9" s="51" t="s">
        <v>13</v>
      </c>
      <c r="G9" s="7" t="s">
        <v>26</v>
      </c>
      <c r="H9" s="7" t="s">
        <v>28</v>
      </c>
    </row>
    <row r="10" spans="1:9" x14ac:dyDescent="0.25">
      <c r="A10" s="44" t="s">
        <v>19</v>
      </c>
      <c r="B10" s="62">
        <f>IRR(B2:B6)</f>
        <v>0.17610983431504712</v>
      </c>
      <c r="C10" s="62">
        <f>IRR(C2:C6)</f>
        <v>0.16367489168913085</v>
      </c>
      <c r="D10" s="62">
        <f>IRR(D2:D6)</f>
        <v>0.13870188838603914</v>
      </c>
      <c r="F10" s="49">
        <v>0</v>
      </c>
      <c r="G10" s="26">
        <v>-500000</v>
      </c>
      <c r="H10" s="52">
        <f>G10</f>
        <v>-500000</v>
      </c>
    </row>
    <row r="11" spans="1:9" x14ac:dyDescent="0.25">
      <c r="F11" s="49">
        <v>1</v>
      </c>
      <c r="G11" s="52">
        <v>180000</v>
      </c>
      <c r="H11" s="52">
        <f>H10+G11</f>
        <v>-320000</v>
      </c>
    </row>
    <row r="12" spans="1:9" x14ac:dyDescent="0.25">
      <c r="B12" s="3">
        <f>SUM(B2:B6)</f>
        <v>150000</v>
      </c>
      <c r="C12" s="3">
        <f>SUM(C2:C6)</f>
        <v>220000</v>
      </c>
      <c r="F12" s="49">
        <v>2</v>
      </c>
      <c r="G12" s="52">
        <v>180000</v>
      </c>
      <c r="H12" s="52">
        <f>H11+G12</f>
        <v>-140000</v>
      </c>
      <c r="I12" s="59">
        <v>2</v>
      </c>
    </row>
    <row r="13" spans="1:9" x14ac:dyDescent="0.25">
      <c r="B13" s="3"/>
      <c r="C13" s="3"/>
      <c r="F13" s="49">
        <v>3</v>
      </c>
      <c r="G13" s="52">
        <v>180000</v>
      </c>
      <c r="H13" s="52"/>
      <c r="I13" s="61">
        <f>-H12/G12</f>
        <v>0.77777777777777779</v>
      </c>
    </row>
    <row r="14" spans="1:9" x14ac:dyDescent="0.25">
      <c r="F14" s="50">
        <v>4</v>
      </c>
      <c r="G14" s="53">
        <v>180000</v>
      </c>
      <c r="H14" s="10"/>
      <c r="I14" s="42">
        <f>SUM(I12:I13)</f>
        <v>2.7777777777777777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7A5C-8A3B-4DD4-917B-F54950A5E2F6}">
  <dimension ref="A1:D30"/>
  <sheetViews>
    <sheetView workbookViewId="0">
      <selection activeCell="A29" sqref="A29:A30"/>
    </sheetView>
  </sheetViews>
  <sheetFormatPr baseColWidth="10" defaultColWidth="11.42578125" defaultRowHeight="15" x14ac:dyDescent="0.25"/>
  <cols>
    <col min="1" max="1" width="28.140625" customWidth="1"/>
  </cols>
  <sheetData>
    <row r="1" spans="1:4" x14ac:dyDescent="0.25">
      <c r="A1" s="39" t="s">
        <v>30</v>
      </c>
      <c r="B1" s="65">
        <v>100000</v>
      </c>
    </row>
    <row r="2" spans="1:4" x14ac:dyDescent="0.25">
      <c r="A2" s="64" t="s">
        <v>31</v>
      </c>
      <c r="B2" s="66">
        <v>0.08</v>
      </c>
    </row>
    <row r="3" spans="1:4" x14ac:dyDescent="0.25">
      <c r="A3" s="64" t="s">
        <v>32</v>
      </c>
      <c r="B3" s="66">
        <f>B2/2</f>
        <v>0.04</v>
      </c>
    </row>
    <row r="4" spans="1:4" x14ac:dyDescent="0.25">
      <c r="A4" s="64" t="s">
        <v>33</v>
      </c>
      <c r="B4" s="67">
        <v>5</v>
      </c>
    </row>
    <row r="5" spans="1:4" x14ac:dyDescent="0.25">
      <c r="A5" s="40" t="s">
        <v>34</v>
      </c>
      <c r="B5" s="68">
        <v>10</v>
      </c>
    </row>
    <row r="7" spans="1:4" x14ac:dyDescent="0.25">
      <c r="A7" s="12" t="s">
        <v>35</v>
      </c>
      <c r="B7" s="63">
        <f>PMT(B3,B5,B1)</f>
        <v>-12329.094433013654</v>
      </c>
    </row>
    <row r="9" spans="1:4" x14ac:dyDescent="0.25">
      <c r="A9" s="7" t="s">
        <v>36</v>
      </c>
      <c r="B9" s="7" t="s">
        <v>37</v>
      </c>
      <c r="C9" s="7" t="s">
        <v>38</v>
      </c>
      <c r="D9" s="7" t="s">
        <v>39</v>
      </c>
    </row>
    <row r="10" spans="1:4" x14ac:dyDescent="0.25">
      <c r="A10" s="57">
        <v>1</v>
      </c>
      <c r="B10" s="69">
        <f>IPMT($B$3,A10,$B$5,$B$1)</f>
        <v>-4000</v>
      </c>
      <c r="C10" s="69">
        <f>PPMT($B$3,A10,$B$5,$B$1)</f>
        <v>-8329.0944330136517</v>
      </c>
      <c r="D10" s="71">
        <f>B1+C10</f>
        <v>91670.905566986345</v>
      </c>
    </row>
    <row r="11" spans="1:4" x14ac:dyDescent="0.25">
      <c r="A11" s="57">
        <v>2</v>
      </c>
      <c r="B11" s="69">
        <f t="shared" ref="B11:B19" si="0">IPMT($B$3,A11,$B$5,$B$1)</f>
        <v>-3666.8362226794543</v>
      </c>
      <c r="C11" s="69">
        <f t="shared" ref="C11:C19" si="1">PPMT($B$3,A11,$B$5,$B$1)</f>
        <v>-8662.2582103341974</v>
      </c>
      <c r="D11" s="71">
        <f>D10+C11</f>
        <v>83008.647356652145</v>
      </c>
    </row>
    <row r="12" spans="1:4" x14ac:dyDescent="0.25">
      <c r="A12" s="57">
        <v>3</v>
      </c>
      <c r="B12" s="69">
        <f t="shared" si="0"/>
        <v>-3320.3458942660864</v>
      </c>
      <c r="C12" s="69">
        <f t="shared" si="1"/>
        <v>-9008.7485387475645</v>
      </c>
      <c r="D12" s="71">
        <f t="shared" ref="D12:D19" si="2">D11+C12</f>
        <v>73999.898817904585</v>
      </c>
    </row>
    <row r="13" spans="1:4" x14ac:dyDescent="0.25">
      <c r="A13" s="57">
        <v>4</v>
      </c>
      <c r="B13" s="69">
        <f t="shared" si="0"/>
        <v>-2959.9959527161841</v>
      </c>
      <c r="C13" s="69">
        <f t="shared" si="1"/>
        <v>-9369.098480297469</v>
      </c>
      <c r="D13" s="71">
        <f t="shared" si="2"/>
        <v>64630.800337607114</v>
      </c>
    </row>
    <row r="14" spans="1:4" x14ac:dyDescent="0.25">
      <c r="A14" s="57">
        <v>5</v>
      </c>
      <c r="B14" s="69">
        <f t="shared" si="0"/>
        <v>-2585.2320135042851</v>
      </c>
      <c r="C14" s="69">
        <f t="shared" si="1"/>
        <v>-9743.8624195093671</v>
      </c>
      <c r="D14" s="71">
        <f t="shared" si="2"/>
        <v>54886.937918097748</v>
      </c>
    </row>
    <row r="15" spans="1:4" x14ac:dyDescent="0.25">
      <c r="A15" s="57">
        <v>6</v>
      </c>
      <c r="B15" s="69">
        <f t="shared" si="0"/>
        <v>-2195.4775167239104</v>
      </c>
      <c r="C15" s="69">
        <f t="shared" si="1"/>
        <v>-10133.616916289742</v>
      </c>
      <c r="D15" s="71">
        <f t="shared" si="2"/>
        <v>44753.321001808006</v>
      </c>
    </row>
    <row r="16" spans="1:4" x14ac:dyDescent="0.25">
      <c r="A16" s="57">
        <v>7</v>
      </c>
      <c r="B16" s="69">
        <f t="shared" si="0"/>
        <v>-1790.132840072321</v>
      </c>
      <c r="C16" s="69">
        <f t="shared" si="1"/>
        <v>-10538.96159294133</v>
      </c>
      <c r="D16" s="71">
        <f t="shared" si="2"/>
        <v>34214.359408866672</v>
      </c>
    </row>
    <row r="17" spans="1:4" x14ac:dyDescent="0.25">
      <c r="A17" s="57">
        <v>8</v>
      </c>
      <c r="B17" s="69">
        <f t="shared" si="0"/>
        <v>-1368.5743763546675</v>
      </c>
      <c r="C17" s="69">
        <f t="shared" si="1"/>
        <v>-10960.520056658987</v>
      </c>
      <c r="D17" s="71">
        <f t="shared" si="2"/>
        <v>23253.839352207688</v>
      </c>
    </row>
    <row r="18" spans="1:4" x14ac:dyDescent="0.25">
      <c r="A18" s="57">
        <v>9</v>
      </c>
      <c r="B18" s="69">
        <f t="shared" si="0"/>
        <v>-930.15357408830812</v>
      </c>
      <c r="C18" s="69">
        <f t="shared" si="1"/>
        <v>-11398.940858925343</v>
      </c>
      <c r="D18" s="71">
        <f t="shared" si="2"/>
        <v>11854.898493282344</v>
      </c>
    </row>
    <row r="19" spans="1:4" x14ac:dyDescent="0.25">
      <c r="A19" s="58">
        <v>10</v>
      </c>
      <c r="B19" s="70">
        <f t="shared" si="0"/>
        <v>-474.19593973129435</v>
      </c>
      <c r="C19" s="70">
        <f t="shared" si="1"/>
        <v>-11854.898493282361</v>
      </c>
      <c r="D19" s="72">
        <f t="shared" si="2"/>
        <v>-1.6370904631912708E-11</v>
      </c>
    </row>
    <row r="21" spans="1:4" x14ac:dyDescent="0.25">
      <c r="A21" s="22" t="s">
        <v>40</v>
      </c>
      <c r="B21" s="73">
        <f>(1+B3)^2-1</f>
        <v>8.1600000000000117E-2</v>
      </c>
    </row>
    <row r="23" spans="1:4" x14ac:dyDescent="0.25">
      <c r="A23" s="32" t="s">
        <v>41</v>
      </c>
      <c r="B23" s="74">
        <v>1460</v>
      </c>
    </row>
    <row r="24" spans="1:4" x14ac:dyDescent="0.25">
      <c r="A24" s="34" t="s">
        <v>42</v>
      </c>
      <c r="B24" s="44">
        <v>40</v>
      </c>
    </row>
    <row r="26" spans="1:4" x14ac:dyDescent="0.25">
      <c r="A26" s="32" t="s">
        <v>43</v>
      </c>
      <c r="B26" s="74">
        <f>B1-B23</f>
        <v>98540</v>
      </c>
    </row>
    <row r="27" spans="1:4" x14ac:dyDescent="0.25">
      <c r="A27" s="34" t="s">
        <v>44</v>
      </c>
      <c r="B27" s="75">
        <f>B7-B24</f>
        <v>-12369.094433013654</v>
      </c>
    </row>
    <row r="29" spans="1:4" x14ac:dyDescent="0.25">
      <c r="A29" s="32" t="s">
        <v>45</v>
      </c>
      <c r="B29" s="76">
        <f>RATE(B5,B27,B26)</f>
        <v>4.3621330012572221E-2</v>
      </c>
    </row>
    <row r="30" spans="1:4" x14ac:dyDescent="0.25">
      <c r="A30" s="34" t="s">
        <v>46</v>
      </c>
      <c r="B30" s="77">
        <f>(1+B29)^2-1</f>
        <v>8.9145480457210269E-2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opLeftCell="A13" workbookViewId="0">
      <selection activeCell="G40" sqref="G40"/>
    </sheetView>
  </sheetViews>
  <sheetFormatPr baseColWidth="10" defaultColWidth="9.140625" defaultRowHeight="15" x14ac:dyDescent="0.25"/>
  <cols>
    <col min="1" max="1" width="24.140625" bestFit="1" customWidth="1"/>
    <col min="2" max="5" width="10.42578125" bestFit="1" customWidth="1"/>
  </cols>
  <sheetData>
    <row r="1" spans="1:4" x14ac:dyDescent="0.25">
      <c r="A1" s="1" t="s">
        <v>13</v>
      </c>
      <c r="B1" s="2">
        <v>1</v>
      </c>
      <c r="C1" s="2">
        <v>2</v>
      </c>
      <c r="D1" s="2">
        <v>3</v>
      </c>
    </row>
    <row r="2" spans="1:4" x14ac:dyDescent="0.25">
      <c r="A2" t="s">
        <v>47</v>
      </c>
      <c r="B2">
        <v>300</v>
      </c>
      <c r="C2">
        <v>500</v>
      </c>
      <c r="D2">
        <v>600</v>
      </c>
    </row>
    <row r="3" spans="1:4" x14ac:dyDescent="0.25">
      <c r="A3" t="s">
        <v>0</v>
      </c>
      <c r="B3" s="3">
        <v>8000</v>
      </c>
      <c r="C3" s="3">
        <v>6000</v>
      </c>
      <c r="D3" s="3">
        <v>4000</v>
      </c>
    </row>
    <row r="5" spans="1:4" x14ac:dyDescent="0.25">
      <c r="A5" t="s">
        <v>48</v>
      </c>
      <c r="B5" s="3">
        <v>1000</v>
      </c>
    </row>
    <row r="6" spans="1:4" x14ac:dyDescent="0.25">
      <c r="A6" t="s">
        <v>49</v>
      </c>
      <c r="B6" s="3">
        <v>1000000</v>
      </c>
    </row>
    <row r="7" spans="1:4" x14ac:dyDescent="0.25">
      <c r="A7" t="s">
        <v>50</v>
      </c>
      <c r="B7" s="3">
        <v>2200000</v>
      </c>
    </row>
    <row r="8" spans="1:4" x14ac:dyDescent="0.25">
      <c r="A8" t="s">
        <v>51</v>
      </c>
      <c r="B8" s="3">
        <v>400000</v>
      </c>
    </row>
    <row r="9" spans="1:4" x14ac:dyDescent="0.25">
      <c r="A9" t="s">
        <v>52</v>
      </c>
      <c r="B9" s="4">
        <v>0.2</v>
      </c>
    </row>
    <row r="10" spans="1:4" x14ac:dyDescent="0.25">
      <c r="A10" t="s">
        <v>53</v>
      </c>
      <c r="B10" s="4">
        <v>0.22</v>
      </c>
    </row>
    <row r="11" spans="1:4" x14ac:dyDescent="0.25">
      <c r="A11" t="s">
        <v>54</v>
      </c>
      <c r="B11" s="4">
        <v>0.1</v>
      </c>
    </row>
    <row r="12" spans="1:4" x14ac:dyDescent="0.25">
      <c r="B12" s="4"/>
    </row>
    <row r="13" spans="1:4" x14ac:dyDescent="0.25">
      <c r="A13" t="s">
        <v>55</v>
      </c>
      <c r="B13" s="5">
        <v>0.03</v>
      </c>
    </row>
    <row r="14" spans="1:4" x14ac:dyDescent="0.25">
      <c r="A14" t="s">
        <v>56</v>
      </c>
      <c r="B14" s="5">
        <v>0.09</v>
      </c>
    </row>
    <row r="15" spans="1:4" x14ac:dyDescent="0.25">
      <c r="A15" t="s">
        <v>57</v>
      </c>
      <c r="B15" s="5">
        <v>4.4900000000000002E-2</v>
      </c>
    </row>
    <row r="16" spans="1:4" x14ac:dyDescent="0.25">
      <c r="A16" t="s">
        <v>58</v>
      </c>
      <c r="B16" s="16">
        <v>1.25</v>
      </c>
    </row>
    <row r="17" spans="1:5" x14ac:dyDescent="0.25">
      <c r="A17" t="s">
        <v>59</v>
      </c>
      <c r="B17" s="5">
        <v>0.5</v>
      </c>
    </row>
    <row r="18" spans="1:5" x14ac:dyDescent="0.25">
      <c r="A18" t="s">
        <v>60</v>
      </c>
      <c r="B18" s="5">
        <f>1-B17</f>
        <v>0.5</v>
      </c>
    </row>
    <row r="19" spans="1:5" x14ac:dyDescent="0.25">
      <c r="B19" s="4"/>
    </row>
    <row r="20" spans="1:5" x14ac:dyDescent="0.25">
      <c r="A20" t="s">
        <v>61</v>
      </c>
      <c r="B20" s="5">
        <f>B13+(B14-B13)*B16</f>
        <v>0.105</v>
      </c>
    </row>
    <row r="22" spans="1:5" x14ac:dyDescent="0.25">
      <c r="A22" t="s">
        <v>62</v>
      </c>
      <c r="B22" s="15">
        <f>B20*B17+B15*(1-B10)*B18</f>
        <v>7.0011000000000004E-2</v>
      </c>
    </row>
    <row r="23" spans="1:5" x14ac:dyDescent="0.25">
      <c r="A23" t="s">
        <v>63</v>
      </c>
      <c r="B23" s="15">
        <v>7.0000000000000007E-2</v>
      </c>
    </row>
    <row r="25" spans="1:5" x14ac:dyDescent="0.25">
      <c r="A25" s="6" t="s">
        <v>13</v>
      </c>
      <c r="B25" s="7">
        <v>0</v>
      </c>
      <c r="C25" s="7">
        <v>1</v>
      </c>
      <c r="D25" s="7">
        <v>2</v>
      </c>
      <c r="E25" s="7">
        <v>3</v>
      </c>
    </row>
    <row r="26" spans="1:5" x14ac:dyDescent="0.25">
      <c r="A26" s="8" t="s">
        <v>64</v>
      </c>
      <c r="B26" s="9"/>
      <c r="C26" s="9">
        <f>B2*B3</f>
        <v>2400000</v>
      </c>
      <c r="D26" s="9">
        <f t="shared" ref="D26:E26" si="0">C2*C3</f>
        <v>3000000</v>
      </c>
      <c r="E26" s="9">
        <f t="shared" si="0"/>
        <v>2400000</v>
      </c>
    </row>
    <row r="27" spans="1:5" x14ac:dyDescent="0.25">
      <c r="A27" s="8" t="s">
        <v>65</v>
      </c>
      <c r="B27" s="9"/>
      <c r="C27" s="9">
        <f>-$B$5*B2</f>
        <v>-300000</v>
      </c>
      <c r="D27" s="9">
        <f>-$B$5*C2</f>
        <v>-500000</v>
      </c>
      <c r="E27" s="9">
        <f>-B5*D2</f>
        <v>-600000</v>
      </c>
    </row>
    <row r="28" spans="1:5" x14ac:dyDescent="0.25">
      <c r="A28" s="10" t="s">
        <v>14</v>
      </c>
      <c r="B28" s="11"/>
      <c r="C28" s="11">
        <f>-$B$6</f>
        <v>-1000000</v>
      </c>
      <c r="D28" s="11">
        <f t="shared" ref="D28:E28" si="1">-$B$6</f>
        <v>-1000000</v>
      </c>
      <c r="E28" s="11">
        <f t="shared" si="1"/>
        <v>-1000000</v>
      </c>
    </row>
    <row r="29" spans="1:5" x14ac:dyDescent="0.25">
      <c r="A29" s="8" t="s">
        <v>66</v>
      </c>
      <c r="B29" s="9"/>
      <c r="C29" s="9">
        <f>SUM(C26:C28)</f>
        <v>1100000</v>
      </c>
      <c r="D29" s="9">
        <f t="shared" ref="D29:E29" si="2">SUM(D26:D28)</f>
        <v>1500000</v>
      </c>
      <c r="E29" s="9">
        <f t="shared" si="2"/>
        <v>800000</v>
      </c>
    </row>
    <row r="30" spans="1:5" x14ac:dyDescent="0.25">
      <c r="A30" s="8" t="s">
        <v>53</v>
      </c>
      <c r="B30" s="9"/>
      <c r="C30" s="9">
        <f>-$B$10*C29</f>
        <v>-242000</v>
      </c>
      <c r="D30" s="9">
        <f t="shared" ref="D30:E30" si="3">-$B$10*D29</f>
        <v>-330000</v>
      </c>
      <c r="E30" s="9">
        <f t="shared" si="3"/>
        <v>-176000</v>
      </c>
    </row>
    <row r="31" spans="1:5" x14ac:dyDescent="0.25">
      <c r="A31" s="8" t="s">
        <v>12</v>
      </c>
      <c r="B31" s="9">
        <f>$B$11*(B26-C26)</f>
        <v>-240000</v>
      </c>
      <c r="C31" s="9">
        <f t="shared" ref="C31:E31" si="4">$B$11*(C26-D26)</f>
        <v>-60000</v>
      </c>
      <c r="D31" s="9">
        <f t="shared" si="4"/>
        <v>60000</v>
      </c>
      <c r="E31" s="9">
        <f t="shared" si="4"/>
        <v>240000</v>
      </c>
    </row>
    <row r="32" spans="1:5" x14ac:dyDescent="0.25">
      <c r="A32" s="8" t="s">
        <v>67</v>
      </c>
      <c r="B32" s="9">
        <f>-B7</f>
        <v>-2200000</v>
      </c>
      <c r="C32" s="9"/>
      <c r="D32" s="9"/>
      <c r="E32" s="9">
        <f>B8</f>
        <v>400000</v>
      </c>
    </row>
    <row r="33" spans="1:5" x14ac:dyDescent="0.25">
      <c r="A33" s="8" t="s">
        <v>68</v>
      </c>
      <c r="B33" s="9">
        <f>(-B32*B9*B10)/(B23+B9)</f>
        <v>358518.51851851848</v>
      </c>
      <c r="C33" s="9"/>
      <c r="D33" s="9"/>
      <c r="E33" s="9"/>
    </row>
    <row r="34" spans="1:5" x14ac:dyDescent="0.25">
      <c r="A34" s="10" t="s">
        <v>69</v>
      </c>
      <c r="B34" s="11">
        <f>-B8*B9*B10/((1+B23)^E25*(B23+B9))</f>
        <v>-53210.52827140368</v>
      </c>
      <c r="C34" s="11"/>
      <c r="D34" s="11"/>
      <c r="E34" s="11"/>
    </row>
    <row r="35" spans="1:5" x14ac:dyDescent="0.25">
      <c r="A35" s="12" t="s">
        <v>70</v>
      </c>
      <c r="B35" s="13">
        <f>SUM(B29:B34)</f>
        <v>-2134692.0097528854</v>
      </c>
      <c r="C35" s="13">
        <f t="shared" ref="C35:E35" si="5">SUM(C29:C34)</f>
        <v>798000</v>
      </c>
      <c r="D35" s="13">
        <f t="shared" si="5"/>
        <v>1230000</v>
      </c>
      <c r="E35" s="13">
        <f t="shared" si="5"/>
        <v>1264000</v>
      </c>
    </row>
    <row r="36" spans="1:5" x14ac:dyDescent="0.25">
      <c r="B36" s="14"/>
      <c r="C36" s="14"/>
      <c r="D36" s="14"/>
      <c r="E36" s="14"/>
    </row>
    <row r="37" spans="1:5" ht="12.75" customHeight="1" x14ac:dyDescent="0.25">
      <c r="A37" s="23" t="s">
        <v>71</v>
      </c>
      <c r="B37" s="78">
        <f>NPV(B22,C35:E35)+B35</f>
        <v>717170.958059486</v>
      </c>
      <c r="C37" s="14"/>
      <c r="D37" s="14"/>
      <c r="E3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2018-08-30T14:03:36Z</dcterms:created>
  <dcterms:modified xsi:type="dcterms:W3CDTF">2023-06-29T10:20:24Z</dcterms:modified>
  <cp:category/>
  <cp:contentStatus/>
</cp:coreProperties>
</file>