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w\Dropbox\Bokprosjekt\0Ingeniørbok\Oppgavetekst\Løsninger\"/>
    </mc:Choice>
  </mc:AlternateContent>
  <bookViews>
    <workbookView xWindow="0" yWindow="0" windowWidth="28800" windowHeight="12435"/>
  </bookViews>
  <sheets>
    <sheet name="10.1" sheetId="7" r:id="rId1"/>
    <sheet name="10.2" sheetId="8" r:id="rId2"/>
    <sheet name="10.3" sheetId="6" r:id="rId3"/>
    <sheet name="10.4" sheetId="9" r:id="rId4"/>
    <sheet name="10.5" sheetId="10" r:id="rId5"/>
    <sheet name="10.6" sheetId="1" r:id="rId6"/>
    <sheet name="10.7" sheetId="12" r:id="rId7"/>
    <sheet name="10.8" sheetId="2" r:id="rId8"/>
    <sheet name="10.9" sheetId="13" r:id="rId9"/>
    <sheet name="10.10" sheetId="11" r:id="rId10"/>
    <sheet name="10.11" sheetId="14" r:id="rId11"/>
    <sheet name="10.12" sheetId="15" r:id="rId12"/>
    <sheet name="10.13" sheetId="3" r:id="rId13"/>
    <sheet name="10.14" sheetId="16" r:id="rId14"/>
    <sheet name="10.15" sheetId="5" r:id="rId15"/>
    <sheet name="10.16" sheetId="4" r:id="rId16"/>
  </sheets>
  <calcPr calcId="152511"/>
</workbook>
</file>

<file path=xl/calcChain.xml><?xml version="1.0" encoding="utf-8"?>
<calcChain xmlns="http://schemas.openxmlformats.org/spreadsheetml/2006/main">
  <c r="B35" i="7" l="1"/>
  <c r="E35" i="16"/>
  <c r="B29" i="16"/>
  <c r="D28" i="16"/>
  <c r="D19" i="16"/>
  <c r="D18" i="16"/>
  <c r="D20" i="16"/>
  <c r="D22" i="16"/>
  <c r="D21" i="16"/>
  <c r="D14" i="16"/>
  <c r="B19" i="16"/>
  <c r="B18" i="16"/>
  <c r="E27" i="3"/>
  <c r="C11" i="15"/>
  <c r="C10" i="15"/>
  <c r="C9" i="15"/>
  <c r="C12" i="15"/>
  <c r="C7" i="14"/>
  <c r="C6" i="14"/>
  <c r="C5" i="14"/>
  <c r="C8" i="14"/>
  <c r="C9" i="11"/>
  <c r="C7" i="11"/>
  <c r="C10" i="11"/>
  <c r="C5" i="11"/>
  <c r="C25" i="13"/>
  <c r="B24" i="13"/>
  <c r="B25" i="13"/>
  <c r="B23" i="13"/>
  <c r="C20" i="13"/>
  <c r="C24" i="13"/>
  <c r="C21" i="13"/>
  <c r="C19" i="13"/>
  <c r="B21" i="13"/>
  <c r="B20" i="13"/>
  <c r="C13" i="12"/>
  <c r="C12" i="12"/>
  <c r="C14" i="12"/>
  <c r="C14" i="10"/>
  <c r="C12" i="10"/>
  <c r="C16" i="9"/>
  <c r="C17" i="9"/>
  <c r="C18" i="9"/>
  <c r="C19" i="9"/>
  <c r="C15" i="9"/>
  <c r="C7" i="9"/>
  <c r="C11" i="9"/>
  <c r="B16" i="9"/>
  <c r="D7" i="9"/>
  <c r="D11" i="9"/>
  <c r="D16" i="9"/>
  <c r="D17" i="9"/>
  <c r="E28" i="6"/>
  <c r="E29" i="6"/>
  <c r="E30" i="6"/>
  <c r="E8" i="6"/>
  <c r="E9" i="6"/>
  <c r="C9" i="8"/>
  <c r="C10" i="8"/>
  <c r="C11" i="8"/>
  <c r="B9" i="8"/>
  <c r="B32" i="7"/>
  <c r="B29" i="7"/>
  <c r="B22" i="7"/>
  <c r="B33" i="7"/>
  <c r="C11" i="7"/>
  <c r="C10" i="7"/>
  <c r="C12" i="7"/>
  <c r="F45" i="5"/>
  <c r="D40" i="5"/>
  <c r="E39" i="5"/>
  <c r="F39" i="5"/>
  <c r="D39" i="5"/>
  <c r="D38" i="5"/>
  <c r="E37" i="5"/>
  <c r="D37" i="5"/>
  <c r="F37" i="5"/>
  <c r="D36" i="5"/>
  <c r="E35" i="5"/>
  <c r="D35" i="5"/>
  <c r="F35" i="5"/>
  <c r="F41" i="5"/>
  <c r="F46" i="5"/>
  <c r="F34" i="5"/>
  <c r="F33" i="5"/>
  <c r="F32" i="5"/>
  <c r="F31" i="5"/>
  <c r="E31" i="5"/>
  <c r="F18" i="5"/>
  <c r="D13" i="5"/>
  <c r="E12" i="5"/>
  <c r="F12" i="5"/>
  <c r="D12" i="5"/>
  <c r="D11" i="5"/>
  <c r="E10" i="5"/>
  <c r="D10" i="5"/>
  <c r="F10" i="5"/>
  <c r="D9" i="5"/>
  <c r="E8" i="5"/>
  <c r="D8" i="5"/>
  <c r="F8" i="5"/>
  <c r="F14" i="5"/>
  <c r="F19" i="5"/>
  <c r="F7" i="5"/>
  <c r="F6" i="5"/>
  <c r="F5" i="5"/>
  <c r="F4" i="5"/>
  <c r="E4" i="5"/>
  <c r="E73" i="4"/>
  <c r="E72" i="4"/>
  <c r="E71" i="4"/>
  <c r="C73" i="4"/>
  <c r="C72" i="4"/>
  <c r="C71" i="4"/>
  <c r="E70" i="4"/>
  <c r="C70" i="4"/>
  <c r="C61" i="4"/>
  <c r="C62" i="4"/>
  <c r="C63" i="4"/>
  <c r="C60" i="4"/>
  <c r="E38" i="4"/>
  <c r="C38" i="4"/>
  <c r="F29" i="4"/>
  <c r="E41" i="4"/>
  <c r="F28" i="4"/>
  <c r="C40" i="4"/>
  <c r="F27" i="4"/>
  <c r="C39" i="4"/>
  <c r="D14" i="4"/>
  <c r="D8" i="4"/>
  <c r="D16" i="4"/>
  <c r="E32" i="3"/>
  <c r="B31" i="3"/>
  <c r="C23" i="3"/>
  <c r="G22" i="3"/>
  <c r="G21" i="3"/>
  <c r="C17" i="3"/>
  <c r="C16" i="3"/>
  <c r="G24" i="3"/>
  <c r="E10" i="3"/>
  <c r="D17" i="3"/>
  <c r="C25" i="3"/>
  <c r="E11" i="3"/>
  <c r="E9" i="3"/>
  <c r="D16" i="3"/>
  <c r="C24" i="3"/>
  <c r="C25" i="2"/>
  <c r="C19" i="2"/>
  <c r="C27" i="2"/>
  <c r="C18" i="2"/>
  <c r="C26" i="2"/>
  <c r="C14" i="2"/>
  <c r="C20" i="2"/>
  <c r="C9" i="2"/>
  <c r="C23" i="1"/>
  <c r="C24" i="1"/>
  <c r="C15" i="1"/>
  <c r="C13" i="1"/>
  <c r="C14" i="1"/>
  <c r="C74" i="4"/>
  <c r="C76" i="4"/>
  <c r="E39" i="4"/>
  <c r="C41" i="4"/>
  <c r="E74" i="4"/>
  <c r="E76" i="4"/>
  <c r="C21" i="4"/>
  <c r="F30" i="4"/>
  <c r="E40" i="4"/>
  <c r="D14" i="5"/>
  <c r="D41" i="5"/>
  <c r="D42" i="5"/>
  <c r="D43" i="5"/>
  <c r="D47" i="5"/>
  <c r="D15" i="5"/>
  <c r="D16" i="5"/>
  <c r="D20" i="5"/>
  <c r="C16" i="1"/>
  <c r="C14" i="7"/>
  <c r="C22" i="7"/>
  <c r="C17" i="1"/>
  <c r="C18" i="1"/>
  <c r="C20" i="1"/>
  <c r="C25" i="1"/>
  <c r="C23" i="7"/>
  <c r="C24" i="7"/>
  <c r="C33" i="7"/>
  <c r="C34" i="7"/>
  <c r="C35" i="7"/>
  <c r="G25" i="3"/>
  <c r="G23" i="3"/>
  <c r="G26" i="3"/>
  <c r="C22" i="13"/>
  <c r="C23" i="13"/>
  <c r="C28" i="2"/>
  <c r="C29" i="2"/>
  <c r="C15" i="12"/>
  <c r="C26" i="13"/>
  <c r="C30" i="2"/>
  <c r="C16" i="12"/>
  <c r="C17" i="12"/>
  <c r="C27" i="13"/>
  <c r="C28" i="13"/>
  <c r="C22" i="4"/>
  <c r="C23" i="4"/>
  <c r="C42" i="4"/>
  <c r="E42" i="4"/>
  <c r="E43" i="4"/>
  <c r="E44" i="4"/>
  <c r="D23" i="16"/>
  <c r="D25" i="16"/>
  <c r="D29" i="16"/>
  <c r="D30" i="16"/>
  <c r="G32" i="3"/>
  <c r="G28" i="3"/>
  <c r="D18" i="3"/>
  <c r="C25" i="7"/>
  <c r="C26" i="7"/>
  <c r="C26" i="3"/>
  <c r="C12" i="8"/>
  <c r="C13" i="8"/>
  <c r="C9" i="14"/>
  <c r="C10" i="14"/>
  <c r="C13" i="14"/>
  <c r="C14" i="14"/>
  <c r="C29" i="13"/>
  <c r="C30" i="13"/>
  <c r="C27" i="1"/>
  <c r="C43" i="4"/>
  <c r="C44" i="4"/>
  <c r="E31" i="6"/>
  <c r="E32" i="6"/>
  <c r="D18" i="9"/>
  <c r="D19" i="9"/>
  <c r="C11" i="11"/>
  <c r="C13" i="15"/>
  <c r="C14" i="15"/>
  <c r="C17" i="15"/>
  <c r="C18" i="15"/>
  <c r="C20" i="15"/>
  <c r="C18" i="12"/>
  <c r="C19" i="12"/>
  <c r="C13" i="10"/>
  <c r="C15" i="10"/>
  <c r="C17" i="10"/>
  <c r="C19" i="10"/>
  <c r="C21" i="10"/>
  <c r="C24" i="10"/>
  <c r="C16" i="10"/>
  <c r="C45" i="4"/>
  <c r="F81" i="4"/>
  <c r="C27" i="3"/>
  <c r="C28" i="3"/>
  <c r="C31" i="3"/>
  <c r="C32" i="3"/>
  <c r="C33" i="3"/>
  <c r="G31" i="3"/>
  <c r="G33" i="3"/>
  <c r="C46" i="4"/>
  <c r="E46" i="4"/>
  <c r="E45" i="4"/>
  <c r="C78" i="4"/>
  <c r="C77" i="4"/>
  <c r="E78" i="4"/>
  <c r="E77" i="4"/>
  <c r="F80" i="4"/>
  <c r="F82" i="4"/>
</calcChain>
</file>

<file path=xl/sharedStrings.xml><?xml version="1.0" encoding="utf-8"?>
<sst xmlns="http://schemas.openxmlformats.org/spreadsheetml/2006/main" count="499" uniqueCount="294">
  <si>
    <t>Antall rørleggere</t>
  </si>
  <si>
    <t>Gj.sn timelønn</t>
  </si>
  <si>
    <t>Gj.sn arbeidstid pr år</t>
  </si>
  <si>
    <t>timer</t>
  </si>
  <si>
    <t>Kalk tillegg for sos kostn</t>
  </si>
  <si>
    <t>av direkte lønn</t>
  </si>
  <si>
    <t>Andre ind kostn pr år</t>
  </si>
  <si>
    <t>Fortjenestelillegg</t>
  </si>
  <si>
    <t>Totalt pr år:</t>
  </si>
  <si>
    <t>Dir lønn</t>
  </si>
  <si>
    <t>Sosiale kostnader</t>
  </si>
  <si>
    <t>Selvkost</t>
  </si>
  <si>
    <t>Fortjeneste</t>
  </si>
  <si>
    <t>Sum fakturert pr år</t>
  </si>
  <si>
    <t>Timepris uten mva</t>
  </si>
  <si>
    <t xml:space="preserve">b) </t>
  </si>
  <si>
    <t>80% avanse</t>
  </si>
  <si>
    <t>Innkjøpspris deler</t>
  </si>
  <si>
    <t>Utsalgspris deler</t>
  </si>
  <si>
    <t>4 arbeidstimer</t>
  </si>
  <si>
    <t>Kjøring</t>
  </si>
  <si>
    <t>Sum faktura uten mva</t>
  </si>
  <si>
    <t>Selvkostkalkyler</t>
  </si>
  <si>
    <t>Budsjetterte indirekte kostnader</t>
  </si>
  <si>
    <t>Innkjøpsavd</t>
  </si>
  <si>
    <t>Tilvirkningsavd</t>
  </si>
  <si>
    <t>Salgs/adm avd</t>
  </si>
  <si>
    <t>Sum indir kostn</t>
  </si>
  <si>
    <t>Budsjetterte direkte kostnader</t>
  </si>
  <si>
    <t>Dir material</t>
  </si>
  <si>
    <t>Sum dir kostn</t>
  </si>
  <si>
    <t>Innkjøpsavd:</t>
  </si>
  <si>
    <t>Tilvirkningsavd:</t>
  </si>
  <si>
    <t>Salgs/adm avd:</t>
  </si>
  <si>
    <t>i % av dir material</t>
  </si>
  <si>
    <t>i % av dir lønn</t>
  </si>
  <si>
    <t>i % av tilvirkningskost</t>
  </si>
  <si>
    <t>b)</t>
  </si>
  <si>
    <t>Tillegg innkj.avd</t>
  </si>
  <si>
    <t>Tillegg tilv.avd</t>
  </si>
  <si>
    <t>Tilvirkningskost</t>
  </si>
  <si>
    <t>Tillegg salg/adm avd</t>
  </si>
  <si>
    <t>Budsjetterte indirekte kostnader:</t>
  </si>
  <si>
    <t>Materialavd</t>
  </si>
  <si>
    <t>Variable</t>
  </si>
  <si>
    <t>Faste</t>
  </si>
  <si>
    <t>Salgsavd</t>
  </si>
  <si>
    <t>Budsjetterte direkte kostnader:</t>
  </si>
  <si>
    <t>Fordelingsgrunnlag</t>
  </si>
  <si>
    <t xml:space="preserve">   Dir material</t>
  </si>
  <si>
    <t xml:space="preserve">   Dir lønn</t>
  </si>
  <si>
    <t xml:space="preserve">   Tilvirkningskost</t>
  </si>
  <si>
    <t>Ind var kostn</t>
  </si>
  <si>
    <t>Sum</t>
  </si>
  <si>
    <t>Bidragskalkyle:</t>
  </si>
  <si>
    <t>Selvkostkalkyle:</t>
  </si>
  <si>
    <t>Dir matr</t>
  </si>
  <si>
    <t>tillegg matr.avd (3%)</t>
  </si>
  <si>
    <t>tillegg matr.avd (1%)</t>
  </si>
  <si>
    <t>Var tilvirkningskost</t>
  </si>
  <si>
    <t>tillegg salgsavd.</t>
  </si>
  <si>
    <t xml:space="preserve">Selvkost </t>
  </si>
  <si>
    <t>Sum variable kostnader</t>
  </si>
  <si>
    <t>c)</t>
  </si>
  <si>
    <t>Pris uten mva</t>
  </si>
  <si>
    <t>Pris</t>
  </si>
  <si>
    <t>Dekningsbidrag</t>
  </si>
  <si>
    <t>Direkte kostnader</t>
  </si>
  <si>
    <t>Dir lønn avd 1</t>
  </si>
  <si>
    <t>Dir lønn avd 2</t>
  </si>
  <si>
    <t>Indir kostnader</t>
  </si>
  <si>
    <t>Tilvirkningsavd. 1</t>
  </si>
  <si>
    <t>Tilvirkningsavd. 2</t>
  </si>
  <si>
    <t>Salgs og adm avd</t>
  </si>
  <si>
    <t>Fortjenestetillegg:</t>
  </si>
  <si>
    <t>Tilvirkn.kost:</t>
  </si>
  <si>
    <t>Selvkost:</t>
  </si>
  <si>
    <t>Salgsinntekt:</t>
  </si>
  <si>
    <t>Kostnadssted (avdeling)</t>
  </si>
  <si>
    <t>Aktivitetsmål</t>
  </si>
  <si>
    <t>Sum dir kostnader</t>
  </si>
  <si>
    <t>till matr avd</t>
  </si>
  <si>
    <t>till tilvirkn.avd 1</t>
  </si>
  <si>
    <t>till tilvirkn.avd 2</t>
  </si>
  <si>
    <t>till salgs/adm avd</t>
  </si>
  <si>
    <t>Salgsinntekt</t>
  </si>
  <si>
    <t xml:space="preserve"> Ordre fra en kinesisk kunde</t>
  </si>
  <si>
    <t>c) Forkalkyle (selvkost)</t>
  </si>
  <si>
    <t>d) Etterkalkyle (selvkost)</t>
  </si>
  <si>
    <t>Fordeling av variable og faste indirekte kostnader:</t>
  </si>
  <si>
    <t xml:space="preserve">e) </t>
  </si>
  <si>
    <t>Forkalkyle (bidrag)</t>
  </si>
  <si>
    <t>Etterkalkyle (bidrag)</t>
  </si>
  <si>
    <t>Sum variable kostn</t>
  </si>
  <si>
    <t>(DM og DL 1 og DL2) så øker også de indirekte kostnadene i etterkalkylen</t>
  </si>
  <si>
    <t>faste indirekte (faste kostnader skal ikke variere med aktiviteten). Derfor</t>
  </si>
  <si>
    <t>etter bidragsmetoden. Se punkt e).</t>
  </si>
  <si>
    <t>Etterkalkyleresultat som kun hensyntar endring i var.kostn.</t>
  </si>
  <si>
    <t>Etterkalkylen viser et underskudd. Vi vet at når aktivitetsmålene øker</t>
  </si>
  <si>
    <t>Etter økningen i de direkte kostnadene blir det ikke et resultat på kr -9 600</t>
  </si>
  <si>
    <t>viser.</t>
  </si>
  <si>
    <t>Selvkostmetoden</t>
  </si>
  <si>
    <t>Bidragsmetoden</t>
  </si>
  <si>
    <t>Tilleggssats</t>
  </si>
  <si>
    <t>kr.</t>
  </si>
  <si>
    <t>DM</t>
  </si>
  <si>
    <t>DL avd 1</t>
  </si>
  <si>
    <t>DL avd 2</t>
  </si>
  <si>
    <t>Indir var mat. kostn.</t>
  </si>
  <si>
    <t>Indir faste matr. kostn.</t>
  </si>
  <si>
    <t>Indirekte var tilv. kostn avd 1</t>
  </si>
  <si>
    <t>Indir faste tilv. kostn avd 1</t>
  </si>
  <si>
    <t>Indir. var tilv. avd 2</t>
  </si>
  <si>
    <t>Indir faste tilv. kostn avd 2</t>
  </si>
  <si>
    <t>Tilvirkningskost/ -merkost</t>
  </si>
  <si>
    <t>Indir faste s/a kostnader</t>
  </si>
  <si>
    <t>Inntekt</t>
  </si>
  <si>
    <t>Etterkalkyle</t>
  </si>
  <si>
    <t>Ettersom dette er en tilleggsordre vil ordren gi et positivt DB (629 500) og vil bli akseptert siden de</t>
  </si>
  <si>
    <t>faste kostnadene er dekket av den ordinære virksomheten. Resultatet vil øke med kr 629 500 dersom</t>
  </si>
  <si>
    <t xml:space="preserve">ordren aksepteres. </t>
  </si>
  <si>
    <t>(Dersom det ikke var en tilleggsordre ville vi ikke få dekket selvkost og vi hadde solgt ordren med tap.</t>
  </si>
  <si>
    <t xml:space="preserve">I dette tilfellet vil vi ikke akseptert ordren). </t>
  </si>
  <si>
    <t>a)</t>
  </si>
  <si>
    <t>Jeg kopierer regnearket i fra del a) og bytter ut inndataene. Vi har tidligere slått fast at dette er en</t>
  </si>
  <si>
    <t>tilleggsordre som ikke trenger å dekke de faste kostnadene. Derfor er det etterkalkylen etter</t>
  </si>
  <si>
    <t>bidragsmetoden som er interessant. Vi ser at tross økningen i kostnader er det fremdeles et positivt</t>
  </si>
  <si>
    <t xml:space="preserve">dekket av den ordinære produksjonen. </t>
  </si>
  <si>
    <t>Inndata:</t>
  </si>
  <si>
    <t>Innkjøpspris per enhet</t>
  </si>
  <si>
    <t>Frakt og forsikring</t>
  </si>
  <si>
    <t>Antall enheter</t>
  </si>
  <si>
    <t>Utdata:</t>
  </si>
  <si>
    <t>Fordelt frakt/forsikring</t>
  </si>
  <si>
    <t>(1 900/10)</t>
  </si>
  <si>
    <t>Inntakskost per sykkel</t>
  </si>
  <si>
    <t>Inntakskost varepartiet</t>
  </si>
  <si>
    <t>(2 590*10 enheter)</t>
  </si>
  <si>
    <t>Tillegg inndata:</t>
  </si>
  <si>
    <t>Indirekte kostnader</t>
  </si>
  <si>
    <t>+indirekte kostnader</t>
  </si>
  <si>
    <t>(2 590 * 60 %)</t>
  </si>
  <si>
    <t>=selvkost</t>
  </si>
  <si>
    <t>+Fortjeneste</t>
  </si>
  <si>
    <t>(4 144 * 15 %)</t>
  </si>
  <si>
    <t>=Salspris u/mva</t>
  </si>
  <si>
    <t>Avansetillegg</t>
  </si>
  <si>
    <t>+Avansetillegg</t>
  </si>
  <si>
    <t>(2 590 * 90 %)</t>
  </si>
  <si>
    <t>Inntakskost per enhet</t>
  </si>
  <si>
    <t xml:space="preserve">Avanse = indirekte kostnader + fortjeneste = 800 + 560 = 1 360 </t>
  </si>
  <si>
    <t>Avanseprosent = 1 360 * 100 % / 2 000 = 68 %</t>
  </si>
  <si>
    <t>Lønnskostnad</t>
  </si>
  <si>
    <t>Andre driftskostnader</t>
  </si>
  <si>
    <t>Rentekostnader</t>
  </si>
  <si>
    <t>Varesalg</t>
  </si>
  <si>
    <t>kr</t>
  </si>
  <si>
    <t>Varekostnader</t>
  </si>
  <si>
    <t>Husleiekostnad</t>
  </si>
  <si>
    <t>(sum indirekte kostnader)</t>
  </si>
  <si>
    <t>Sum indirekte kostnader i prosent : ( 1 100 000 * 100 % ) / 2 200 000 = 50 %</t>
  </si>
  <si>
    <t>Resultat (fortjeneste)</t>
  </si>
  <si>
    <t>Avansen i kr: (3 600 000 - 2 200 000 ) = kr 1 400 000</t>
  </si>
  <si>
    <t>Fortjenesten kr (1 400 000 - 1 100 000 ) = kr 300 000</t>
  </si>
  <si>
    <t>Selvkost kr (2 200 000 + 1 100 000 ) = kr 3 300 000</t>
  </si>
  <si>
    <t>Fortjenesten i prosent: (300 000 * 100 % ) / 3 300 000 = 9,1 %</t>
  </si>
  <si>
    <t>Avansen i prosent av varekostnad: (1 400 000 * 100 % ) / 2 200 000 = 63,6 %</t>
  </si>
  <si>
    <t>d)</t>
  </si>
  <si>
    <t>Brutto fortjenesten = avansen = kr 1 400 000</t>
  </si>
  <si>
    <t>Bruttofortjenesten i prosent av salgsinntekt: (1 400 000 * 100 % ) / 3 600 000 = 38,9 %</t>
  </si>
  <si>
    <t xml:space="preserve">Innkjøpsverdi </t>
  </si>
  <si>
    <t>+ direkte kjøpskostnader</t>
  </si>
  <si>
    <t>= Inntakskost</t>
  </si>
  <si>
    <t xml:space="preserve">+ indirekte kostnader, kr 20 000 * 0,5 </t>
  </si>
  <si>
    <t>= Selvkost</t>
  </si>
  <si>
    <t xml:space="preserve">+ fortjeneste, kr 30 000 * 0,091 </t>
  </si>
  <si>
    <t xml:space="preserve">= Salgsverdi </t>
  </si>
  <si>
    <t>e)</t>
  </si>
  <si>
    <t>Bilkostnader</t>
  </si>
  <si>
    <t>Avskrivninger på utstyr og verktøy</t>
  </si>
  <si>
    <t>Administrasjonskostnader</t>
  </si>
  <si>
    <t>Diverse indirekte kostnader</t>
  </si>
  <si>
    <t>Sum indirekte kostnader</t>
  </si>
  <si>
    <t>Antall arbeidstimer årlig</t>
  </si>
  <si>
    <t>Indirekte kostnader per time</t>
  </si>
  <si>
    <t>Beregning av timepris:</t>
  </si>
  <si>
    <t>Lønn</t>
  </si>
  <si>
    <t>Selvkost per time</t>
  </si>
  <si>
    <t>12 % fortjeneste (375 * 0,12)</t>
  </si>
  <si>
    <t>Ønsket fortjeneste</t>
  </si>
  <si>
    <t>Timelønn</t>
  </si>
  <si>
    <t>Arbeidstimer</t>
  </si>
  <si>
    <t>Øvrige indirekte kostnader per år</t>
  </si>
  <si>
    <t>Antall ansatte</t>
  </si>
  <si>
    <t>Fakturerbare timer per ansatt</t>
  </si>
  <si>
    <t>Direkte lønn (250 * 1 800 * 5)</t>
  </si>
  <si>
    <t>Sosiale kostnader (2 250 000 * 0,38)</t>
  </si>
  <si>
    <t>Andre indirekte kostnader</t>
  </si>
  <si>
    <t>fortjeneste (3 762 700 * 0,10)</t>
  </si>
  <si>
    <t>Sum som skal faktureres</t>
  </si>
  <si>
    <t>Timepris uten mva (4 138 970/(1 450 * 5))</t>
  </si>
  <si>
    <t>Arbeid: 3,5 timer à 571</t>
  </si>
  <si>
    <t>Deler</t>
  </si>
  <si>
    <t>Verkstedmateriell</t>
  </si>
  <si>
    <t>Fakturasum (uten mva)</t>
  </si>
  <si>
    <t>Kalkulert timesats</t>
  </si>
  <si>
    <t>Fortjeneste:</t>
  </si>
  <si>
    <t>i % av selvkost</t>
  </si>
  <si>
    <t>Salgspris (uten mva.)</t>
  </si>
  <si>
    <t>Tilleggssatser:</t>
  </si>
  <si>
    <t>Kalkyle:</t>
  </si>
  <si>
    <t>Tilvirkningsavd 1:</t>
  </si>
  <si>
    <t>Tilvirkningsavd 2:</t>
  </si>
  <si>
    <t>per maskintime</t>
  </si>
  <si>
    <t>av selvkost</t>
  </si>
  <si>
    <t>Opplysninger om ordre:</t>
  </si>
  <si>
    <t>Direkte lønn avdeling 1</t>
  </si>
  <si>
    <t>Direkte lønn avdeling 2</t>
  </si>
  <si>
    <t>Direkte material</t>
  </si>
  <si>
    <t>Antall maskintimer</t>
  </si>
  <si>
    <t>Forutsetning: Alle innkjøpskostnadene er variable.</t>
  </si>
  <si>
    <t>Innkjøpsverdi (200 *20 * 6,5)</t>
  </si>
  <si>
    <t>+ frakt, assuranse, toll etc.</t>
  </si>
  <si>
    <t>Antatt salgssum (2 500 * 20)</t>
  </si>
  <si>
    <t>- sum variable kostnader</t>
  </si>
  <si>
    <t>Totalt dekningsbidrag</t>
  </si>
  <si>
    <t>Syklene gir et positivt dekningsbidrag. Selv om det betyr en resultatforbedring er</t>
  </si>
  <si>
    <t>det store spørsmålet om de faste kostnadene kan holdes på nåværende nivå.</t>
  </si>
  <si>
    <t>Samme oppsett som ovenfor, men med aktuell kurs på USD. En eventuell høyere</t>
  </si>
  <si>
    <t>kurs på USD vil gi lavere dekningsbidrag og dermed bidra mindre til resultatet.</t>
  </si>
  <si>
    <t>Direkte lønn</t>
  </si>
  <si>
    <t>Sum direkte kostnader</t>
  </si>
  <si>
    <t>5 % tillegg materialavdelingen</t>
  </si>
  <si>
    <t>20 % tillegg tilvirkningsavdelingen</t>
  </si>
  <si>
    <t>Sum variable tilvirkningskostnader</t>
  </si>
  <si>
    <t>2 % tillegg salgs- og adm.avdelingen</t>
  </si>
  <si>
    <t>Salgspris</t>
  </si>
  <si>
    <t>tillegg materialavdelingen</t>
  </si>
  <si>
    <t>tillegg tilvirkningsavdelingen</t>
  </si>
  <si>
    <t>tillegg salgs- og adm.avdelingen</t>
  </si>
  <si>
    <t>4 % tillegg materialavdelingen</t>
  </si>
  <si>
    <t>30 % tillegg tilvirkningsavdelingen</t>
  </si>
  <si>
    <t>5 % tillegg salgs- og adm.avdelingen</t>
  </si>
  <si>
    <t>Dekningsbidrag i prosent</t>
  </si>
  <si>
    <t>(7 601,70 * 100 % / 15 000)</t>
  </si>
  <si>
    <t>Dekningsbidrag i prosent er det samme som dekningsgraden</t>
  </si>
  <si>
    <t>Sum ind kostn</t>
  </si>
  <si>
    <t>tillegg tilvirkn.avd.(81,82%)</t>
  </si>
  <si>
    <t>tillegg tilvirkn.avd. (31,82%)</t>
  </si>
  <si>
    <t>Dersom det er vesentlig å få oversikt over også de faste kostnadene vil selvkostmetoden være å</t>
  </si>
  <si>
    <t>d) i forrige oppgave.</t>
  </si>
  <si>
    <t>foretrekke, under forutsetning av at vi kan fordele de faste kostnadene på produktene. Se også løsning</t>
  </si>
  <si>
    <t>Ved bruk av bidragsmetoden unngår man problemet med å fordele de faste kostnadene på</t>
  </si>
  <si>
    <t>produktene. Uansett må dekningsbidraget være stort nok til å dekke FTK og overskudd selv</t>
  </si>
  <si>
    <t>om man kalkulerer detter bidragsmetoden. I en situasjon med ledig kapasitet vil hele</t>
  </si>
  <si>
    <t>dekningsbidraget øke overskuddet siden de faste kostnadene er dekket av den ordinære</t>
  </si>
  <si>
    <t>aktiviteten.</t>
  </si>
  <si>
    <t>Det dreier seg her om en tilleggsordre. Forutsatt at bedriften allerede får dekket sine faste kostnader</t>
  </si>
  <si>
    <t>ved det normale salget på hjemmemarkedet, kan Ishol tillate seg å benytte bidragskalkyle på denne</t>
  </si>
  <si>
    <t>Var. ind. kostn</t>
  </si>
  <si>
    <t>Sum ind. kostn</t>
  </si>
  <si>
    <t>Salg/adm.</t>
  </si>
  <si>
    <t>Per enhet</t>
  </si>
  <si>
    <t>tillegg matr.avd (3 %)</t>
  </si>
  <si>
    <t>tillegg tilvirkn.avd. (30 %)</t>
  </si>
  <si>
    <t>Variabel tilvirkningskost</t>
  </si>
  <si>
    <t>Bidragskalkyle per enhet:</t>
  </si>
  <si>
    <t>Oppgitt salgssum</t>
  </si>
  <si>
    <t>Hele partiet</t>
  </si>
  <si>
    <t>Totalt dekningsbidrag hele partiet:</t>
  </si>
  <si>
    <t>DB</t>
  </si>
  <si>
    <t>Ved å sette inn 1 950 i celle C12 i modellen under punkt a) vil det totale</t>
  </si>
  <si>
    <t xml:space="preserve">dekningsbidraget bli redusert til kr 61 150,  men siden det fremdeles er </t>
  </si>
  <si>
    <t xml:space="preserve">positivt vil det bidra til å øke resultatet. </t>
  </si>
  <si>
    <t>ordren. Resultatet vil øke dersom dekningsbidraget &gt; 0.</t>
  </si>
  <si>
    <t>Siden DB&gt;0 bør ordren aksepteres.</t>
  </si>
  <si>
    <t>DB (og resultatet) vil øke med kr 107 500.</t>
  </si>
  <si>
    <t xml:space="preserve">Ny materialkostnad per enhet blir 1 500 * 1,3 = </t>
  </si>
  <si>
    <t>dekningsbidrag (kr 426 400). Overskuddet vil derfor øke med kr 426 400 siden de faste kostnadene er</t>
  </si>
  <si>
    <t>For normalmåneden:</t>
  </si>
  <si>
    <t>Klikk på cellene i regnearket for å se cellereferansene (beregningene)</t>
  </si>
  <si>
    <t>=Salgspris u/mva</t>
  </si>
  <si>
    <t>Aktivitetsmål for indirekte kostnader og tilleggssatser:</t>
  </si>
  <si>
    <t xml:space="preserve">Se kommentarer til svaret på spørsmål d). Det blir mer "riktig" å sette </t>
  </si>
  <si>
    <t>kostnader (som ikke påvirkes av variasjonene i aktivitet).</t>
  </si>
  <si>
    <t>som etterkalkylen angir, men et overskudd på kr 131 400 som beregningen over</t>
  </si>
  <si>
    <t xml:space="preserve">Det kan forsvares for de variable indirekte kostnadene, men ikke for de </t>
  </si>
  <si>
    <t xml:space="preserve">vil nok resultatet bli bedre enn - 9600. Vi bør dersom kun sammenligne økningen </t>
  </si>
  <si>
    <t>i de variable kostnadene. Det får vi frem ved å sette opp for- og etterkalkylen</t>
  </si>
  <si>
    <t>Reduksjonen i DB tilsvarer endringen i variable kostnader</t>
  </si>
  <si>
    <t>Forkalkylen etter selvkostmetoden viste et resultat på</t>
  </si>
  <si>
    <t>opp etterkalkylen etter bidragsmetoden siden denne ikke inkluderer faste</t>
  </si>
  <si>
    <t>Driftsregnskap for en normalmåned:</t>
  </si>
  <si>
    <t>Budsjettert ant fakt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</si>
</sst>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5" formatCode="0.0\ %"/>
    <numFmt numFmtId="166" formatCode="_(* #,##0.00_);_(* \(#,##0.00\);_(* &quot;-&quot;??_);_(@_)"/>
    <numFmt numFmtId="167" formatCode="_(* #,##0_);_(* \(#,##0\);_(* &quot;-&quot;??_);_(@_)"/>
    <numFmt numFmtId="168" formatCode="_(&quot;kr&quot;\ * #,##0.00_);_(&quot;kr&quot;\ * \(#,##0.00\);_(&quot;kr&quot;\ * &quot;-&quot;??_);_(@_)"/>
    <numFmt numFmtId="180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Frutiger 45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9">
    <xf numFmtId="0" fontId="0" fillId="0" borderId="0" xfId="0"/>
    <xf numFmtId="3" fontId="0" fillId="0" borderId="0" xfId="0" applyNumberFormat="1"/>
    <xf numFmtId="9" fontId="4" fillId="0" borderId="0" xfId="6" applyFont="1"/>
    <xf numFmtId="3" fontId="5" fillId="0" borderId="0" xfId="0" applyNumberFormat="1" applyFont="1"/>
    <xf numFmtId="4" fontId="0" fillId="0" borderId="0" xfId="0" applyNumberFormat="1"/>
    <xf numFmtId="4" fontId="5" fillId="0" borderId="0" xfId="0" applyNumberFormat="1" applyFont="1"/>
    <xf numFmtId="10" fontId="4" fillId="0" borderId="0" xfId="6" applyNumberFormat="1" applyFont="1"/>
    <xf numFmtId="9" fontId="4" fillId="0" borderId="0" xfId="6" applyFont="1"/>
    <xf numFmtId="165" fontId="4" fillId="0" borderId="0" xfId="6" applyNumberFormat="1" applyFont="1"/>
    <xf numFmtId="0" fontId="5" fillId="0" borderId="0" xfId="0" applyFont="1"/>
    <xf numFmtId="3" fontId="0" fillId="0" borderId="0" xfId="0" applyNumberFormat="1" applyFont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ont="1" applyBorder="1"/>
    <xf numFmtId="0" fontId="1" fillId="0" borderId="0" xfId="4"/>
    <xf numFmtId="0" fontId="1" fillId="0" borderId="0" xfId="4" applyAlignment="1">
      <alignment horizontal="center"/>
    </xf>
    <xf numFmtId="167" fontId="4" fillId="0" borderId="0" xfId="2" applyNumberFormat="1" applyFont="1"/>
    <xf numFmtId="167" fontId="1" fillId="0" borderId="0" xfId="4" applyNumberFormat="1"/>
    <xf numFmtId="9" fontId="4" fillId="0" borderId="0" xfId="7" applyFont="1"/>
    <xf numFmtId="0" fontId="1" fillId="0" borderId="0" xfId="4" quotePrefix="1" applyAlignment="1">
      <alignment horizontal="left"/>
    </xf>
    <xf numFmtId="9" fontId="1" fillId="0" borderId="0" xfId="4" applyNumberFormat="1"/>
    <xf numFmtId="168" fontId="4" fillId="0" borderId="0" xfId="8" applyFont="1"/>
    <xf numFmtId="0" fontId="1" fillId="0" borderId="2" xfId="4" quotePrefix="1" applyBorder="1" applyAlignment="1">
      <alignment horizontal="left"/>
    </xf>
    <xf numFmtId="9" fontId="4" fillId="0" borderId="2" xfId="7" applyFont="1" applyBorder="1"/>
    <xf numFmtId="167" fontId="4" fillId="0" borderId="2" xfId="2" applyNumberFormat="1" applyFont="1" applyBorder="1"/>
    <xf numFmtId="0" fontId="1" fillId="0" borderId="2" xfId="4" applyBorder="1"/>
    <xf numFmtId="0" fontId="1" fillId="0" borderId="0" xfId="4" applyAlignment="1">
      <alignment horizontal="left"/>
    </xf>
    <xf numFmtId="0" fontId="1" fillId="0" borderId="2" xfId="4" applyBorder="1" applyAlignment="1">
      <alignment horizontal="left"/>
    </xf>
    <xf numFmtId="0" fontId="2" fillId="0" borderId="0" xfId="5"/>
    <xf numFmtId="0" fontId="3" fillId="0" borderId="0" xfId="5" applyFont="1"/>
    <xf numFmtId="166" fontId="4" fillId="0" borderId="0" xfId="3" applyFont="1"/>
    <xf numFmtId="0" fontId="2" fillId="0" borderId="3" xfId="5" applyBorder="1"/>
    <xf numFmtId="166" fontId="4" fillId="0" borderId="3" xfId="3" applyFont="1" applyBorder="1"/>
    <xf numFmtId="0" fontId="2" fillId="0" borderId="1" xfId="5" applyBorder="1"/>
    <xf numFmtId="166" fontId="4" fillId="0" borderId="1" xfId="3" applyFont="1" applyBorder="1"/>
    <xf numFmtId="9" fontId="4" fillId="0" borderId="0" xfId="3" applyNumberFormat="1" applyFont="1"/>
    <xf numFmtId="0" fontId="2" fillId="0" borderId="2" xfId="5" quotePrefix="1" applyBorder="1"/>
    <xf numFmtId="166" fontId="4" fillId="0" borderId="2" xfId="3" applyFont="1" applyBorder="1"/>
    <xf numFmtId="0" fontId="2" fillId="0" borderId="0" xfId="5" quotePrefix="1"/>
    <xf numFmtId="0" fontId="2" fillId="0" borderId="3" xfId="5" quotePrefix="1" applyBorder="1"/>
    <xf numFmtId="0" fontId="2" fillId="0" borderId="0" xfId="5" applyFill="1" applyBorder="1"/>
    <xf numFmtId="9" fontId="2" fillId="0" borderId="0" xfId="5" applyNumberFormat="1"/>
    <xf numFmtId="166" fontId="2" fillId="0" borderId="0" xfId="3"/>
    <xf numFmtId="9" fontId="2" fillId="0" borderId="0" xfId="3" applyNumberFormat="1"/>
    <xf numFmtId="0" fontId="2" fillId="0" borderId="2" xfId="5" applyBorder="1"/>
    <xf numFmtId="167" fontId="2" fillId="0" borderId="0" xfId="3" applyNumberFormat="1"/>
    <xf numFmtId="167" fontId="2" fillId="0" borderId="3" xfId="3" applyNumberFormat="1" applyBorder="1"/>
    <xf numFmtId="0" fontId="6" fillId="0" borderId="0" xfId="0" applyFont="1" applyAlignment="1">
      <alignment vertical="center" wrapText="1"/>
    </xf>
    <xf numFmtId="0" fontId="0" fillId="0" borderId="0" xfId="0" applyFont="1"/>
    <xf numFmtId="0" fontId="7" fillId="0" borderId="0" xfId="0" applyFont="1"/>
    <xf numFmtId="3" fontId="7" fillId="0" borderId="0" xfId="0" applyNumberFormat="1" applyFont="1"/>
    <xf numFmtId="3" fontId="7" fillId="0" borderId="1" xfId="0" applyNumberFormat="1" applyFont="1" applyBorder="1"/>
    <xf numFmtId="0" fontId="7" fillId="0" borderId="0" xfId="0" quotePrefix="1" applyFont="1"/>
    <xf numFmtId="3" fontId="7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2" xfId="0" quotePrefix="1" applyFont="1" applyBorder="1"/>
    <xf numFmtId="0" fontId="7" fillId="0" borderId="2" xfId="0" applyFont="1" applyBorder="1"/>
    <xf numFmtId="3" fontId="7" fillId="0" borderId="2" xfId="0" applyNumberFormat="1" applyFont="1" applyBorder="1" applyAlignment="1">
      <alignment horizontal="right" vertical="center" wrapText="1"/>
    </xf>
    <xf numFmtId="9" fontId="0" fillId="0" borderId="0" xfId="0" applyNumberFormat="1"/>
    <xf numFmtId="0" fontId="0" fillId="0" borderId="0" xfId="0" applyFont="1" applyAlignment="1">
      <alignment wrapText="1"/>
    </xf>
    <xf numFmtId="9" fontId="0" fillId="0" borderId="0" xfId="0" applyNumberFormat="1" applyFont="1"/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/>
    <xf numFmtId="0" fontId="0" fillId="0" borderId="2" xfId="0" applyBorder="1"/>
    <xf numFmtId="180" fontId="4" fillId="0" borderId="0" xfId="1" applyNumberFormat="1" applyFont="1"/>
    <xf numFmtId="180" fontId="4" fillId="0" borderId="2" xfId="1" applyNumberFormat="1" applyFont="1" applyBorder="1"/>
    <xf numFmtId="43" fontId="4" fillId="0" borderId="0" xfId="1" applyNumberFormat="1" applyFont="1"/>
    <xf numFmtId="43" fontId="4" fillId="0" borderId="2" xfId="1" applyNumberFormat="1" applyFont="1" applyBorder="1"/>
    <xf numFmtId="43" fontId="4" fillId="0" borderId="1" xfId="1" applyNumberFormat="1" applyFont="1" applyBorder="1"/>
    <xf numFmtId="3" fontId="0" fillId="0" borderId="2" xfId="0" applyNumberFormat="1" applyBorder="1"/>
    <xf numFmtId="3" fontId="5" fillId="0" borderId="2" xfId="0" applyNumberFormat="1" applyFont="1" applyBorder="1"/>
    <xf numFmtId="4" fontId="0" fillId="0" borderId="2" xfId="0" applyNumberFormat="1" applyBorder="1"/>
    <xf numFmtId="4" fontId="5" fillId="0" borderId="2" xfId="0" applyNumberFormat="1" applyFont="1" applyBorder="1"/>
    <xf numFmtId="3" fontId="0" fillId="0" borderId="0" xfId="0" applyNumberFormat="1" applyBorder="1"/>
    <xf numFmtId="4" fontId="5" fillId="0" borderId="0" xfId="0" applyNumberFormat="1" applyFont="1" applyBorder="1"/>
    <xf numFmtId="43" fontId="4" fillId="0" borderId="0" xfId="1" applyFont="1"/>
    <xf numFmtId="43" fontId="4" fillId="0" borderId="2" xfId="1" applyFont="1" applyBorder="1"/>
    <xf numFmtId="43" fontId="0" fillId="0" borderId="0" xfId="0" applyNumberFormat="1"/>
    <xf numFmtId="43" fontId="0" fillId="0" borderId="2" xfId="0" applyNumberFormat="1" applyBorder="1"/>
    <xf numFmtId="10" fontId="4" fillId="0" borderId="0" xfId="6" applyNumberFormat="1" applyFont="1"/>
    <xf numFmtId="0" fontId="0" fillId="0" borderId="4" xfId="0" applyBorder="1"/>
    <xf numFmtId="3" fontId="0" fillId="0" borderId="4" xfId="0" applyNumberFormat="1" applyBorder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0" fontId="4" fillId="0" borderId="4" xfId="6" applyNumberFormat="1" applyFont="1" applyBorder="1"/>
    <xf numFmtId="180" fontId="4" fillId="0" borderId="0" xfId="1" applyNumberFormat="1" applyFont="1"/>
    <xf numFmtId="180" fontId="4" fillId="0" borderId="0" xfId="1" applyNumberFormat="1" applyFont="1" applyAlignment="1">
      <alignment horizontal="left" vertical="center"/>
    </xf>
    <xf numFmtId="9" fontId="4" fillId="0" borderId="4" xfId="6" applyFont="1" applyBorder="1"/>
    <xf numFmtId="9" fontId="4" fillId="0" borderId="4" xfId="6" applyFont="1" applyBorder="1" applyAlignment="1">
      <alignment horizontal="center"/>
    </xf>
    <xf numFmtId="180" fontId="4" fillId="0" borderId="2" xfId="1" applyNumberFormat="1" applyFont="1" applyBorder="1"/>
    <xf numFmtId="167" fontId="1" fillId="0" borderId="0" xfId="4" applyNumberFormat="1" applyFont="1"/>
    <xf numFmtId="0" fontId="1" fillId="0" borderId="0" xfId="4" applyFont="1"/>
    <xf numFmtId="167" fontId="8" fillId="0" borderId="0" xfId="2" applyNumberFormat="1" applyFont="1"/>
    <xf numFmtId="0" fontId="1" fillId="0" borderId="2" xfId="4" applyFont="1" applyBorder="1"/>
    <xf numFmtId="0" fontId="3" fillId="0" borderId="0" xfId="4" applyFont="1" applyAlignment="1">
      <alignment horizontal="left"/>
    </xf>
    <xf numFmtId="0" fontId="3" fillId="0" borderId="0" xfId="4" applyFont="1"/>
    <xf numFmtId="167" fontId="9" fillId="0" borderId="0" xfId="2" applyNumberFormat="1" applyFont="1"/>
    <xf numFmtId="167" fontId="3" fillId="0" borderId="0" xfId="4" applyNumberFormat="1" applyFont="1"/>
    <xf numFmtId="3" fontId="9" fillId="0" borderId="0" xfId="2" applyNumberFormat="1" applyFont="1"/>
    <xf numFmtId="0" fontId="1" fillId="0" borderId="3" xfId="5" quotePrefix="1" applyFont="1" applyBorder="1"/>
    <xf numFmtId="0" fontId="10" fillId="0" borderId="0" xfId="0" applyFont="1"/>
    <xf numFmtId="3" fontId="0" fillId="0" borderId="0" xfId="0" applyNumberFormat="1" applyAlignment="1">
      <alignment horizontal="center"/>
    </xf>
    <xf numFmtId="0" fontId="1" fillId="0" borderId="0" xfId="4" applyAlignment="1">
      <alignment horizontal="center"/>
    </xf>
  </cellXfs>
  <cellStyles count="9">
    <cellStyle name="Komma" xfId="1" builtinId="3"/>
    <cellStyle name="Komma 2" xfId="2"/>
    <cellStyle name="Komma 3" xfId="3"/>
    <cellStyle name="Normal" xfId="0" builtinId="0"/>
    <cellStyle name="Normal 2" xfId="4"/>
    <cellStyle name="Normal 3" xfId="5"/>
    <cellStyle name="Prosent" xfId="6" builtinId="5"/>
    <cellStyle name="Prosent 2" xfId="7"/>
    <cellStyle name="Valuta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>
      <selection activeCell="G26" sqref="G26"/>
    </sheetView>
  </sheetViews>
  <sheetFormatPr baseColWidth="10" defaultRowHeight="12.75"/>
  <cols>
    <col min="1" max="1" width="4.140625" style="28" customWidth="1"/>
    <col min="2" max="2" width="19.28515625" style="28" bestFit="1" customWidth="1"/>
    <col min="3" max="256" width="9.140625" style="28" customWidth="1"/>
    <col min="257" max="16384" width="11.42578125" style="28"/>
  </cols>
  <sheetData>
    <row r="1" spans="1:4">
      <c r="A1" s="29" t="s">
        <v>280</v>
      </c>
    </row>
    <row r="3" spans="1:4">
      <c r="A3" s="28" t="s">
        <v>123</v>
      </c>
      <c r="B3" s="29" t="s">
        <v>128</v>
      </c>
    </row>
    <row r="4" spans="1:4" ht="15">
      <c r="B4" s="28" t="s">
        <v>129</v>
      </c>
      <c r="C4" s="30">
        <v>2400</v>
      </c>
    </row>
    <row r="5" spans="1:4" ht="15">
      <c r="B5" s="28" t="s">
        <v>130</v>
      </c>
      <c r="C5" s="30">
        <v>1900</v>
      </c>
    </row>
    <row r="6" spans="1:4" ht="15">
      <c r="B6" s="28" t="s">
        <v>131</v>
      </c>
      <c r="C6" s="30">
        <v>10</v>
      </c>
    </row>
    <row r="7" spans="1:4" ht="15">
      <c r="C7" s="30"/>
    </row>
    <row r="8" spans="1:4" ht="15">
      <c r="B8" s="29" t="s">
        <v>132</v>
      </c>
      <c r="C8" s="30"/>
    </row>
    <row r="9" spans="1:4" ht="15">
      <c r="C9" s="30"/>
    </row>
    <row r="10" spans="1:4" ht="15">
      <c r="B10" s="28" t="s">
        <v>129</v>
      </c>
      <c r="C10" s="30">
        <f>C4</f>
        <v>2400</v>
      </c>
    </row>
    <row r="11" spans="1:4" ht="15">
      <c r="B11" s="28" t="s">
        <v>133</v>
      </c>
      <c r="C11" s="30">
        <f>C5/C6</f>
        <v>190</v>
      </c>
      <c r="D11" s="28" t="s">
        <v>134</v>
      </c>
    </row>
    <row r="12" spans="1:4" ht="15.75" thickBot="1">
      <c r="B12" s="31" t="s">
        <v>135</v>
      </c>
      <c r="C12" s="32">
        <f>SUM(C10:C11)</f>
        <v>2590</v>
      </c>
    </row>
    <row r="13" spans="1:4" ht="15.75" thickTop="1">
      <c r="C13" s="30"/>
    </row>
    <row r="14" spans="1:4" ht="15">
      <c r="B14" s="33" t="s">
        <v>136</v>
      </c>
      <c r="C14" s="34">
        <f>C12*C6</f>
        <v>25900</v>
      </c>
      <c r="D14" s="28" t="s">
        <v>137</v>
      </c>
    </row>
    <row r="15" spans="1:4" ht="15">
      <c r="C15" s="30"/>
    </row>
    <row r="16" spans="1:4" ht="15">
      <c r="C16" s="30"/>
    </row>
    <row r="17" spans="1:4">
      <c r="A17" s="28" t="s">
        <v>37</v>
      </c>
      <c r="B17" s="29" t="s">
        <v>138</v>
      </c>
    </row>
    <row r="18" spans="1:4" ht="15">
      <c r="B18" s="28" t="s">
        <v>139</v>
      </c>
      <c r="C18" s="35">
        <v>0.6</v>
      </c>
    </row>
    <row r="19" spans="1:4" ht="15">
      <c r="B19" s="28" t="s">
        <v>12</v>
      </c>
      <c r="C19" s="35">
        <v>0.15</v>
      </c>
    </row>
    <row r="21" spans="1:4">
      <c r="B21" s="29" t="s">
        <v>132</v>
      </c>
    </row>
    <row r="22" spans="1:4" ht="15">
      <c r="B22" s="28" t="str">
        <f>B12</f>
        <v>Inntakskost per sykkel</v>
      </c>
      <c r="C22" s="30">
        <f>C12</f>
        <v>2590</v>
      </c>
    </row>
    <row r="23" spans="1:4" ht="15">
      <c r="B23" s="36" t="s">
        <v>140</v>
      </c>
      <c r="C23" s="37">
        <f>C22*C18</f>
        <v>1554</v>
      </c>
      <c r="D23" s="28" t="s">
        <v>141</v>
      </c>
    </row>
    <row r="24" spans="1:4" ht="15">
      <c r="B24" s="38" t="s">
        <v>142</v>
      </c>
      <c r="C24" s="30">
        <f>SUM(C22:C23)</f>
        <v>4144</v>
      </c>
    </row>
    <row r="25" spans="1:4" ht="15">
      <c r="B25" s="38" t="s">
        <v>143</v>
      </c>
      <c r="C25" s="30">
        <f>C24*C19</f>
        <v>621.6</v>
      </c>
      <c r="D25" s="28" t="s">
        <v>144</v>
      </c>
    </row>
    <row r="26" spans="1:4" ht="15.75" thickBot="1">
      <c r="B26" s="105" t="s">
        <v>281</v>
      </c>
      <c r="C26" s="32">
        <f>SUM(C24:C25)</f>
        <v>4765.6000000000004</v>
      </c>
    </row>
    <row r="27" spans="1:4" ht="15.75" thickTop="1">
      <c r="C27" s="30"/>
    </row>
    <row r="28" spans="1:4" ht="15">
      <c r="C28" s="30"/>
    </row>
    <row r="29" spans="1:4" ht="15">
      <c r="A29" s="40" t="s">
        <v>63</v>
      </c>
      <c r="B29" s="29" t="str">
        <f>B17</f>
        <v>Tillegg inndata:</v>
      </c>
      <c r="C29" s="30"/>
    </row>
    <row r="30" spans="1:4">
      <c r="B30" s="28" t="s">
        <v>146</v>
      </c>
      <c r="C30" s="41">
        <v>0.9</v>
      </c>
    </row>
    <row r="32" spans="1:4">
      <c r="B32" s="29" t="str">
        <f>B21</f>
        <v>Utdata:</v>
      </c>
    </row>
    <row r="33" spans="2:4" ht="15">
      <c r="B33" s="28" t="str">
        <f>B22</f>
        <v>Inntakskost per sykkel</v>
      </c>
      <c r="C33" s="30">
        <f>C22</f>
        <v>2590</v>
      </c>
    </row>
    <row r="34" spans="2:4" ht="15">
      <c r="B34" s="38" t="s">
        <v>147</v>
      </c>
      <c r="C34" s="30">
        <f>C33*C30</f>
        <v>2331</v>
      </c>
      <c r="D34" s="28" t="s">
        <v>148</v>
      </c>
    </row>
    <row r="35" spans="2:4" ht="15.75" thickBot="1">
      <c r="B35" s="31" t="str">
        <f>B26</f>
        <v>=Salgspris u/mva</v>
      </c>
      <c r="C35" s="32">
        <f>SUM(C33:C34)</f>
        <v>4921</v>
      </c>
    </row>
    <row r="36" spans="2:4" ht="15.75" thickTop="1">
      <c r="C36" s="30"/>
    </row>
  </sheetData>
  <printOptions headings="1"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H64" sqref="H64"/>
    </sheetView>
  </sheetViews>
  <sheetFormatPr baseColWidth="10" defaultRowHeight="15"/>
  <cols>
    <col min="1" max="1" width="3.5703125" customWidth="1"/>
    <col min="2" max="2" width="28.140625" customWidth="1"/>
  </cols>
  <sheetData>
    <row r="1" spans="1:3">
      <c r="A1" s="9" t="s">
        <v>280</v>
      </c>
    </row>
    <row r="3" spans="1:3">
      <c r="A3" t="s">
        <v>123</v>
      </c>
      <c r="B3" t="s">
        <v>220</v>
      </c>
    </row>
    <row r="5" spans="1:3">
      <c r="B5" t="s">
        <v>221</v>
      </c>
      <c r="C5">
        <f>200*20*6.5</f>
        <v>26000</v>
      </c>
    </row>
    <row r="6" spans="1:3">
      <c r="B6" s="69" t="s">
        <v>222</v>
      </c>
      <c r="C6" s="69">
        <v>9300</v>
      </c>
    </row>
    <row r="7" spans="1:3">
      <c r="B7" s="69" t="s">
        <v>62</v>
      </c>
      <c r="C7" s="69">
        <f>SUM(C5:C6)</f>
        <v>35300</v>
      </c>
    </row>
    <row r="9" spans="1:3">
      <c r="B9" t="s">
        <v>223</v>
      </c>
      <c r="C9">
        <f>2500*20</f>
        <v>50000</v>
      </c>
    </row>
    <row r="10" spans="1:3">
      <c r="B10" s="69" t="s">
        <v>224</v>
      </c>
      <c r="C10" s="69">
        <f>C7</f>
        <v>35300</v>
      </c>
    </row>
    <row r="11" spans="1:3">
      <c r="B11" s="69" t="s">
        <v>225</v>
      </c>
      <c r="C11" s="69">
        <f>C9-C10</f>
        <v>14700</v>
      </c>
    </row>
    <row r="13" spans="1:3">
      <c r="B13" t="s">
        <v>226</v>
      </c>
    </row>
    <row r="14" spans="1:3">
      <c r="B14" t="s">
        <v>227</v>
      </c>
    </row>
    <row r="16" spans="1:3">
      <c r="A16" t="s">
        <v>37</v>
      </c>
      <c r="B16" t="s">
        <v>228</v>
      </c>
    </row>
    <row r="17" spans="2:2">
      <c r="B17" t="s">
        <v>229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H64" sqref="H64"/>
    </sheetView>
  </sheetViews>
  <sheetFormatPr baseColWidth="10" defaultRowHeight="15"/>
  <cols>
    <col min="1" max="1" width="3.85546875" customWidth="1"/>
    <col min="2" max="2" width="31.7109375" bestFit="1" customWidth="1"/>
  </cols>
  <sheetData>
    <row r="1" spans="1:3">
      <c r="A1" s="9" t="s">
        <v>280</v>
      </c>
    </row>
    <row r="3" spans="1:3">
      <c r="A3" t="s">
        <v>123</v>
      </c>
      <c r="B3" t="s">
        <v>218</v>
      </c>
      <c r="C3" s="81">
        <v>700</v>
      </c>
    </row>
    <row r="4" spans="1:3">
      <c r="B4" s="69" t="s">
        <v>230</v>
      </c>
      <c r="C4" s="82">
        <v>1100</v>
      </c>
    </row>
    <row r="5" spans="1:3">
      <c r="B5" t="s">
        <v>231</v>
      </c>
      <c r="C5" s="81">
        <f>SUM(C3:C4)</f>
        <v>1800</v>
      </c>
    </row>
    <row r="6" spans="1:3">
      <c r="B6" t="s">
        <v>232</v>
      </c>
      <c r="C6" s="81">
        <f>C3*5%</f>
        <v>35</v>
      </c>
    </row>
    <row r="7" spans="1:3">
      <c r="B7" s="69" t="s">
        <v>233</v>
      </c>
      <c r="C7" s="82">
        <f>C4*20%</f>
        <v>220</v>
      </c>
    </row>
    <row r="8" spans="1:3">
      <c r="B8" t="s">
        <v>234</v>
      </c>
      <c r="C8" s="81">
        <f>SUM(C5:C7)</f>
        <v>2055</v>
      </c>
    </row>
    <row r="9" spans="1:3">
      <c r="B9" s="69" t="s">
        <v>235</v>
      </c>
      <c r="C9" s="82">
        <f>C8*2%</f>
        <v>41.1</v>
      </c>
    </row>
    <row r="10" spans="1:3">
      <c r="B10" s="69" t="s">
        <v>62</v>
      </c>
      <c r="C10" s="82">
        <f>SUM(C8:C9)</f>
        <v>2096.1</v>
      </c>
    </row>
    <row r="12" spans="1:3">
      <c r="A12" t="s">
        <v>37</v>
      </c>
      <c r="B12" t="s">
        <v>236</v>
      </c>
      <c r="C12" s="83">
        <v>3900</v>
      </c>
    </row>
    <row r="13" spans="1:3">
      <c r="B13" s="69" t="s">
        <v>62</v>
      </c>
      <c r="C13" s="84">
        <f>C10</f>
        <v>2096.1</v>
      </c>
    </row>
    <row r="14" spans="1:3">
      <c r="B14" s="69" t="s">
        <v>66</v>
      </c>
      <c r="C14" s="84">
        <f>C12-C13</f>
        <v>1803.9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workbookViewId="0">
      <selection activeCell="H64" sqref="H64"/>
    </sheetView>
  </sheetViews>
  <sheetFormatPr baseColWidth="10" defaultRowHeight="15"/>
  <cols>
    <col min="1" max="1" width="3.42578125" customWidth="1"/>
    <col min="2" max="2" width="29.7109375" bestFit="1" customWidth="1"/>
  </cols>
  <sheetData>
    <row r="1" spans="1:3">
      <c r="A1" s="9" t="s">
        <v>280</v>
      </c>
    </row>
    <row r="3" spans="1:3">
      <c r="B3" t="s">
        <v>237</v>
      </c>
      <c r="C3" s="60">
        <v>0.04</v>
      </c>
    </row>
    <row r="4" spans="1:3">
      <c r="B4" t="s">
        <v>238</v>
      </c>
      <c r="C4" s="60">
        <v>0.3</v>
      </c>
    </row>
    <row r="5" spans="1:3">
      <c r="B5" t="s">
        <v>239</v>
      </c>
      <c r="C5" s="60">
        <v>0.05</v>
      </c>
    </row>
    <row r="7" spans="1:3">
      <c r="A7" t="s">
        <v>123</v>
      </c>
      <c r="B7" t="s">
        <v>218</v>
      </c>
      <c r="C7" s="81">
        <v>3400</v>
      </c>
    </row>
    <row r="8" spans="1:3">
      <c r="B8" s="69" t="s">
        <v>230</v>
      </c>
      <c r="C8" s="82">
        <v>2700</v>
      </c>
    </row>
    <row r="9" spans="1:3">
      <c r="B9" t="s">
        <v>231</v>
      </c>
      <c r="C9" s="81">
        <f>SUM(C7:C8)</f>
        <v>6100</v>
      </c>
    </row>
    <row r="10" spans="1:3">
      <c r="B10" t="s">
        <v>240</v>
      </c>
      <c r="C10" s="81">
        <f>C7*C3</f>
        <v>136</v>
      </c>
    </row>
    <row r="11" spans="1:3">
      <c r="B11" s="69" t="s">
        <v>241</v>
      </c>
      <c r="C11" s="82">
        <f>C8*C4</f>
        <v>810</v>
      </c>
    </row>
    <row r="12" spans="1:3">
      <c r="B12" t="s">
        <v>234</v>
      </c>
      <c r="C12" s="81">
        <f>SUM(C9:C11)</f>
        <v>7046</v>
      </c>
    </row>
    <row r="13" spans="1:3">
      <c r="B13" s="69" t="s">
        <v>242</v>
      </c>
      <c r="C13" s="82">
        <f>C12*C5</f>
        <v>352.3</v>
      </c>
    </row>
    <row r="14" spans="1:3">
      <c r="B14" s="69" t="s">
        <v>62</v>
      </c>
      <c r="C14" s="82">
        <f>SUM(C12:C13)</f>
        <v>7398.3</v>
      </c>
    </row>
    <row r="16" spans="1:3">
      <c r="A16" t="s">
        <v>37</v>
      </c>
      <c r="B16" t="s">
        <v>236</v>
      </c>
      <c r="C16" s="83">
        <v>15000</v>
      </c>
    </row>
    <row r="17" spans="1:4">
      <c r="B17" s="69" t="s">
        <v>62</v>
      </c>
      <c r="C17" s="84">
        <f>C14</f>
        <v>7398.3</v>
      </c>
    </row>
    <row r="18" spans="1:4">
      <c r="B18" s="69" t="s">
        <v>66</v>
      </c>
      <c r="C18" s="84">
        <f>C16-C17</f>
        <v>7601.7</v>
      </c>
    </row>
    <row r="20" spans="1:4">
      <c r="A20" t="s">
        <v>63</v>
      </c>
      <c r="B20" t="s">
        <v>243</v>
      </c>
      <c r="C20" s="85">
        <f>C18/C16</f>
        <v>0.50678000000000001</v>
      </c>
      <c r="D20" t="s">
        <v>244</v>
      </c>
    </row>
    <row r="21" spans="1:4">
      <c r="B21" t="s">
        <v>245</v>
      </c>
    </row>
    <row r="23" spans="1:4">
      <c r="A23" t="s">
        <v>167</v>
      </c>
      <c r="B23" t="s">
        <v>252</v>
      </c>
    </row>
    <row r="24" spans="1:4">
      <c r="B24" t="s">
        <v>253</v>
      </c>
    </row>
    <row r="25" spans="1:4">
      <c r="B25" t="s">
        <v>254</v>
      </c>
    </row>
    <row r="26" spans="1:4">
      <c r="B26" t="s">
        <v>255</v>
      </c>
    </row>
    <row r="27" spans="1:4">
      <c r="B27" t="s">
        <v>256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zoomScaleNormal="100" workbookViewId="0">
      <selection activeCell="H64" sqref="H64"/>
    </sheetView>
  </sheetViews>
  <sheetFormatPr baseColWidth="10" defaultRowHeight="15"/>
  <cols>
    <col min="1" max="1" width="4.28515625" customWidth="1"/>
    <col min="2" max="2" width="25" customWidth="1"/>
    <col min="3" max="3" width="12.7109375" customWidth="1"/>
    <col min="4" max="4" width="12.85546875" customWidth="1"/>
    <col min="5" max="5" width="11.140625" customWidth="1"/>
    <col min="6" max="6" width="17.85546875" customWidth="1"/>
    <col min="7" max="7" width="10.7109375" customWidth="1"/>
    <col min="8" max="8" width="19" customWidth="1"/>
    <col min="9" max="9" width="15.140625" customWidth="1"/>
  </cols>
  <sheetData>
    <row r="1" spans="1:16">
      <c r="A1" s="9" t="s">
        <v>280</v>
      </c>
    </row>
    <row r="3" spans="1:16">
      <c r="B3" s="9" t="s">
        <v>47</v>
      </c>
      <c r="C3" s="1"/>
    </row>
    <row r="4" spans="1:16">
      <c r="B4" s="86" t="s">
        <v>29</v>
      </c>
      <c r="C4" s="87">
        <v>1600000</v>
      </c>
    </row>
    <row r="5" spans="1:16">
      <c r="B5" s="86" t="s">
        <v>9</v>
      </c>
      <c r="C5" s="87">
        <v>550000</v>
      </c>
    </row>
    <row r="7" spans="1:16">
      <c r="B7" s="9" t="s">
        <v>42</v>
      </c>
    </row>
    <row r="8" spans="1:16">
      <c r="C8" s="88" t="s">
        <v>44</v>
      </c>
      <c r="D8" s="88" t="s">
        <v>45</v>
      </c>
      <c r="E8" s="89" t="s">
        <v>53</v>
      </c>
      <c r="F8" s="88" t="s">
        <v>48</v>
      </c>
      <c r="G8" s="1"/>
      <c r="K8" s="1"/>
      <c r="L8" s="1"/>
      <c r="M8" s="1"/>
      <c r="N8" s="1"/>
      <c r="O8" s="1"/>
      <c r="P8" s="1"/>
    </row>
    <row r="9" spans="1:16">
      <c r="B9" s="86" t="s">
        <v>43</v>
      </c>
      <c r="C9" s="87">
        <v>16000</v>
      </c>
      <c r="D9" s="87">
        <v>32000</v>
      </c>
      <c r="E9" s="87">
        <f>SUM(C9:D9)</f>
        <v>48000</v>
      </c>
      <c r="F9" s="87" t="s">
        <v>49</v>
      </c>
      <c r="G9" s="1"/>
      <c r="K9" s="1"/>
      <c r="L9" s="1"/>
      <c r="M9" s="1"/>
      <c r="N9" s="1"/>
      <c r="O9" s="1"/>
      <c r="P9" s="1"/>
    </row>
    <row r="10" spans="1:16">
      <c r="B10" s="86" t="s">
        <v>25</v>
      </c>
      <c r="C10" s="87">
        <v>175000</v>
      </c>
      <c r="D10" s="87">
        <v>275000</v>
      </c>
      <c r="E10" s="87">
        <f>SUM(C10:D10)</f>
        <v>450000</v>
      </c>
      <c r="F10" s="87" t="s">
        <v>50</v>
      </c>
      <c r="G10" s="1"/>
      <c r="K10" s="1"/>
      <c r="L10" s="1"/>
      <c r="M10" s="1"/>
      <c r="N10" s="1"/>
      <c r="O10" s="1"/>
      <c r="P10" s="1"/>
    </row>
    <row r="11" spans="1:16">
      <c r="B11" s="86" t="s">
        <v>46</v>
      </c>
      <c r="C11" s="87">
        <v>0</v>
      </c>
      <c r="D11" s="87">
        <v>264800</v>
      </c>
      <c r="E11" s="87">
        <f>SUM(C11:D11)</f>
        <v>264800</v>
      </c>
      <c r="F11" s="87" t="s">
        <v>51</v>
      </c>
      <c r="G11" s="1"/>
      <c r="K11" s="1"/>
      <c r="L11" s="1"/>
      <c r="M11" s="1"/>
      <c r="N11" s="1"/>
      <c r="O11" s="1"/>
      <c r="P11" s="1"/>
    </row>
    <row r="12" spans="1:16">
      <c r="C12" s="1"/>
      <c r="D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t="s">
        <v>123</v>
      </c>
      <c r="B15" s="3" t="s">
        <v>209</v>
      </c>
      <c r="C15" s="87" t="s">
        <v>52</v>
      </c>
      <c r="D15" s="87" t="s">
        <v>246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B16" s="86" t="s">
        <v>43</v>
      </c>
      <c r="C16" s="90">
        <f>C9/C4</f>
        <v>0.01</v>
      </c>
      <c r="D16" s="90">
        <f>E9/C4</f>
        <v>0.03</v>
      </c>
      <c r="E16" s="1"/>
      <c r="F16" s="1"/>
      <c r="G16" s="1"/>
      <c r="H16" s="79"/>
      <c r="I16" s="1"/>
      <c r="J16" s="1"/>
      <c r="K16" s="1"/>
      <c r="L16" s="1"/>
      <c r="M16" s="1"/>
      <c r="N16" s="1"/>
      <c r="O16" s="1"/>
      <c r="P16" s="1"/>
    </row>
    <row r="17" spans="1:16">
      <c r="B17" s="86" t="s">
        <v>25</v>
      </c>
      <c r="C17" s="90">
        <f>C10/C5</f>
        <v>0.31818181818181818</v>
      </c>
      <c r="D17" s="90">
        <f>E10/C5</f>
        <v>0.81818181818181823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B18" s="86" t="s">
        <v>46</v>
      </c>
      <c r="C18" s="90"/>
      <c r="D18" s="90">
        <f>E11/(C4+C5+E9+E10)</f>
        <v>0.1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t="s">
        <v>37</v>
      </c>
      <c r="B20" s="9" t="s">
        <v>55</v>
      </c>
      <c r="C20" s="3"/>
      <c r="D20" s="3"/>
      <c r="E20" s="3" t="s">
        <v>54</v>
      </c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B21" t="s">
        <v>56</v>
      </c>
      <c r="C21" s="4">
        <v>200</v>
      </c>
      <c r="D21" s="1"/>
      <c r="E21" t="s">
        <v>56</v>
      </c>
      <c r="F21" s="1"/>
      <c r="G21" s="4">
        <f>C21</f>
        <v>200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B22" s="69" t="s">
        <v>9</v>
      </c>
      <c r="C22" s="77">
        <v>250</v>
      </c>
      <c r="D22" s="1"/>
      <c r="E22" s="69" t="s">
        <v>9</v>
      </c>
      <c r="F22" s="75"/>
      <c r="G22" s="77">
        <f>C22</f>
        <v>250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B23" t="s">
        <v>30</v>
      </c>
      <c r="C23" s="5">
        <f>SUM(C21:C22)</f>
        <v>450</v>
      </c>
      <c r="D23" s="1"/>
      <c r="E23" t="s">
        <v>30</v>
      </c>
      <c r="F23" s="1"/>
      <c r="G23" s="5">
        <f>SUM(G21:G22)</f>
        <v>450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B24" t="s">
        <v>57</v>
      </c>
      <c r="C24" s="4">
        <f>D16*C21</f>
        <v>6</v>
      </c>
      <c r="D24" s="1"/>
      <c r="E24" t="s">
        <v>58</v>
      </c>
      <c r="F24" s="1"/>
      <c r="G24" s="4">
        <f>C16*G21</f>
        <v>2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B25" s="69" t="s">
        <v>247</v>
      </c>
      <c r="C25" s="77">
        <f>D17*C22</f>
        <v>204.54545454545456</v>
      </c>
      <c r="D25" s="1"/>
      <c r="E25" s="69" t="s">
        <v>248</v>
      </c>
      <c r="F25" s="75"/>
      <c r="G25" s="77">
        <f>C17*G22</f>
        <v>79.545454545454547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B26" t="s">
        <v>40</v>
      </c>
      <c r="C26" s="5">
        <f>SUM(C23:C25)</f>
        <v>660.5454545454545</v>
      </c>
      <c r="D26" s="1"/>
      <c r="E26" s="1" t="s">
        <v>59</v>
      </c>
      <c r="F26" s="1"/>
      <c r="G26" s="5">
        <f>SUM(G23:G25)</f>
        <v>531.5454545454545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B27" s="69" t="s">
        <v>60</v>
      </c>
      <c r="C27" s="77">
        <f>D18*C26</f>
        <v>66.054545454545448</v>
      </c>
      <c r="D27" s="1"/>
      <c r="E27" s="75" t="str">
        <f>B27</f>
        <v>tillegg salgsavd.</v>
      </c>
      <c r="F27" s="75"/>
      <c r="G27" s="77">
        <v>0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B28" s="69" t="s">
        <v>61</v>
      </c>
      <c r="C28" s="78">
        <f>SUM(C26:C27)</f>
        <v>726.59999999999991</v>
      </c>
      <c r="D28" s="1"/>
      <c r="E28" s="75" t="s">
        <v>62</v>
      </c>
      <c r="F28" s="75"/>
      <c r="G28" s="78">
        <f>SUM(G26:G27)</f>
        <v>531.5454545454545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C29" s="4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C30" s="4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t="s">
        <v>63</v>
      </c>
      <c r="B31" t="str">
        <f>B28</f>
        <v xml:space="preserve">Selvkost </v>
      </c>
      <c r="C31" s="4">
        <f>C28</f>
        <v>726.59999999999991</v>
      </c>
      <c r="D31" s="1"/>
      <c r="E31" s="1" t="s">
        <v>65</v>
      </c>
      <c r="F31" s="1"/>
      <c r="G31" s="4">
        <f>C33</f>
        <v>799.25999999999988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B32" s="69" t="s">
        <v>12</v>
      </c>
      <c r="C32" s="77">
        <f>0.1*C31</f>
        <v>72.66</v>
      </c>
      <c r="D32" s="1"/>
      <c r="E32" s="75" t="str">
        <f>E28</f>
        <v>Sum variable kostnader</v>
      </c>
      <c r="F32" s="75"/>
      <c r="G32" s="77">
        <f>G28</f>
        <v>531.5454545454545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B33" s="69" t="s">
        <v>64</v>
      </c>
      <c r="C33" s="77">
        <f>SUM(C31:C32)</f>
        <v>799.25999999999988</v>
      </c>
      <c r="D33" s="1"/>
      <c r="E33" s="75" t="s">
        <v>66</v>
      </c>
      <c r="F33" s="75"/>
      <c r="G33" s="77">
        <f>G31-G32</f>
        <v>267.71454545454537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C34" s="4"/>
      <c r="D34" s="1"/>
      <c r="E34" s="1"/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t="s">
        <v>167</v>
      </c>
      <c r="B35" t="s">
        <v>249</v>
      </c>
      <c r="C35" s="4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B36" t="s">
        <v>251</v>
      </c>
      <c r="C36" s="4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B37" t="s">
        <v>250</v>
      </c>
      <c r="C37" s="4"/>
      <c r="D37" s="1"/>
      <c r="E37" s="1"/>
      <c r="F37" s="1"/>
      <c r="G37" s="4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C38" s="1"/>
      <c r="D38" s="1"/>
      <c r="E38" s="1"/>
      <c r="F38" s="1"/>
      <c r="G38" s="4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3:16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3:16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3:16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6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3:16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3:16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3:16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3:16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3:16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pageMargins left="0.78740157480314965" right="0.78740157480314965" top="0.98425196850393704" bottom="0.98425196850393704" header="0.51181102362204722" footer="0.51181102362204722"/>
  <pageSetup paperSize="9" scale="90" fitToHeight="0" orientation="portrait" horizontalDpi="4294967292" r:id="rId1"/>
  <headerFooter alignWithMargins="0">
    <oddHeader>&amp;COppgave 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H64" sqref="H64"/>
    </sheetView>
  </sheetViews>
  <sheetFormatPr baseColWidth="10" defaultRowHeight="15"/>
  <cols>
    <col min="1" max="1" width="4" customWidth="1"/>
    <col min="2" max="2" width="15.7109375" customWidth="1"/>
    <col min="3" max="3" width="13.7109375" customWidth="1"/>
    <col min="4" max="4" width="14.5703125" customWidth="1"/>
    <col min="5" max="5" width="18.28515625" bestFit="1" customWidth="1"/>
    <col min="6" max="256" width="9.140625" customWidth="1"/>
  </cols>
  <sheetData>
    <row r="1" spans="1:5">
      <c r="A1" s="9" t="s">
        <v>280</v>
      </c>
    </row>
    <row r="3" spans="1:5">
      <c r="A3" t="s">
        <v>123</v>
      </c>
      <c r="B3" t="s">
        <v>257</v>
      </c>
    </row>
    <row r="4" spans="1:5">
      <c r="B4" t="s">
        <v>258</v>
      </c>
    </row>
    <row r="5" spans="1:5">
      <c r="B5" t="s">
        <v>274</v>
      </c>
    </row>
    <row r="7" spans="1:5">
      <c r="B7" s="86" t="s">
        <v>209</v>
      </c>
      <c r="C7" s="86" t="s">
        <v>260</v>
      </c>
      <c r="D7" s="86" t="s">
        <v>259</v>
      </c>
      <c r="E7" s="86" t="s">
        <v>48</v>
      </c>
    </row>
    <row r="8" spans="1:5">
      <c r="B8" s="86" t="s">
        <v>43</v>
      </c>
      <c r="C8" s="93">
        <v>0.1</v>
      </c>
      <c r="D8" s="93">
        <v>0.03</v>
      </c>
      <c r="E8" s="86" t="s">
        <v>49</v>
      </c>
    </row>
    <row r="9" spans="1:5">
      <c r="B9" s="86" t="s">
        <v>25</v>
      </c>
      <c r="C9" s="93">
        <v>1.2</v>
      </c>
      <c r="D9" s="93">
        <v>0.3</v>
      </c>
      <c r="E9" s="86" t="s">
        <v>50</v>
      </c>
    </row>
    <row r="10" spans="1:5">
      <c r="B10" s="86" t="s">
        <v>261</v>
      </c>
      <c r="C10" s="93">
        <v>0.08</v>
      </c>
      <c r="D10" s="94"/>
      <c r="E10" s="86" t="s">
        <v>51</v>
      </c>
    </row>
    <row r="12" spans="1:5">
      <c r="A12" t="s">
        <v>123</v>
      </c>
      <c r="B12" t="s">
        <v>131</v>
      </c>
      <c r="C12" s="91">
        <v>100</v>
      </c>
    </row>
    <row r="13" spans="1:5">
      <c r="B13" t="s">
        <v>218</v>
      </c>
      <c r="C13" s="91">
        <v>1500</v>
      </c>
      <c r="D13" t="s">
        <v>262</v>
      </c>
    </row>
    <row r="14" spans="1:5">
      <c r="B14" t="s">
        <v>230</v>
      </c>
      <c r="C14" s="91">
        <v>2600</v>
      </c>
      <c r="D14" t="str">
        <f>D13</f>
        <v>Per enhet</v>
      </c>
    </row>
    <row r="15" spans="1:5">
      <c r="B15" t="s">
        <v>267</v>
      </c>
      <c r="C15" s="91">
        <v>600000</v>
      </c>
      <c r="D15" t="s">
        <v>268</v>
      </c>
    </row>
    <row r="17" spans="2:10">
      <c r="B17" s="9" t="s">
        <v>266</v>
      </c>
    </row>
    <row r="18" spans="2:10">
      <c r="B18" t="str">
        <f>B13</f>
        <v>Direkte material</v>
      </c>
      <c r="D18" s="91">
        <f>C13</f>
        <v>1500</v>
      </c>
      <c r="E18" s="91"/>
      <c r="F18" s="91"/>
      <c r="G18" s="91"/>
      <c r="H18" s="91"/>
      <c r="I18" s="91"/>
      <c r="J18" s="91"/>
    </row>
    <row r="19" spans="2:10">
      <c r="B19" s="69" t="str">
        <f>B14</f>
        <v>Direkte lønn</v>
      </c>
      <c r="C19" s="69"/>
      <c r="D19" s="95">
        <f>C14</f>
        <v>2600</v>
      </c>
      <c r="E19" s="91"/>
      <c r="F19" s="91"/>
      <c r="G19" s="91"/>
      <c r="H19" s="91"/>
      <c r="I19" s="91"/>
      <c r="J19" s="91"/>
    </row>
    <row r="20" spans="2:10">
      <c r="B20" t="s">
        <v>30</v>
      </c>
      <c r="D20" s="91">
        <f>SUM(D18:D19)</f>
        <v>4100</v>
      </c>
      <c r="E20" s="91"/>
      <c r="F20" s="91"/>
      <c r="G20" s="91"/>
      <c r="H20" s="91"/>
      <c r="I20" s="91"/>
      <c r="J20" s="91"/>
    </row>
    <row r="21" spans="2:10">
      <c r="B21" t="s">
        <v>263</v>
      </c>
      <c r="D21" s="91">
        <f>D18*D8</f>
        <v>45</v>
      </c>
      <c r="E21" s="91"/>
      <c r="F21" s="91"/>
      <c r="G21" s="91"/>
      <c r="I21" s="91"/>
      <c r="J21" s="91"/>
    </row>
    <row r="22" spans="2:10">
      <c r="B22" s="69" t="s">
        <v>264</v>
      </c>
      <c r="C22" s="69"/>
      <c r="D22" s="95">
        <f>D19*D9</f>
        <v>780</v>
      </c>
      <c r="E22" s="91"/>
      <c r="F22" s="91"/>
      <c r="G22" s="91"/>
      <c r="H22" s="91"/>
      <c r="I22" s="91"/>
      <c r="J22" s="91"/>
    </row>
    <row r="23" spans="2:10">
      <c r="B23" t="s">
        <v>265</v>
      </c>
      <c r="D23" s="91">
        <f>SUM(D20:D22)</f>
        <v>4925</v>
      </c>
      <c r="E23" s="91"/>
      <c r="F23" s="91"/>
      <c r="G23" s="91"/>
      <c r="H23" s="91"/>
      <c r="I23" s="91"/>
      <c r="J23" s="91"/>
    </row>
    <row r="24" spans="2:10">
      <c r="B24" s="69" t="s">
        <v>60</v>
      </c>
      <c r="C24" s="69"/>
      <c r="D24" s="95">
        <v>0</v>
      </c>
      <c r="E24" s="91"/>
      <c r="F24" s="91"/>
      <c r="G24" s="91"/>
      <c r="H24" s="91"/>
      <c r="I24" s="91"/>
      <c r="J24" s="91"/>
    </row>
    <row r="25" spans="2:10">
      <c r="B25" s="69" t="s">
        <v>62</v>
      </c>
      <c r="C25" s="69"/>
      <c r="D25" s="95">
        <f>SUM(D23:D24)</f>
        <v>4925</v>
      </c>
      <c r="E25" s="91"/>
      <c r="F25" s="91"/>
      <c r="G25" s="91"/>
      <c r="H25" s="91"/>
      <c r="I25" s="91"/>
      <c r="J25" s="91"/>
    </row>
    <row r="26" spans="2:10">
      <c r="D26" s="91"/>
      <c r="E26" s="91"/>
      <c r="F26" s="91"/>
      <c r="G26" s="91"/>
      <c r="H26" s="91"/>
      <c r="I26" s="91"/>
      <c r="J26" s="91"/>
    </row>
    <row r="27" spans="2:10">
      <c r="B27" s="9" t="s">
        <v>269</v>
      </c>
      <c r="D27" s="91"/>
      <c r="E27" s="91"/>
      <c r="F27" s="91"/>
      <c r="G27" s="91"/>
      <c r="H27" s="91"/>
      <c r="I27" s="91"/>
      <c r="J27" s="91"/>
    </row>
    <row r="28" spans="2:10">
      <c r="B28" t="s">
        <v>85</v>
      </c>
      <c r="D28" s="91">
        <f>C15</f>
        <v>600000</v>
      </c>
      <c r="E28" s="91"/>
      <c r="F28" s="91"/>
      <c r="G28" s="91"/>
      <c r="H28" s="91"/>
      <c r="I28" s="91"/>
      <c r="J28" s="91"/>
    </row>
    <row r="29" spans="2:10">
      <c r="B29" s="69" t="str">
        <f>B25</f>
        <v>Sum variable kostnader</v>
      </c>
      <c r="C29" s="69"/>
      <c r="D29" s="95">
        <f>D25*C12</f>
        <v>492500</v>
      </c>
      <c r="E29" s="91"/>
      <c r="F29" s="91"/>
      <c r="G29" s="91"/>
      <c r="H29" s="91"/>
      <c r="I29" s="91"/>
      <c r="J29" s="91"/>
    </row>
    <row r="30" spans="2:10">
      <c r="B30" s="69" t="s">
        <v>270</v>
      </c>
      <c r="C30" s="69"/>
      <c r="D30" s="95">
        <f>D28-D29</f>
        <v>107500</v>
      </c>
      <c r="E30" s="91"/>
      <c r="F30" s="91"/>
      <c r="G30" s="91"/>
      <c r="H30" s="91"/>
      <c r="I30" s="91"/>
      <c r="J30" s="91"/>
    </row>
    <row r="31" spans="2:10">
      <c r="D31" s="91"/>
      <c r="E31" s="91"/>
      <c r="F31" s="91"/>
      <c r="G31" s="91"/>
      <c r="H31" s="91"/>
      <c r="I31" s="91"/>
      <c r="J31" s="91"/>
    </row>
    <row r="32" spans="2:10">
      <c r="B32" t="s">
        <v>275</v>
      </c>
      <c r="D32" s="91"/>
      <c r="E32" s="91"/>
      <c r="F32" s="91"/>
      <c r="G32" s="91"/>
      <c r="H32" s="91"/>
      <c r="I32" s="91"/>
      <c r="J32" s="91"/>
    </row>
    <row r="33" spans="1:10">
      <c r="B33" t="s">
        <v>276</v>
      </c>
      <c r="D33" s="91"/>
      <c r="E33" s="91"/>
      <c r="F33" s="91"/>
      <c r="G33" s="91"/>
      <c r="H33" s="91"/>
      <c r="I33" s="91"/>
      <c r="J33" s="91"/>
    </row>
    <row r="34" spans="1:10">
      <c r="D34" s="91"/>
      <c r="E34" s="91"/>
      <c r="F34" s="91"/>
      <c r="G34" s="91"/>
      <c r="H34" s="91"/>
      <c r="I34" s="91"/>
      <c r="J34" s="91"/>
    </row>
    <row r="35" spans="1:10">
      <c r="A35" t="s">
        <v>37</v>
      </c>
      <c r="B35" t="s">
        <v>277</v>
      </c>
      <c r="D35" s="91"/>
      <c r="E35" s="92">
        <f>C13*1.3</f>
        <v>1950</v>
      </c>
      <c r="F35" s="91"/>
      <c r="G35" s="91"/>
      <c r="H35" s="91"/>
      <c r="I35" s="91"/>
      <c r="J35" s="91"/>
    </row>
    <row r="36" spans="1:10">
      <c r="D36" s="91"/>
      <c r="E36" s="91"/>
      <c r="F36" s="91"/>
      <c r="G36" s="91"/>
      <c r="H36" s="91"/>
      <c r="I36" s="91"/>
      <c r="J36" s="91"/>
    </row>
    <row r="37" spans="1:10">
      <c r="B37" t="s">
        <v>271</v>
      </c>
      <c r="D37" s="91"/>
      <c r="E37" s="91"/>
      <c r="F37" s="91"/>
      <c r="G37" s="91"/>
      <c r="H37" s="91"/>
      <c r="I37" s="91"/>
      <c r="J37" s="91"/>
    </row>
    <row r="38" spans="1:10">
      <c r="B38" t="s">
        <v>272</v>
      </c>
      <c r="D38" s="91"/>
      <c r="E38" s="91"/>
      <c r="F38" s="91"/>
      <c r="G38" s="91"/>
      <c r="H38" s="91"/>
      <c r="I38" s="91"/>
      <c r="J38" s="91"/>
    </row>
    <row r="39" spans="1:10">
      <c r="B39" t="s">
        <v>273</v>
      </c>
      <c r="D39" s="91"/>
      <c r="E39" s="91"/>
      <c r="F39" s="91"/>
      <c r="G39" s="91"/>
      <c r="H39" s="91"/>
      <c r="I39" s="91"/>
      <c r="J39" s="91"/>
    </row>
    <row r="40" spans="1:10">
      <c r="D40" s="91"/>
      <c r="E40" s="91"/>
      <c r="F40" s="91"/>
      <c r="G40" s="91"/>
      <c r="H40" s="91"/>
      <c r="I40" s="91"/>
      <c r="J40" s="91"/>
    </row>
    <row r="41" spans="1:10">
      <c r="D41" s="91"/>
      <c r="E41" s="91"/>
      <c r="F41" s="91"/>
      <c r="G41" s="91"/>
      <c r="H41" s="91"/>
      <c r="I41" s="91"/>
      <c r="J41" s="91"/>
    </row>
    <row r="42" spans="1:10">
      <c r="D42" s="91"/>
      <c r="E42" s="91"/>
      <c r="F42" s="91"/>
      <c r="G42" s="91"/>
      <c r="H42" s="91"/>
      <c r="I42" s="91"/>
      <c r="J42" s="91"/>
    </row>
    <row r="43" spans="1:10">
      <c r="D43" s="91"/>
      <c r="E43" s="91"/>
      <c r="F43" s="91"/>
      <c r="G43" s="91"/>
      <c r="H43" s="91"/>
      <c r="I43" s="91"/>
      <c r="J43" s="91"/>
    </row>
    <row r="44" spans="1:10">
      <c r="D44" s="91"/>
      <c r="E44" s="91"/>
      <c r="F44" s="91"/>
      <c r="G44" s="91"/>
      <c r="H44" s="91"/>
      <c r="I44" s="91"/>
      <c r="J44" s="91"/>
    </row>
    <row r="45" spans="1:10">
      <c r="D45" s="91"/>
      <c r="E45" s="91"/>
      <c r="F45" s="91"/>
      <c r="G45" s="91"/>
      <c r="H45" s="91"/>
      <c r="I45" s="91"/>
      <c r="J45" s="91"/>
    </row>
  </sheetData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Header>&amp;COppgave 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13" zoomScaleNormal="100" workbookViewId="0">
      <selection activeCell="H64" sqref="H64"/>
    </sheetView>
  </sheetViews>
  <sheetFormatPr baseColWidth="10" defaultRowHeight="12.75"/>
  <cols>
    <col min="1" max="1" width="4" style="14" customWidth="1"/>
    <col min="2" max="2" width="24.42578125" style="14" bestFit="1" customWidth="1"/>
    <col min="3" max="3" width="9.140625" style="14" customWidth="1"/>
    <col min="4" max="4" width="13.42578125" style="14" bestFit="1" customWidth="1"/>
    <col min="5" max="5" width="9.140625" style="14" customWidth="1"/>
    <col min="6" max="6" width="10.28515625" style="14" bestFit="1" customWidth="1"/>
    <col min="7" max="256" width="9.140625" style="14" customWidth="1"/>
    <col min="257" max="16384" width="11.42578125" style="14"/>
  </cols>
  <sheetData>
    <row r="1" spans="1:6">
      <c r="A1" s="101" t="s">
        <v>280</v>
      </c>
    </row>
    <row r="3" spans="1:6">
      <c r="A3" s="14" t="s">
        <v>123</v>
      </c>
      <c r="C3" s="108" t="s">
        <v>101</v>
      </c>
      <c r="D3" s="108"/>
      <c r="E3" s="108" t="s">
        <v>102</v>
      </c>
      <c r="F3" s="108"/>
    </row>
    <row r="4" spans="1:6">
      <c r="C4" s="14" t="s">
        <v>103</v>
      </c>
      <c r="D4" s="15" t="s">
        <v>104</v>
      </c>
      <c r="E4" s="14" t="str">
        <f>C4</f>
        <v>Tilleggssats</v>
      </c>
      <c r="F4" s="15" t="str">
        <f>D4</f>
        <v>kr.</v>
      </c>
    </row>
    <row r="5" spans="1:6" ht="15">
      <c r="B5" s="14" t="s">
        <v>105</v>
      </c>
      <c r="D5" s="16">
        <v>550000</v>
      </c>
      <c r="F5" s="17">
        <f>D5</f>
        <v>550000</v>
      </c>
    </row>
    <row r="6" spans="1:6" ht="15">
      <c r="B6" s="14" t="s">
        <v>106</v>
      </c>
      <c r="D6" s="16">
        <v>75000</v>
      </c>
      <c r="F6" s="17">
        <f>D6</f>
        <v>75000</v>
      </c>
    </row>
    <row r="7" spans="1:6" ht="15">
      <c r="B7" s="14" t="s">
        <v>107</v>
      </c>
      <c r="D7" s="16">
        <v>175000</v>
      </c>
      <c r="F7" s="17">
        <f>D7</f>
        <v>175000</v>
      </c>
    </row>
    <row r="8" spans="1:6" ht="15">
      <c r="B8" s="14" t="s">
        <v>108</v>
      </c>
      <c r="C8" s="18">
        <v>0.2</v>
      </c>
      <c r="D8" s="16">
        <f>D5*C8</f>
        <v>110000</v>
      </c>
      <c r="E8" s="18">
        <f>C8</f>
        <v>0.2</v>
      </c>
      <c r="F8" s="17">
        <f>D8</f>
        <v>110000</v>
      </c>
    </row>
    <row r="9" spans="1:6" ht="15">
      <c r="B9" s="14" t="s">
        <v>109</v>
      </c>
      <c r="C9" s="18">
        <v>0.7</v>
      </c>
      <c r="D9" s="16">
        <f>D5*C9</f>
        <v>385000</v>
      </c>
      <c r="E9" s="18"/>
    </row>
    <row r="10" spans="1:6" ht="15">
      <c r="B10" s="19" t="s">
        <v>110</v>
      </c>
      <c r="C10" s="18">
        <v>0.1</v>
      </c>
      <c r="D10" s="16">
        <f>D6*C10</f>
        <v>7500</v>
      </c>
      <c r="E10" s="20">
        <f>C10</f>
        <v>0.1</v>
      </c>
      <c r="F10" s="17">
        <f>D10</f>
        <v>7500</v>
      </c>
    </row>
    <row r="11" spans="1:6" ht="15">
      <c r="B11" s="19" t="s">
        <v>111</v>
      </c>
      <c r="C11" s="18">
        <v>1</v>
      </c>
      <c r="D11" s="16">
        <f>D6*C11</f>
        <v>75000</v>
      </c>
    </row>
    <row r="12" spans="1:6" ht="15">
      <c r="B12" s="19" t="s">
        <v>112</v>
      </c>
      <c r="C12" s="21">
        <v>30.6</v>
      </c>
      <c r="D12" s="16">
        <f>C12*5000</f>
        <v>153000</v>
      </c>
      <c r="E12" s="21">
        <f>C12</f>
        <v>30.6</v>
      </c>
      <c r="F12" s="16">
        <f>E12*5000</f>
        <v>153000</v>
      </c>
    </row>
    <row r="13" spans="1:6" ht="15">
      <c r="B13" s="22" t="s">
        <v>113</v>
      </c>
      <c r="C13" s="23">
        <v>0.3</v>
      </c>
      <c r="D13" s="24">
        <f>D7*C13</f>
        <v>52500</v>
      </c>
      <c r="E13" s="25"/>
      <c r="F13" s="25"/>
    </row>
    <row r="14" spans="1:6" ht="15">
      <c r="B14" s="26" t="s">
        <v>114</v>
      </c>
      <c r="D14" s="16">
        <f>SUM(D5:D13)</f>
        <v>1583000</v>
      </c>
      <c r="F14" s="17">
        <f>SUM(F5:F13)</f>
        <v>1070500</v>
      </c>
    </row>
    <row r="15" spans="1:6" ht="15">
      <c r="B15" s="27" t="s">
        <v>115</v>
      </c>
      <c r="C15" s="23">
        <v>0.25</v>
      </c>
      <c r="D15" s="24">
        <f>D14*C15</f>
        <v>395750</v>
      </c>
    </row>
    <row r="16" spans="1:6" ht="15">
      <c r="B16" s="26" t="s">
        <v>11</v>
      </c>
      <c r="D16" s="16">
        <f>SUM(D14:D15)</f>
        <v>1978750</v>
      </c>
    </row>
    <row r="17" spans="1:6" ht="15">
      <c r="D17" s="16"/>
    </row>
    <row r="18" spans="1:6" ht="15">
      <c r="B18" s="26" t="s">
        <v>116</v>
      </c>
      <c r="D18" s="16">
        <v>1700000</v>
      </c>
      <c r="F18" s="17">
        <f>D18</f>
        <v>1700000</v>
      </c>
    </row>
    <row r="19" spans="1:6" ht="15">
      <c r="B19" s="100" t="s">
        <v>66</v>
      </c>
      <c r="C19" s="101"/>
      <c r="D19" s="102"/>
      <c r="E19" s="101"/>
      <c r="F19" s="103">
        <f>F18-F14</f>
        <v>629500</v>
      </c>
    </row>
    <row r="20" spans="1:6" ht="15">
      <c r="B20" s="100" t="s">
        <v>12</v>
      </c>
      <c r="C20" s="101"/>
      <c r="D20" s="104">
        <f>D18-D16</f>
        <v>-278750</v>
      </c>
      <c r="E20" s="101"/>
      <c r="F20" s="101"/>
    </row>
    <row r="21" spans="1:6" ht="15">
      <c r="D21" s="16"/>
    </row>
    <row r="22" spans="1:6" ht="15">
      <c r="B22" s="14" t="s">
        <v>118</v>
      </c>
      <c r="D22" s="16"/>
    </row>
    <row r="23" spans="1:6" ht="15">
      <c r="B23" s="14" t="s">
        <v>119</v>
      </c>
      <c r="D23" s="16"/>
    </row>
    <row r="24" spans="1:6" ht="15">
      <c r="B24" s="14" t="s">
        <v>120</v>
      </c>
      <c r="D24" s="16"/>
    </row>
    <row r="25" spans="1:6" ht="15">
      <c r="D25" s="16"/>
    </row>
    <row r="26" spans="1:6" ht="15">
      <c r="B26" s="14" t="s">
        <v>121</v>
      </c>
      <c r="D26" s="16"/>
    </row>
    <row r="27" spans="1:6" ht="15">
      <c r="B27" s="14" t="s">
        <v>122</v>
      </c>
      <c r="D27" s="16"/>
    </row>
    <row r="28" spans="1:6" ht="15">
      <c r="D28" s="16"/>
    </row>
    <row r="29" spans="1:6">
      <c r="A29" s="14" t="s">
        <v>37</v>
      </c>
      <c r="C29" s="108" t="s">
        <v>117</v>
      </c>
      <c r="D29" s="108"/>
      <c r="E29" s="108"/>
      <c r="F29" s="108"/>
    </row>
    <row r="30" spans="1:6">
      <c r="C30" s="108" t="s">
        <v>101</v>
      </c>
      <c r="D30" s="108"/>
      <c r="E30" s="108" t="s">
        <v>102</v>
      </c>
      <c r="F30" s="108"/>
    </row>
    <row r="31" spans="1:6">
      <c r="C31" s="14" t="s">
        <v>103</v>
      </c>
      <c r="D31" s="15" t="s">
        <v>104</v>
      </c>
      <c r="E31" s="14" t="str">
        <f>C31</f>
        <v>Tilleggssats</v>
      </c>
      <c r="F31" s="15" t="str">
        <f>D31</f>
        <v>kr.</v>
      </c>
    </row>
    <row r="32" spans="1:6" ht="15">
      <c r="B32" s="14" t="s">
        <v>105</v>
      </c>
      <c r="D32" s="16">
        <v>650000</v>
      </c>
      <c r="F32" s="17">
        <f>D32</f>
        <v>650000</v>
      </c>
    </row>
    <row r="33" spans="2:9" ht="15">
      <c r="B33" s="14" t="s">
        <v>106</v>
      </c>
      <c r="D33" s="16">
        <v>100000</v>
      </c>
      <c r="F33" s="96">
        <f>D33</f>
        <v>100000</v>
      </c>
    </row>
    <row r="34" spans="2:9" ht="15">
      <c r="B34" s="14" t="s">
        <v>107</v>
      </c>
      <c r="D34" s="16">
        <v>200000</v>
      </c>
      <c r="F34" s="96">
        <f>D34</f>
        <v>200000</v>
      </c>
    </row>
    <row r="35" spans="2:9" ht="15">
      <c r="B35" s="14" t="s">
        <v>108</v>
      </c>
      <c r="C35" s="18">
        <v>0.2</v>
      </c>
      <c r="D35" s="16">
        <f>D32*C35</f>
        <v>130000</v>
      </c>
      <c r="E35" s="18">
        <f>C35</f>
        <v>0.2</v>
      </c>
      <c r="F35" s="96">
        <f>D35</f>
        <v>130000</v>
      </c>
    </row>
    <row r="36" spans="2:9" ht="15">
      <c r="B36" s="14" t="s">
        <v>109</v>
      </c>
      <c r="C36" s="18">
        <v>0.7</v>
      </c>
      <c r="D36" s="16">
        <f>D32*C36</f>
        <v>455000</v>
      </c>
      <c r="E36" s="18"/>
      <c r="F36" s="97"/>
    </row>
    <row r="37" spans="2:9" ht="15">
      <c r="B37" s="19" t="s">
        <v>110</v>
      </c>
      <c r="C37" s="18">
        <v>0.1</v>
      </c>
      <c r="D37" s="16">
        <f>D33*C37</f>
        <v>10000</v>
      </c>
      <c r="E37" s="20">
        <f>C37</f>
        <v>0.1</v>
      </c>
      <c r="F37" s="96">
        <f>D37</f>
        <v>10000</v>
      </c>
    </row>
    <row r="38" spans="2:9" ht="15">
      <c r="B38" s="19" t="s">
        <v>111</v>
      </c>
      <c r="C38" s="18">
        <v>1</v>
      </c>
      <c r="D38" s="16">
        <f>D33*C38</f>
        <v>100000</v>
      </c>
      <c r="F38" s="97"/>
    </row>
    <row r="39" spans="2:9" ht="15">
      <c r="B39" s="19" t="s">
        <v>112</v>
      </c>
      <c r="C39" s="21">
        <v>30.6</v>
      </c>
      <c r="D39" s="16">
        <f>C39*6000</f>
        <v>183600</v>
      </c>
      <c r="E39" s="21">
        <f>C39</f>
        <v>30.6</v>
      </c>
      <c r="F39" s="98">
        <f>E39*6000</f>
        <v>183600</v>
      </c>
    </row>
    <row r="40" spans="2:9" ht="15">
      <c r="B40" s="22" t="s">
        <v>113</v>
      </c>
      <c r="C40" s="23">
        <v>0.3</v>
      </c>
      <c r="D40" s="24">
        <f>D34*C40</f>
        <v>60000</v>
      </c>
      <c r="E40" s="25"/>
      <c r="F40" s="99"/>
    </row>
    <row r="41" spans="2:9" ht="15">
      <c r="B41" s="26" t="s">
        <v>114</v>
      </c>
      <c r="D41" s="16">
        <f>SUM(D32:D40)</f>
        <v>1888600</v>
      </c>
      <c r="F41" s="96">
        <f>SUM(F32:F40)</f>
        <v>1273600</v>
      </c>
    </row>
    <row r="42" spans="2:9" ht="15">
      <c r="B42" s="27" t="s">
        <v>115</v>
      </c>
      <c r="C42" s="23">
        <v>0.25</v>
      </c>
      <c r="D42" s="24">
        <f>D41*C42</f>
        <v>472150</v>
      </c>
      <c r="F42" s="97"/>
    </row>
    <row r="43" spans="2:9" ht="15">
      <c r="B43" s="26" t="s">
        <v>11</v>
      </c>
      <c r="D43" s="16">
        <f>SUM(D41:D42)</f>
        <v>2360750</v>
      </c>
      <c r="F43" s="97"/>
    </row>
    <row r="44" spans="2:9" ht="15">
      <c r="D44" s="16"/>
      <c r="F44" s="97"/>
    </row>
    <row r="45" spans="2:9" ht="15">
      <c r="B45" s="26" t="s">
        <v>116</v>
      </c>
      <c r="D45" s="16">
        <v>1700000</v>
      </c>
      <c r="F45" s="96">
        <f>D45</f>
        <v>1700000</v>
      </c>
    </row>
    <row r="46" spans="2:9" ht="15">
      <c r="B46" s="100" t="s">
        <v>66</v>
      </c>
      <c r="C46" s="101"/>
      <c r="D46" s="102"/>
      <c r="E46" s="101"/>
      <c r="F46" s="103">
        <f>F45-F41</f>
        <v>426400</v>
      </c>
      <c r="I46" s="17"/>
    </row>
    <row r="47" spans="2:9" ht="15">
      <c r="B47" s="100" t="s">
        <v>12</v>
      </c>
      <c r="C47" s="101"/>
      <c r="D47" s="104">
        <f>D45-D43</f>
        <v>-660750</v>
      </c>
      <c r="E47" s="101"/>
      <c r="F47" s="101"/>
    </row>
    <row r="49" spans="2:2">
      <c r="B49" s="14" t="s">
        <v>124</v>
      </c>
    </row>
    <row r="50" spans="2:2">
      <c r="B50" s="14" t="s">
        <v>125</v>
      </c>
    </row>
    <row r="51" spans="2:2">
      <c r="B51" s="14" t="s">
        <v>126</v>
      </c>
    </row>
    <row r="52" spans="2:2">
      <c r="B52" s="97" t="s">
        <v>278</v>
      </c>
    </row>
    <row r="53" spans="2:2">
      <c r="B53" s="14" t="s">
        <v>127</v>
      </c>
    </row>
  </sheetData>
  <mergeCells count="5">
    <mergeCell ref="C3:D3"/>
    <mergeCell ref="E3:F3"/>
    <mergeCell ref="C29:F29"/>
    <mergeCell ref="C30:D30"/>
    <mergeCell ref="E30:F30"/>
  </mergeCells>
  <printOptions headings="1" gridLines="1"/>
  <pageMargins left="0.78740157480314965" right="0.78740157480314965" top="0.98425196850393704" bottom="0.98425196850393704" header="0.51181102362204722" footer="0.51181102362204722"/>
  <pageSetup paperSize="9" scale="92" fitToHeight="0" orientation="portrait" r:id="rId1"/>
  <headerFooter alignWithMargins="0">
    <oddHeader>&amp;COppgave 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8"/>
  <sheetViews>
    <sheetView zoomScaleNormal="100" workbookViewId="0">
      <selection activeCell="J37" sqref="J37"/>
    </sheetView>
  </sheetViews>
  <sheetFormatPr baseColWidth="10" defaultRowHeight="15"/>
  <cols>
    <col min="1" max="1" width="4.7109375" customWidth="1"/>
    <col min="2" max="2" width="19.140625" customWidth="1"/>
    <col min="3" max="3" width="13.42578125" customWidth="1"/>
    <col min="4" max="5" width="11.42578125" customWidth="1"/>
    <col min="6" max="6" width="13.140625" customWidth="1"/>
    <col min="7" max="7" width="10" customWidth="1"/>
    <col min="8" max="8" width="16.42578125" customWidth="1"/>
  </cols>
  <sheetData>
    <row r="1" spans="1:20">
      <c r="A1" s="9" t="s">
        <v>280</v>
      </c>
    </row>
    <row r="3" spans="1:20">
      <c r="B3" t="s">
        <v>292</v>
      </c>
    </row>
    <row r="4" spans="1:20">
      <c r="C4" s="1"/>
      <c r="D4" s="1"/>
      <c r="E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B5" s="9" t="s">
        <v>67</v>
      </c>
      <c r="C5" s="1"/>
      <c r="D5" s="1"/>
      <c r="E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B6" t="s">
        <v>56</v>
      </c>
      <c r="C6" s="1">
        <v>1000000</v>
      </c>
      <c r="D6" s="1"/>
      <c r="E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B7" t="s">
        <v>68</v>
      </c>
      <c r="C7" s="1">
        <v>500000</v>
      </c>
      <c r="D7" s="1"/>
      <c r="E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B8" t="s">
        <v>69</v>
      </c>
      <c r="C8" s="1">
        <v>700000</v>
      </c>
      <c r="D8" s="1">
        <f>SUM(C6:C8)</f>
        <v>2200000</v>
      </c>
      <c r="E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C9" s="1"/>
      <c r="D9" s="1"/>
      <c r="E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B10" s="9" t="s">
        <v>70</v>
      </c>
      <c r="C10" s="1"/>
      <c r="D10" s="1"/>
      <c r="E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B11" t="s">
        <v>43</v>
      </c>
      <c r="C11" s="1">
        <v>100000</v>
      </c>
      <c r="D11" s="1"/>
      <c r="E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B12" t="s">
        <v>71</v>
      </c>
      <c r="C12" s="1">
        <v>100000</v>
      </c>
      <c r="D12" s="1"/>
      <c r="E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B13" t="s">
        <v>72</v>
      </c>
      <c r="C13" s="1">
        <v>210000</v>
      </c>
      <c r="D13" s="1"/>
      <c r="E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B14" t="s">
        <v>73</v>
      </c>
      <c r="C14" s="1">
        <v>522000</v>
      </c>
      <c r="D14" s="1">
        <f>SUM(C11:C14)</f>
        <v>932000</v>
      </c>
      <c r="E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C15" s="1"/>
      <c r="D15" s="1"/>
      <c r="E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B16" t="s">
        <v>11</v>
      </c>
      <c r="C16" s="1"/>
      <c r="D16" s="1">
        <f>D8+D14</f>
        <v>3132000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B18" t="s">
        <v>74</v>
      </c>
      <c r="C18" s="7">
        <v>0.4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t="s">
        <v>123</v>
      </c>
      <c r="B20" s="3" t="s">
        <v>279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B21" s="1" t="s">
        <v>75</v>
      </c>
      <c r="C21" s="1">
        <f>D8+C11+C12+C13</f>
        <v>2610000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B22" s="1" t="s">
        <v>76</v>
      </c>
      <c r="C22" s="1">
        <f>D16</f>
        <v>3132000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B23" s="1" t="s">
        <v>77</v>
      </c>
      <c r="C23" s="1">
        <f>D16*(1+C18)</f>
        <v>4384800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B25" s="1" t="s">
        <v>282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t="s">
        <v>37</v>
      </c>
      <c r="B26" s="3" t="s">
        <v>78</v>
      </c>
      <c r="C26" s="3"/>
      <c r="D26" s="3" t="s">
        <v>79</v>
      </c>
      <c r="F26" s="3" t="s">
        <v>209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B27" t="s">
        <v>43</v>
      </c>
      <c r="C27" s="1"/>
      <c r="D27" t="s">
        <v>56</v>
      </c>
      <c r="F27" s="8">
        <f>C11/C6</f>
        <v>0.1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B28" t="s">
        <v>71</v>
      </c>
      <c r="C28" s="1"/>
      <c r="D28" t="s">
        <v>68</v>
      </c>
      <c r="F28" s="8">
        <f>C12/C7</f>
        <v>0.2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B29" t="s">
        <v>72</v>
      </c>
      <c r="C29" s="1"/>
      <c r="D29" t="s">
        <v>69</v>
      </c>
      <c r="F29" s="8">
        <f>C13/C8</f>
        <v>0.3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B30" t="s">
        <v>73</v>
      </c>
      <c r="C30" s="1"/>
      <c r="D30" s="1" t="s">
        <v>40</v>
      </c>
      <c r="F30" s="8">
        <f>C14/(D8+C11+C12+C13)</f>
        <v>0.2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t="s">
        <v>86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>
      <c r="C34" s="9" t="s">
        <v>87</v>
      </c>
      <c r="D34" s="1"/>
      <c r="E34" s="9" t="s">
        <v>88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B35" t="s">
        <v>56</v>
      </c>
      <c r="C35" s="1">
        <v>500000</v>
      </c>
      <c r="D35" s="1"/>
      <c r="E35" s="1">
        <v>750000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B36" t="s">
        <v>68</v>
      </c>
      <c r="C36" s="1">
        <v>300000</v>
      </c>
      <c r="D36" s="1"/>
      <c r="E36" s="1">
        <v>500000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B37" t="s">
        <v>69</v>
      </c>
      <c r="C37" s="1">
        <v>400000</v>
      </c>
      <c r="D37" s="1"/>
      <c r="E37" s="1">
        <v>450000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B38" t="s">
        <v>80</v>
      </c>
      <c r="C38" s="3">
        <f>SUM(C35:C37)</f>
        <v>1200000</v>
      </c>
      <c r="D38" s="1"/>
      <c r="E38" s="3">
        <f>SUM(E35:E37)</f>
        <v>1700000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>
      <c r="B39" t="s">
        <v>81</v>
      </c>
      <c r="C39" s="1">
        <f>F27*C35</f>
        <v>50000</v>
      </c>
      <c r="D39" s="1"/>
      <c r="E39" s="10">
        <f>F27*E35</f>
        <v>75000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>
      <c r="B40" t="s">
        <v>82</v>
      </c>
      <c r="C40" s="1">
        <f>F28*C36</f>
        <v>60000</v>
      </c>
      <c r="D40" s="1"/>
      <c r="E40" s="10">
        <f>F28*E36</f>
        <v>100000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>
      <c r="B41" t="s">
        <v>83</v>
      </c>
      <c r="C41" s="1">
        <f>F29*C37</f>
        <v>120000</v>
      </c>
      <c r="D41" s="1"/>
      <c r="E41" s="10">
        <f>F29*E37</f>
        <v>135000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>
      <c r="B42" t="s">
        <v>40</v>
      </c>
      <c r="C42" s="3">
        <f>SUM(C38:C41)</f>
        <v>1430000</v>
      </c>
      <c r="D42" s="1"/>
      <c r="E42" s="3">
        <f>SUM(E38:E41)</f>
        <v>2010000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>
      <c r="B43" t="s">
        <v>84</v>
      </c>
      <c r="C43" s="1">
        <f>F30*C42</f>
        <v>286000</v>
      </c>
      <c r="D43" s="1"/>
      <c r="E43" s="10">
        <f>F30*E42</f>
        <v>402000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>
      <c r="B44" t="s">
        <v>11</v>
      </c>
      <c r="C44" s="3">
        <f>SUM(C42:C43)</f>
        <v>1716000</v>
      </c>
      <c r="D44" s="1"/>
      <c r="E44" s="3">
        <f>SUM(E42:E43)</f>
        <v>2412000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>
      <c r="B45" t="s">
        <v>12</v>
      </c>
      <c r="C45" s="1">
        <f>C18*C44</f>
        <v>686400</v>
      </c>
      <c r="D45" s="1"/>
      <c r="E45" s="10">
        <f>E46-E44</f>
        <v>-9600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>
      <c r="B46" t="s">
        <v>85</v>
      </c>
      <c r="C46" s="3">
        <f>SUM(C44:C45)</f>
        <v>2402400</v>
      </c>
      <c r="D46" s="1"/>
      <c r="E46" s="3">
        <f>C46</f>
        <v>2402400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>
      <c r="C47" s="1"/>
      <c r="D47" s="1"/>
      <c r="E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>
      <c r="B48" t="s">
        <v>98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>
      <c r="B49" t="s">
        <v>94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>
      <c r="B50" t="s">
        <v>286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>
      <c r="B51" t="s">
        <v>95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>
      <c r="B52" t="s">
        <v>287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>
      <c r="B53" t="s">
        <v>288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>
      <c r="B54" t="s">
        <v>96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>
      <c r="B57" t="s">
        <v>89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>
      <c r="C59" s="107" t="s">
        <v>53</v>
      </c>
      <c r="D59" s="107" t="s">
        <v>44</v>
      </c>
      <c r="E59" s="107" t="s">
        <v>45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>
      <c r="B60" t="s">
        <v>43</v>
      </c>
      <c r="C60" s="7">
        <f>SUM(D60:E60)</f>
        <v>0.1</v>
      </c>
      <c r="D60" s="7">
        <v>0.06</v>
      </c>
      <c r="E60" s="7">
        <v>0.04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>
      <c r="B61" t="s">
        <v>71</v>
      </c>
      <c r="C61" s="7">
        <f>SUM(D61:E61)</f>
        <v>0.2</v>
      </c>
      <c r="D61" s="7">
        <v>0.15</v>
      </c>
      <c r="E61" s="7">
        <v>0.05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>
      <c r="B62" t="s">
        <v>72</v>
      </c>
      <c r="C62" s="7">
        <f>SUM(D62:E62)</f>
        <v>0.30000000000000004</v>
      </c>
      <c r="D62" s="7">
        <v>0.2</v>
      </c>
      <c r="E62" s="7">
        <v>0.1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>
      <c r="B63" t="s">
        <v>73</v>
      </c>
      <c r="C63" s="7">
        <f>SUM(D63:E63)</f>
        <v>0.2</v>
      </c>
      <c r="D63" s="7"/>
      <c r="E63" s="7">
        <v>0.2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>
      <c r="B66" t="s">
        <v>90</v>
      </c>
      <c r="C66" s="9" t="s">
        <v>91</v>
      </c>
      <c r="D66" s="1"/>
      <c r="E66" s="9" t="s">
        <v>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>
      <c r="B67" t="s">
        <v>56</v>
      </c>
      <c r="C67" s="1">
        <v>500000</v>
      </c>
      <c r="D67" s="1"/>
      <c r="E67" s="1">
        <v>750000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>
      <c r="B68" t="s">
        <v>68</v>
      </c>
      <c r="C68" s="1">
        <v>300000</v>
      </c>
      <c r="D68" s="1"/>
      <c r="E68" s="1">
        <v>500000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>
      <c r="B69" t="s">
        <v>69</v>
      </c>
      <c r="C69" s="1">
        <v>400000</v>
      </c>
      <c r="D69" s="1"/>
      <c r="E69" s="1">
        <v>450000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>
      <c r="B70" t="s">
        <v>80</v>
      </c>
      <c r="C70" s="3">
        <f>SUM(C67:C69)</f>
        <v>1200000</v>
      </c>
      <c r="D70" s="1"/>
      <c r="E70" s="3">
        <f>SUM(E67:E69)</f>
        <v>1700000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>
      <c r="B71" t="s">
        <v>81</v>
      </c>
      <c r="C71" s="1">
        <f>$D$60*C67</f>
        <v>30000</v>
      </c>
      <c r="D71" s="1"/>
      <c r="E71" s="1">
        <f>$D$60*E67</f>
        <v>45000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>
      <c r="B72" t="s">
        <v>82</v>
      </c>
      <c r="C72" s="1">
        <f>$D$61*C68</f>
        <v>45000</v>
      </c>
      <c r="D72" s="1"/>
      <c r="E72" s="1">
        <f>$D$61*E68</f>
        <v>75000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>
      <c r="B73" t="s">
        <v>83</v>
      </c>
      <c r="C73" s="1">
        <f>$D$62*C69</f>
        <v>80000</v>
      </c>
      <c r="D73" s="1"/>
      <c r="E73" s="1">
        <f>$D$62*E69</f>
        <v>90000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>
      <c r="B74" t="s">
        <v>93</v>
      </c>
      <c r="C74" s="3">
        <f>SUM(C70:C73)</f>
        <v>1355000</v>
      </c>
      <c r="D74" s="1"/>
      <c r="E74" s="3">
        <f>SUM(E70:E73)</f>
        <v>1910000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>
      <c r="C75" s="1"/>
      <c r="D75" s="1"/>
      <c r="E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>
      <c r="B76" t="s">
        <v>11</v>
      </c>
      <c r="C76" s="3">
        <f>SUM(C74:C75)</f>
        <v>1355000</v>
      </c>
      <c r="D76" s="1"/>
      <c r="E76" s="3">
        <f>SUM(E74:E75)</f>
        <v>1910000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>
      <c r="B77" t="s">
        <v>66</v>
      </c>
      <c r="C77" s="1">
        <f>C78-C76</f>
        <v>1047400</v>
      </c>
      <c r="D77" s="1"/>
      <c r="E77" s="10">
        <f>E78-E76</f>
        <v>492400</v>
      </c>
      <c r="F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>
      <c r="B78" t="s">
        <v>85</v>
      </c>
      <c r="C78" s="3">
        <f>C46</f>
        <v>2402400</v>
      </c>
      <c r="D78" s="1"/>
      <c r="E78" s="3">
        <f>C78</f>
        <v>2402400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>
      <c r="C79" s="1"/>
      <c r="D79" s="1"/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>
      <c r="B80" t="s">
        <v>289</v>
      </c>
      <c r="C80" s="1"/>
      <c r="D80" s="1"/>
      <c r="E80" s="10"/>
      <c r="F80" s="1">
        <f>E77-C77</f>
        <v>-555000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>
      <c r="B81" t="s">
        <v>290</v>
      </c>
      <c r="C81" s="1"/>
      <c r="D81" s="1"/>
      <c r="E81" s="10"/>
      <c r="F81" s="1">
        <f>C45</f>
        <v>686400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>
      <c r="B82" s="11" t="s">
        <v>97</v>
      </c>
      <c r="C82" s="12"/>
      <c r="D82" s="12"/>
      <c r="E82" s="13"/>
      <c r="F82" s="12">
        <f>SUM(F80:F81)</f>
        <v>131400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>
      <c r="B84" t="s">
        <v>283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>
      <c r="B85" s="1" t="s">
        <v>291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>
      <c r="B86" t="s">
        <v>284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>
      <c r="B88" t="s">
        <v>99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>
      <c r="B89" t="s">
        <v>285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>
      <c r="B90" t="s">
        <v>100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</sheetData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Header>&amp;COppgave 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H64" sqref="H64"/>
    </sheetView>
  </sheetViews>
  <sheetFormatPr baseColWidth="10" defaultRowHeight="12.75"/>
  <cols>
    <col min="1" max="1" width="4" style="28" customWidth="1"/>
    <col min="2" max="2" width="19.28515625" style="28" bestFit="1" customWidth="1"/>
    <col min="3" max="256" width="9.140625" style="28" customWidth="1"/>
    <col min="257" max="16384" width="11.42578125" style="28"/>
  </cols>
  <sheetData>
    <row r="1" spans="1:4">
      <c r="A1" s="29" t="s">
        <v>280</v>
      </c>
    </row>
    <row r="3" spans="1:4">
      <c r="A3" s="28" t="s">
        <v>123</v>
      </c>
      <c r="B3" s="29" t="s">
        <v>128</v>
      </c>
    </row>
    <row r="4" spans="1:4">
      <c r="B4" s="28" t="s">
        <v>149</v>
      </c>
      <c r="C4" s="42">
        <v>2000</v>
      </c>
    </row>
    <row r="5" spans="1:4">
      <c r="B5" s="28" t="s">
        <v>139</v>
      </c>
      <c r="C5" s="43">
        <v>0.4</v>
      </c>
    </row>
    <row r="6" spans="1:4">
      <c r="B6" s="28" t="s">
        <v>12</v>
      </c>
      <c r="C6" s="41">
        <v>0.2</v>
      </c>
    </row>
    <row r="8" spans="1:4">
      <c r="B8" s="29" t="s">
        <v>132</v>
      </c>
    </row>
    <row r="9" spans="1:4">
      <c r="B9" s="28" t="str">
        <f>B4</f>
        <v>Inntakskost per enhet</v>
      </c>
      <c r="C9" s="28">
        <f>C4</f>
        <v>2000</v>
      </c>
    </row>
    <row r="10" spans="1:4">
      <c r="B10" s="36" t="s">
        <v>140</v>
      </c>
      <c r="C10" s="44">
        <f>C5*C9</f>
        <v>800</v>
      </c>
      <c r="D10" s="28" t="s">
        <v>141</v>
      </c>
    </row>
    <row r="11" spans="1:4">
      <c r="B11" s="38" t="s">
        <v>142</v>
      </c>
      <c r="C11" s="45">
        <f>SUM(C9:C10)</f>
        <v>2800</v>
      </c>
    </row>
    <row r="12" spans="1:4">
      <c r="B12" s="38" t="s">
        <v>143</v>
      </c>
      <c r="C12" s="45">
        <f>C11*C6</f>
        <v>560</v>
      </c>
      <c r="D12" s="28" t="s">
        <v>144</v>
      </c>
    </row>
    <row r="13" spans="1:4" ht="13.5" thickBot="1">
      <c r="B13" s="39" t="s">
        <v>145</v>
      </c>
      <c r="C13" s="46">
        <f>SUM(C11:C12)</f>
        <v>3360</v>
      </c>
    </row>
    <row r="14" spans="1:4" ht="13.5" thickTop="1">
      <c r="C14" s="42"/>
    </row>
    <row r="16" spans="1:4" ht="15">
      <c r="A16" s="40" t="s">
        <v>37</v>
      </c>
      <c r="B16" t="s">
        <v>150</v>
      </c>
    </row>
    <row r="18" spans="2:2">
      <c r="B18" s="28" t="s">
        <v>151</v>
      </c>
    </row>
  </sheetData>
  <printOptions headings="1"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workbookViewId="0">
      <selection activeCell="H64" sqref="H64"/>
    </sheetView>
  </sheetViews>
  <sheetFormatPr baseColWidth="10" defaultRowHeight="15.75"/>
  <cols>
    <col min="1" max="1" width="3.28515625" style="49" customWidth="1"/>
    <col min="2" max="2" width="18.7109375" style="49" bestFit="1" customWidth="1"/>
    <col min="3" max="3" width="5" style="49" customWidth="1"/>
    <col min="4" max="4" width="12.28515625" style="49" customWidth="1"/>
    <col min="5" max="5" width="10.140625" style="49" customWidth="1"/>
    <col min="6" max="256" width="9.140625" style="49" customWidth="1"/>
    <col min="257" max="16384" width="11.42578125" style="49"/>
  </cols>
  <sheetData>
    <row r="1" spans="1:6">
      <c r="A1" s="106" t="s">
        <v>280</v>
      </c>
    </row>
    <row r="2" spans="1:6" ht="15" customHeight="1"/>
    <row r="3" spans="1:6" ht="15" customHeight="1">
      <c r="B3" s="49" t="s">
        <v>155</v>
      </c>
      <c r="C3" s="49" t="s">
        <v>156</v>
      </c>
      <c r="E3" s="53">
        <v>3600000</v>
      </c>
    </row>
    <row r="4" spans="1:6" ht="15" customHeight="1">
      <c r="B4" s="49" t="s">
        <v>157</v>
      </c>
      <c r="C4" s="49" t="s">
        <v>156</v>
      </c>
      <c r="E4" s="53">
        <v>2200000</v>
      </c>
    </row>
    <row r="5" spans="1:6" ht="15" customHeight="1">
      <c r="B5" s="49" t="s">
        <v>152</v>
      </c>
      <c r="C5" s="49" t="s">
        <v>156</v>
      </c>
      <c r="D5" s="53">
        <v>300000</v>
      </c>
    </row>
    <row r="6" spans="1:6" ht="15" customHeight="1">
      <c r="B6" s="49" t="s">
        <v>158</v>
      </c>
      <c r="C6" s="49" t="s">
        <v>156</v>
      </c>
      <c r="D6" s="53">
        <v>240000</v>
      </c>
    </row>
    <row r="7" spans="1:6" ht="15" customHeight="1">
      <c r="B7" s="49" t="s">
        <v>154</v>
      </c>
      <c r="C7" s="49" t="s">
        <v>156</v>
      </c>
      <c r="D7" s="53">
        <v>60000</v>
      </c>
    </row>
    <row r="8" spans="1:6" ht="15" customHeight="1">
      <c r="B8" s="49" t="s">
        <v>153</v>
      </c>
      <c r="C8" s="49" t="s">
        <v>156</v>
      </c>
      <c r="D8" s="53">
        <v>500000</v>
      </c>
      <c r="E8" s="50">
        <f>SUM(D5:D8)</f>
        <v>1100000</v>
      </c>
      <c r="F8" s="49" t="s">
        <v>159</v>
      </c>
    </row>
    <row r="9" spans="1:6" ht="15" customHeight="1">
      <c r="B9" s="54" t="s">
        <v>161</v>
      </c>
      <c r="C9" s="54"/>
      <c r="D9" s="55"/>
      <c r="E9" s="51">
        <f>E3-E4-E8</f>
        <v>300000</v>
      </c>
    </row>
    <row r="10" spans="1:6" ht="15" customHeight="1">
      <c r="B10" s="56"/>
      <c r="C10" s="56"/>
      <c r="D10" s="53"/>
      <c r="E10" s="50"/>
    </row>
    <row r="11" spans="1:6" ht="15" customHeight="1">
      <c r="B11" s="56"/>
      <c r="C11" s="56"/>
      <c r="D11" s="53"/>
      <c r="E11" s="50"/>
    </row>
    <row r="12" spans="1:6" ht="15" customHeight="1"/>
    <row r="13" spans="1:6" ht="15" customHeight="1">
      <c r="A13" s="49" t="s">
        <v>123</v>
      </c>
      <c r="B13" s="49" t="s">
        <v>160</v>
      </c>
    </row>
    <row r="14" spans="1:6" ht="15" customHeight="1"/>
    <row r="15" spans="1:6" ht="15" customHeight="1">
      <c r="A15" s="49" t="s">
        <v>37</v>
      </c>
      <c r="B15" s="49" t="s">
        <v>162</v>
      </c>
    </row>
    <row r="16" spans="1:6">
      <c r="B16" s="49" t="s">
        <v>166</v>
      </c>
    </row>
    <row r="18" spans="1:5">
      <c r="A18" s="49" t="s">
        <v>63</v>
      </c>
      <c r="B18" s="49" t="s">
        <v>163</v>
      </c>
    </row>
    <row r="19" spans="1:5" ht="15" customHeight="1">
      <c r="B19" s="49" t="s">
        <v>164</v>
      </c>
    </row>
    <row r="20" spans="1:5">
      <c r="B20" s="49" t="s">
        <v>165</v>
      </c>
    </row>
    <row r="22" spans="1:5">
      <c r="A22" s="49" t="s">
        <v>167</v>
      </c>
      <c r="B22" s="49" t="s">
        <v>168</v>
      </c>
    </row>
    <row r="23" spans="1:5">
      <c r="B23" s="49" t="s">
        <v>169</v>
      </c>
    </row>
    <row r="26" spans="1:5">
      <c r="A26" s="49" t="s">
        <v>177</v>
      </c>
      <c r="B26" s="49" t="s">
        <v>170</v>
      </c>
      <c r="E26" s="53">
        <v>18000</v>
      </c>
    </row>
    <row r="27" spans="1:5">
      <c r="B27" s="57" t="s">
        <v>171</v>
      </c>
      <c r="C27" s="58"/>
      <c r="D27" s="58"/>
      <c r="E27" s="59">
        <v>2000</v>
      </c>
    </row>
    <row r="28" spans="1:5">
      <c r="B28" s="52" t="s">
        <v>172</v>
      </c>
      <c r="E28" s="53">
        <f>SUM(E26:E27)</f>
        <v>20000</v>
      </c>
    </row>
    <row r="29" spans="1:5">
      <c r="B29" s="57" t="s">
        <v>173</v>
      </c>
      <c r="C29" s="58"/>
      <c r="D29" s="58"/>
      <c r="E29" s="59">
        <f>E28*50%</f>
        <v>10000</v>
      </c>
    </row>
    <row r="30" spans="1:5">
      <c r="B30" s="52" t="s">
        <v>174</v>
      </c>
      <c r="E30" s="53">
        <f>SUM(E28:E29)</f>
        <v>30000</v>
      </c>
    </row>
    <row r="31" spans="1:5">
      <c r="B31" s="57" t="s">
        <v>175</v>
      </c>
      <c r="C31" s="58"/>
      <c r="D31" s="58"/>
      <c r="E31" s="59">
        <f>E30*0.091</f>
        <v>2730</v>
      </c>
    </row>
    <row r="32" spans="1:5">
      <c r="B32" s="57" t="s">
        <v>176</v>
      </c>
      <c r="C32" s="58"/>
      <c r="D32" s="58"/>
      <c r="E32" s="59">
        <f>SUM(E30:E31)</f>
        <v>32730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H64" sqref="H64"/>
    </sheetView>
  </sheetViews>
  <sheetFormatPr baseColWidth="10" defaultRowHeight="15"/>
  <cols>
    <col min="1" max="1" width="6.140625" customWidth="1"/>
    <col min="2" max="2" width="31.7109375" customWidth="1"/>
    <col min="3" max="3" width="2.5703125" bestFit="1" customWidth="1"/>
  </cols>
  <sheetData>
    <row r="1" spans="1:5">
      <c r="A1" s="9" t="s">
        <v>280</v>
      </c>
    </row>
    <row r="3" spans="1:5" ht="15" customHeight="1">
      <c r="B3" s="61" t="s">
        <v>178</v>
      </c>
      <c r="C3" s="63" t="s">
        <v>156</v>
      </c>
      <c r="D3" s="64">
        <v>35000</v>
      </c>
    </row>
    <row r="4" spans="1:5" s="47" customFormat="1" ht="15" customHeight="1">
      <c r="B4" s="61" t="s">
        <v>179</v>
      </c>
      <c r="C4" s="63" t="s">
        <v>156</v>
      </c>
      <c r="D4" s="64">
        <v>8000</v>
      </c>
    </row>
    <row r="5" spans="1:5" s="47" customFormat="1" ht="15" customHeight="1">
      <c r="B5" s="61" t="s">
        <v>180</v>
      </c>
      <c r="C5" s="63" t="s">
        <v>156</v>
      </c>
      <c r="D5" s="64">
        <v>40000</v>
      </c>
    </row>
    <row r="6" spans="1:5" s="47" customFormat="1" ht="15" customHeight="1">
      <c r="B6" s="65" t="s">
        <v>181</v>
      </c>
      <c r="C6" s="66" t="s">
        <v>156</v>
      </c>
      <c r="D6" s="67">
        <v>7000</v>
      </c>
    </row>
    <row r="7" spans="1:5" s="47" customFormat="1" ht="15" customHeight="1">
      <c r="B7" s="65" t="s">
        <v>182</v>
      </c>
      <c r="C7" s="66" t="str">
        <f>C6</f>
        <v>kr</v>
      </c>
      <c r="D7" s="67">
        <f>SUM(D3:D6)</f>
        <v>90000</v>
      </c>
    </row>
    <row r="8" spans="1:5" s="47" customFormat="1" ht="15" customHeight="1">
      <c r="B8" s="61"/>
      <c r="C8" s="63"/>
      <c r="D8" s="63"/>
    </row>
    <row r="9" spans="1:5" s="47" customFormat="1" ht="15" customHeight="1">
      <c r="B9" s="61" t="s">
        <v>183</v>
      </c>
      <c r="C9" s="63"/>
      <c r="D9" s="64">
        <v>1200</v>
      </c>
      <c r="E9" s="47" t="s">
        <v>3</v>
      </c>
    </row>
    <row r="10" spans="1:5" ht="15" customHeight="1">
      <c r="B10" s="61"/>
      <c r="C10" s="48"/>
      <c r="D10" s="48"/>
    </row>
    <row r="11" spans="1:5" ht="15" customHeight="1">
      <c r="B11" s="61" t="s">
        <v>184</v>
      </c>
      <c r="C11" s="48" t="str">
        <f>C7</f>
        <v>kr</v>
      </c>
      <c r="D11" s="48">
        <f>D7/D9</f>
        <v>75</v>
      </c>
    </row>
    <row r="12" spans="1:5" ht="15" customHeight="1">
      <c r="B12" s="61" t="s">
        <v>189</v>
      </c>
      <c r="C12" s="48"/>
      <c r="D12" s="62">
        <v>0.12</v>
      </c>
    </row>
    <row r="13" spans="1:5" ht="15" customHeight="1">
      <c r="B13" s="48"/>
      <c r="C13" s="48"/>
      <c r="D13" s="48"/>
    </row>
    <row r="14" spans="1:5" ht="15" customHeight="1">
      <c r="B14" s="48" t="s">
        <v>185</v>
      </c>
      <c r="C14" s="48"/>
      <c r="D14" s="48"/>
    </row>
    <row r="15" spans="1:5" ht="15" customHeight="1">
      <c r="B15" s="48" t="s">
        <v>186</v>
      </c>
      <c r="C15" s="48" t="str">
        <f>$C$3</f>
        <v>kr</v>
      </c>
      <c r="D15" s="64">
        <v>300</v>
      </c>
    </row>
    <row r="16" spans="1:5" ht="15" customHeight="1">
      <c r="B16" s="68" t="str">
        <f>B11</f>
        <v>Indirekte kostnader per time</v>
      </c>
      <c r="C16" s="68" t="str">
        <f>$C$3</f>
        <v>kr</v>
      </c>
      <c r="D16" s="67">
        <f>D11</f>
        <v>75</v>
      </c>
    </row>
    <row r="17" spans="2:4" ht="15" customHeight="1">
      <c r="B17" s="48" t="s">
        <v>187</v>
      </c>
      <c r="C17" s="48" t="str">
        <f>$C$3</f>
        <v>kr</v>
      </c>
      <c r="D17" s="64">
        <f>SUM(D15:D16)</f>
        <v>375</v>
      </c>
    </row>
    <row r="18" spans="2:4" ht="15" customHeight="1">
      <c r="B18" s="68" t="s">
        <v>188</v>
      </c>
      <c r="C18" s="68" t="str">
        <f>$C$3</f>
        <v>kr</v>
      </c>
      <c r="D18" s="67">
        <f>D17*D12</f>
        <v>45</v>
      </c>
    </row>
    <row r="19" spans="2:4" ht="15" customHeight="1">
      <c r="B19" s="68" t="s">
        <v>14</v>
      </c>
      <c r="C19" s="68" t="str">
        <f>$C$3</f>
        <v>kr</v>
      </c>
      <c r="D19" s="67">
        <f>SUM(D17:D18)</f>
        <v>420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H64" sqref="H64"/>
    </sheetView>
  </sheetViews>
  <sheetFormatPr baseColWidth="10" defaultRowHeight="15"/>
  <cols>
    <col min="1" max="1" width="3.42578125" customWidth="1"/>
    <col min="2" max="2" width="37.42578125" bestFit="1" customWidth="1"/>
    <col min="3" max="3" width="12.28515625" bestFit="1" customWidth="1"/>
  </cols>
  <sheetData>
    <row r="1" spans="1:3">
      <c r="A1" s="9" t="s">
        <v>280</v>
      </c>
    </row>
    <row r="3" spans="1:3">
      <c r="B3" s="9" t="s">
        <v>128</v>
      </c>
    </row>
    <row r="4" spans="1:3">
      <c r="B4" t="s">
        <v>190</v>
      </c>
      <c r="C4">
        <v>250</v>
      </c>
    </row>
    <row r="5" spans="1:3">
      <c r="B5" t="s">
        <v>191</v>
      </c>
      <c r="C5" s="70">
        <v>1800</v>
      </c>
    </row>
    <row r="6" spans="1:3">
      <c r="B6" t="s">
        <v>10</v>
      </c>
      <c r="C6" s="60">
        <v>0.38</v>
      </c>
    </row>
    <row r="7" spans="1:3">
      <c r="B7" t="s">
        <v>192</v>
      </c>
      <c r="C7" s="70">
        <v>657700</v>
      </c>
    </row>
    <row r="8" spans="1:3">
      <c r="B8" t="s">
        <v>12</v>
      </c>
      <c r="C8" s="60">
        <v>0.1</v>
      </c>
    </row>
    <row r="9" spans="1:3">
      <c r="B9" t="s">
        <v>193</v>
      </c>
      <c r="C9">
        <v>5</v>
      </c>
    </row>
    <row r="10" spans="1:3">
      <c r="B10" t="s">
        <v>194</v>
      </c>
      <c r="C10" s="70">
        <v>1450</v>
      </c>
    </row>
    <row r="12" spans="1:3">
      <c r="A12" t="s">
        <v>123</v>
      </c>
      <c r="B12" t="s">
        <v>195</v>
      </c>
      <c r="C12" s="70">
        <f>C4*C5*C9</f>
        <v>2250000</v>
      </c>
    </row>
    <row r="13" spans="1:3">
      <c r="B13" t="s">
        <v>196</v>
      </c>
      <c r="C13" s="70">
        <f>C12*C6</f>
        <v>855000</v>
      </c>
    </row>
    <row r="14" spans="1:3">
      <c r="B14" s="69" t="s">
        <v>197</v>
      </c>
      <c r="C14" s="71">
        <f>C7</f>
        <v>657700</v>
      </c>
    </row>
    <row r="15" spans="1:3">
      <c r="B15" t="s">
        <v>11</v>
      </c>
      <c r="C15" s="70">
        <f>SUM(C12:C14)</f>
        <v>3762700</v>
      </c>
    </row>
    <row r="16" spans="1:3">
      <c r="B16" s="69" t="s">
        <v>198</v>
      </c>
      <c r="C16" s="71">
        <f>C15*C8</f>
        <v>376270</v>
      </c>
    </row>
    <row r="17" spans="1:3">
      <c r="B17" s="69" t="s">
        <v>199</v>
      </c>
      <c r="C17" s="71">
        <f>SUM(C15:C16)</f>
        <v>4138970</v>
      </c>
    </row>
    <row r="19" spans="1:3">
      <c r="B19" t="s">
        <v>200</v>
      </c>
      <c r="C19" s="70">
        <f>ROUND(C17/(C9*C10),-0.5)</f>
        <v>571</v>
      </c>
    </row>
    <row r="20" spans="1:3">
      <c r="C20" s="70"/>
    </row>
    <row r="21" spans="1:3">
      <c r="A21" t="s">
        <v>37</v>
      </c>
      <c r="B21" t="s">
        <v>201</v>
      </c>
      <c r="C21" s="72">
        <f>3.5*(C19)</f>
        <v>1998.5</v>
      </c>
    </row>
    <row r="22" spans="1:3">
      <c r="B22" t="s">
        <v>202</v>
      </c>
      <c r="C22" s="72">
        <v>1250</v>
      </c>
    </row>
    <row r="23" spans="1:3">
      <c r="B23" s="69" t="s">
        <v>203</v>
      </c>
      <c r="C23" s="73">
        <v>85</v>
      </c>
    </row>
    <row r="24" spans="1:3">
      <c r="B24" s="69" t="s">
        <v>204</v>
      </c>
      <c r="C24" s="74">
        <f>SUM(C21:C23)</f>
        <v>3333.5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zoomScaleNormal="100" workbookViewId="0">
      <selection activeCell="H64" sqref="H64"/>
    </sheetView>
  </sheetViews>
  <sheetFormatPr baseColWidth="10" defaultRowHeight="15"/>
  <cols>
    <col min="1" max="1" width="3.28515625" customWidth="1"/>
    <col min="2" max="2" width="25.28515625" customWidth="1"/>
  </cols>
  <sheetData>
    <row r="1" spans="1:22">
      <c r="A1" s="9" t="s">
        <v>280</v>
      </c>
    </row>
    <row r="3" spans="1:22">
      <c r="B3" t="s">
        <v>0</v>
      </c>
      <c r="C3" s="1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B4" t="s">
        <v>1</v>
      </c>
      <c r="C4" s="1">
        <v>240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B5" t="s">
        <v>2</v>
      </c>
      <c r="C5" s="1">
        <v>1800</v>
      </c>
      <c r="D5" s="1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B6" t="s">
        <v>4</v>
      </c>
      <c r="C6" s="2">
        <v>0.4</v>
      </c>
      <c r="D6" s="1" t="s">
        <v>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B7" t="s">
        <v>6</v>
      </c>
      <c r="C7" s="1">
        <v>1205600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B8" t="s">
        <v>7</v>
      </c>
      <c r="C8" s="2">
        <v>0.1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B9" t="s">
        <v>293</v>
      </c>
      <c r="C9" s="1">
        <v>15000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49" t="s">
        <v>123</v>
      </c>
      <c r="B11" s="49" t="s">
        <v>205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B12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B13" t="s">
        <v>9</v>
      </c>
      <c r="C13" s="1">
        <f>C3*C4*C5</f>
        <v>4320000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B14" t="s">
        <v>10</v>
      </c>
      <c r="C14" s="1">
        <f>C6*C13</f>
        <v>1728000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B15" s="69" t="s">
        <v>197</v>
      </c>
      <c r="C15" s="75">
        <f>C7</f>
        <v>1205600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B16" t="s">
        <v>11</v>
      </c>
      <c r="C16" s="3">
        <f>SUM(C13:C15)</f>
        <v>7253600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B17" s="69" t="s">
        <v>12</v>
      </c>
      <c r="C17" s="75">
        <f>C16*C8</f>
        <v>725360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B18" s="69" t="s">
        <v>13</v>
      </c>
      <c r="C18" s="76">
        <f>SUM(C16:C17)</f>
        <v>7978960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B20" t="s">
        <v>14</v>
      </c>
      <c r="C20" s="4">
        <f>ROUND(C18/C9,0.5)</f>
        <v>532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t="s">
        <v>15</v>
      </c>
      <c r="B22" t="s">
        <v>17</v>
      </c>
      <c r="C22" s="4">
        <v>924.5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B23" s="69" t="s">
        <v>16</v>
      </c>
      <c r="C23" s="77">
        <f>0.8*C22</f>
        <v>739.6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B24" t="s">
        <v>18</v>
      </c>
      <c r="C24" s="4">
        <f>SUM(C22:C23)</f>
        <v>1664.1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B25" t="s">
        <v>19</v>
      </c>
      <c r="C25" s="4">
        <f>4*C20</f>
        <v>2128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B26" s="69" t="s">
        <v>20</v>
      </c>
      <c r="C26" s="77">
        <v>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B27" s="69" t="s">
        <v>21</v>
      </c>
      <c r="C27" s="78">
        <f>SUM(C24:C26)</f>
        <v>3842.1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3:22"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3:2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3:2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3:2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3:2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3:2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3:2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2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3:2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3:2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3:2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3:2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3:2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3:2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3:2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2"/>
  <sheetViews>
    <sheetView zoomScaleNormal="100" workbookViewId="0">
      <selection activeCell="H64" sqref="H64"/>
    </sheetView>
  </sheetViews>
  <sheetFormatPr baseColWidth="10" defaultRowHeight="15"/>
  <cols>
    <col min="1" max="1" width="4.7109375" customWidth="1"/>
    <col min="2" max="2" width="19.7109375" customWidth="1"/>
  </cols>
  <sheetData>
    <row r="1" spans="1:31">
      <c r="A1" s="9" t="s">
        <v>280</v>
      </c>
    </row>
    <row r="3" spans="1:31">
      <c r="A3" s="1"/>
      <c r="B3" s="3" t="s">
        <v>209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>
      <c r="A4" s="1"/>
      <c r="B4" t="s">
        <v>31</v>
      </c>
      <c r="C4" s="6">
        <v>0.15</v>
      </c>
      <c r="D4" t="s">
        <v>34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/>
      <c r="B5" t="s">
        <v>32</v>
      </c>
      <c r="C5" s="6">
        <v>0.5</v>
      </c>
      <c r="D5" t="s">
        <v>35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/>
      <c r="B6" s="1" t="s">
        <v>33</v>
      </c>
      <c r="C6" s="6">
        <v>0.1</v>
      </c>
      <c r="D6" t="s">
        <v>36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/>
      <c r="B7" s="1" t="s">
        <v>206</v>
      </c>
      <c r="C7" s="6">
        <v>0.1</v>
      </c>
      <c r="D7" t="s">
        <v>207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/>
      <c r="B9" s="3" t="s">
        <v>210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/>
      <c r="B10" t="s">
        <v>29</v>
      </c>
      <c r="C10" s="4">
        <v>1500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1"/>
      <c r="B11" s="69" t="s">
        <v>9</v>
      </c>
      <c r="C11" s="77">
        <v>1200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 s="1"/>
      <c r="B12" s="1" t="s">
        <v>30</v>
      </c>
      <c r="C12" s="5">
        <f>SUM(C10:C11)</f>
        <v>2700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A13" s="1"/>
      <c r="B13" s="1" t="s">
        <v>38</v>
      </c>
      <c r="C13" s="4">
        <f>C4*C10</f>
        <v>225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>
      <c r="A14" s="1"/>
      <c r="B14" s="75" t="s">
        <v>39</v>
      </c>
      <c r="C14" s="77">
        <f>C5*C11</f>
        <v>600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1"/>
      <c r="B15" s="1" t="s">
        <v>40</v>
      </c>
      <c r="C15" s="5">
        <f>SUM(C12:C14)</f>
        <v>3525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>
      <c r="A16" s="1"/>
      <c r="B16" s="75" t="s">
        <v>41</v>
      </c>
      <c r="C16" s="77">
        <f>C6*C15</f>
        <v>352.5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A17" s="1"/>
      <c r="B17" s="1" t="s">
        <v>11</v>
      </c>
      <c r="C17" s="5">
        <f>SUM(C15:C16)</f>
        <v>3877.5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A18" s="1"/>
      <c r="B18" s="75" t="s">
        <v>12</v>
      </c>
      <c r="C18" s="77">
        <f>C17*C7</f>
        <v>387.75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>
      <c r="A19" s="1"/>
      <c r="B19" s="75" t="s">
        <v>208</v>
      </c>
      <c r="C19" s="77">
        <f>SUM(C17:C18)</f>
        <v>4265.25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1"/>
      <c r="B20" s="1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1"/>
      <c r="B21" s="1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1"/>
      <c r="B22" s="1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1"/>
      <c r="B23" s="1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2"/>
  <sheetViews>
    <sheetView zoomScaleNormal="100" workbookViewId="0">
      <selection activeCell="H64" sqref="H64"/>
    </sheetView>
  </sheetViews>
  <sheetFormatPr baseColWidth="10" defaultRowHeight="15"/>
  <cols>
    <col min="1" max="1" width="4" customWidth="1"/>
    <col min="2" max="2" width="21.140625" customWidth="1"/>
    <col min="3" max="3" width="11.42578125" customWidth="1"/>
    <col min="4" max="4" width="14.42578125" customWidth="1"/>
    <col min="5" max="5" width="19.7109375" customWidth="1"/>
  </cols>
  <sheetData>
    <row r="1" spans="1:34">
      <c r="A1" s="9" t="s">
        <v>280</v>
      </c>
    </row>
    <row r="3" spans="1:34">
      <c r="B3" t="s">
        <v>22</v>
      </c>
    </row>
    <row r="4" spans="1:34">
      <c r="A4" s="9"/>
    </row>
    <row r="5" spans="1:34">
      <c r="B5" t="s">
        <v>23</v>
      </c>
    </row>
    <row r="6" spans="1:34">
      <c r="B6" t="s">
        <v>24</v>
      </c>
      <c r="C6" s="1">
        <v>90000</v>
      </c>
      <c r="D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B7" t="s">
        <v>25</v>
      </c>
      <c r="C7" s="1">
        <v>720000</v>
      </c>
      <c r="D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B8" s="69" t="s">
        <v>26</v>
      </c>
      <c r="C8" s="75">
        <v>125500</v>
      </c>
      <c r="D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>
      <c r="B9" s="69" t="s">
        <v>27</v>
      </c>
      <c r="C9" s="75">
        <f>SUM(C6:C8)</f>
        <v>935500</v>
      </c>
      <c r="D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>
      <c r="C10" s="1"/>
      <c r="D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>
      <c r="B11" t="s">
        <v>28</v>
      </c>
      <c r="C11" s="1"/>
      <c r="D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>
      <c r="B12" t="s">
        <v>29</v>
      </c>
      <c r="C12" s="1">
        <v>800000</v>
      </c>
      <c r="D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>
      <c r="B13" s="69" t="s">
        <v>9</v>
      </c>
      <c r="C13" s="75">
        <v>900000</v>
      </c>
      <c r="D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B14" s="69" t="s">
        <v>30</v>
      </c>
      <c r="C14" s="75">
        <f>SUM(C12:C13)</f>
        <v>1700000</v>
      </c>
      <c r="D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>
      <c r="C15" s="1"/>
      <c r="D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>
      <c r="B16" s="1"/>
      <c r="C16" s="1"/>
      <c r="D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t="s">
        <v>123</v>
      </c>
      <c r="B17" s="1" t="s">
        <v>209</v>
      </c>
      <c r="C17" s="1"/>
      <c r="D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B18" t="s">
        <v>31</v>
      </c>
      <c r="C18" s="6">
        <f>C6/C12</f>
        <v>0.1125</v>
      </c>
      <c r="D18" t="s">
        <v>34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>
      <c r="B19" t="s">
        <v>32</v>
      </c>
      <c r="C19" s="6">
        <f>C7/C13</f>
        <v>0.8</v>
      </c>
      <c r="D19" t="s">
        <v>35</v>
      </c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B20" s="1" t="s">
        <v>33</v>
      </c>
      <c r="C20" s="6">
        <f>C8/(C14+C6+C7)</f>
        <v>0.05</v>
      </c>
      <c r="D20" t="s">
        <v>36</v>
      </c>
      <c r="E20" s="1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>
      <c r="B21" s="1"/>
      <c r="C21" s="1"/>
      <c r="D21" s="1"/>
      <c r="E21" s="1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>
      <c r="C22" s="1"/>
      <c r="D22" s="1"/>
      <c r="E22" s="1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1" t="s">
        <v>37</v>
      </c>
      <c r="B23" t="s">
        <v>29</v>
      </c>
      <c r="C23" s="4">
        <v>750</v>
      </c>
      <c r="D23" s="1"/>
      <c r="E23" s="1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B24" s="69" t="s">
        <v>9</v>
      </c>
      <c r="C24" s="77">
        <v>800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>
      <c r="B25" s="1" t="s">
        <v>30</v>
      </c>
      <c r="C25" s="5">
        <f>SUM(C23:C24)</f>
        <v>1550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>
      <c r="B26" s="1" t="s">
        <v>38</v>
      </c>
      <c r="C26" s="4">
        <f>C18*C23</f>
        <v>84.375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B27" s="75" t="s">
        <v>39</v>
      </c>
      <c r="C27" s="77">
        <f>C19*C24</f>
        <v>640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>
      <c r="B28" s="1" t="s">
        <v>40</v>
      </c>
      <c r="C28" s="5">
        <f>SUM(C25:C27)</f>
        <v>2274.375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B29" s="75" t="s">
        <v>41</v>
      </c>
      <c r="C29" s="77">
        <f>C20*C28</f>
        <v>113.71875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B30" s="75" t="s">
        <v>11</v>
      </c>
      <c r="C30" s="78">
        <f>SUM(C28:C29)</f>
        <v>2388.09375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3:3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3:3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3:34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3:34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3:3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3:3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3:3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3:3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3:3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3:34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3:34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3:34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3:34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3:34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3:34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3:3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3:3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3:3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3:3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3:3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3:3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3:3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3:3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3:3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3:3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3:3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3:3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3:3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3:3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3:3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3:3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3:3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3:3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3:3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3:3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3:3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3:3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3:3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3:3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3:3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3:3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3:3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3:3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3:3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3:3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3:3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3:3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3:3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3:3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3:3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3:3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3:3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3:3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3:3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3:3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3:3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3:3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3:3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3:3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3:3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3:3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3:3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3:3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3:3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3:34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3:34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3:34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3:34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3:34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3:34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3:34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3:34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3:34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3:34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3:34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3:34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3:34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3:34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3:34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3:34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3:34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3:34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3:34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3:34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3:34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3:34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3:34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3:34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3:34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3:34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3:34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3:34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3:34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3:34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3:34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3:34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3:34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3:34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3:34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3:34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3:34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3:34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3:34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3:34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3:34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3:34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3:34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3:34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3:34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3:34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3:34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3:34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3:34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3:34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3:34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3:34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3:34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3:34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3:34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3:34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3:34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3:34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3:34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3:34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3:34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3:34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3:34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3:34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3:34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3:34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3:34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3:34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3:34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3:34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3:34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3:34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3:34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3:34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3:34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3:34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3:34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3:34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3:34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3:34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3:34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3:34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3:34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3:34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3:34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3:34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3:34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3:34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3:34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3:34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3:34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3:34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3:34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3:34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3:34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3:34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3:34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3:34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3:34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3:34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3:34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3:34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3:34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3:34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3:34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3:34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3:34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3:34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3:34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3:34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3:34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3:34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3:34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3:34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3:34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3:34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3:34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3:34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3:34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3:34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3:34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3:34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3:34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3:34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3:34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3:34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3:34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3:34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3:34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3:34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3:34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3:34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3:34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3:34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3:34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3:34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3:34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3:34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3:34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3:34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3:34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3:34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3:34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3:34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3:34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3:34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0"/>
  <sheetViews>
    <sheetView zoomScaleNormal="100" workbookViewId="0">
      <selection activeCell="H64" sqref="H64"/>
    </sheetView>
  </sheetViews>
  <sheetFormatPr baseColWidth="10" defaultRowHeight="15"/>
  <cols>
    <col min="1" max="1" width="4" customWidth="1"/>
    <col min="2" max="2" width="21.140625" customWidth="1"/>
    <col min="3" max="3" width="11.42578125" customWidth="1"/>
    <col min="4" max="4" width="14.42578125" customWidth="1"/>
    <col min="5" max="5" width="19.7109375" customWidth="1"/>
  </cols>
  <sheetData>
    <row r="1" spans="1:34">
      <c r="A1" s="9" t="s">
        <v>280</v>
      </c>
    </row>
    <row r="2" spans="1:34">
      <c r="B2" s="1"/>
      <c r="C2" s="1"/>
      <c r="D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B3" s="1" t="s">
        <v>209</v>
      </c>
      <c r="C3" s="1"/>
      <c r="D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>
      <c r="B4" t="s">
        <v>31</v>
      </c>
      <c r="C4" s="6">
        <v>0.1</v>
      </c>
      <c r="D4" t="s">
        <v>34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B5" t="s">
        <v>211</v>
      </c>
      <c r="C5" s="6">
        <v>0.4</v>
      </c>
      <c r="D5" t="s">
        <v>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>
      <c r="B6" t="s">
        <v>212</v>
      </c>
      <c r="C6" s="4">
        <v>100</v>
      </c>
      <c r="D6" t="s">
        <v>213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B7" s="1" t="s">
        <v>33</v>
      </c>
      <c r="C7" s="6">
        <v>0.06</v>
      </c>
      <c r="D7" t="s">
        <v>36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B8" s="1" t="s">
        <v>206</v>
      </c>
      <c r="C8" s="6">
        <v>0.15</v>
      </c>
      <c r="D8" s="1" t="s">
        <v>214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>
      <c r="C9" s="1"/>
      <c r="D9" s="1"/>
      <c r="E9" s="1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>
      <c r="B10" t="s">
        <v>215</v>
      </c>
      <c r="C10" s="1"/>
      <c r="D10" s="1"/>
      <c r="E10" s="1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>
      <c r="B11" t="s">
        <v>218</v>
      </c>
      <c r="C11" s="1">
        <v>1100</v>
      </c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>
      <c r="B12" t="s">
        <v>216</v>
      </c>
      <c r="C12" s="1">
        <v>1000</v>
      </c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>
      <c r="B13" t="s">
        <v>217</v>
      </c>
      <c r="C13" s="1">
        <v>1600</v>
      </c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B14" t="s">
        <v>219</v>
      </c>
      <c r="C14" s="1">
        <v>5</v>
      </c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>
      <c r="A19" s="1"/>
      <c r="B19" t="s">
        <v>29</v>
      </c>
      <c r="C19" s="4">
        <f>C11</f>
        <v>1100</v>
      </c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A20" s="1"/>
      <c r="B20" t="str">
        <f>B12</f>
        <v>Direkte lønn avdeling 1</v>
      </c>
      <c r="C20" s="4">
        <f>C12</f>
        <v>1000</v>
      </c>
      <c r="D20" s="1"/>
      <c r="E20" s="1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>
      <c r="B21" s="69" t="str">
        <f>B13</f>
        <v>Direkte lønn avdeling 2</v>
      </c>
      <c r="C21" s="77">
        <f>C13</f>
        <v>1600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>
      <c r="B22" s="1" t="s">
        <v>30</v>
      </c>
      <c r="C22" s="5">
        <f>SUM(C19:C21)</f>
        <v>3700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B23" s="1" t="str">
        <f>B4</f>
        <v>Innkjøpsavd:</v>
      </c>
      <c r="C23" s="4">
        <f>C4*C19</f>
        <v>110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B24" s="1" t="str">
        <f>B5</f>
        <v>Tilvirkningsavd 1:</v>
      </c>
      <c r="C24" s="4">
        <f>C20*C5</f>
        <v>400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>
      <c r="B25" s="75" t="str">
        <f>B6</f>
        <v>Tilvirkningsavd 2:</v>
      </c>
      <c r="C25" s="77">
        <f>C14*C6</f>
        <v>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>
      <c r="B26" s="1" t="s">
        <v>40</v>
      </c>
      <c r="C26" s="5">
        <f>SUM(C22:C25)</f>
        <v>4710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B27" s="75" t="s">
        <v>41</v>
      </c>
      <c r="C27" s="77">
        <f>C7*C26</f>
        <v>282.59999999999997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>
      <c r="B28" s="79" t="s">
        <v>11</v>
      </c>
      <c r="C28" s="80">
        <f>SUM(C26:C27)</f>
        <v>4992.6000000000004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B29" s="75" t="s">
        <v>12</v>
      </c>
      <c r="C29" s="77">
        <f>C28*C8</f>
        <v>748.89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B30" s="69" t="s">
        <v>208</v>
      </c>
      <c r="C30" s="78">
        <f>SUM(C28:C29)</f>
        <v>5741.4900000000007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3:3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3:3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3:34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3:34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3:3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3:3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3:3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3:3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3:3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3:34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3:34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3:34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3:34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3:34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3:34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3:3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3:3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3:3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3:3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3:3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3:3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3:3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3:3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3:3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3:3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3:3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3:3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3:3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3:3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3:3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3:3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3:3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3:3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3:3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3:3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3:3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3:3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3:3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3:3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3:3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3:3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3:3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3:3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3:3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3:3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3:3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3:3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3:3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3:3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3:3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3:3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3:3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3:3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3:3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3:3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3:3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3:3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3:3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3:3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3:3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3:3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3:3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3:3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3:3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3:34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3:34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3:34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3:34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3:34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3:34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3:34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3:34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3:34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3:34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3:34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3:34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3:34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3:34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3:34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3:34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3:34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3:34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3:34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3:34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3:34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3:34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3:34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3:34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3:34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3:34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3:34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3:34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3:34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3:34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3:34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3:34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3:34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3:34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3:34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3:34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3:34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3:34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3:34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3:34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3:34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3:34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3:34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3:34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3:34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3:34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3:34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3:34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3:34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3:34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3:34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3:34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3:34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3:34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3:34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3:34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3:34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3:34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3:34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3:34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3:34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3:34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3:34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3:34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3:34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3:34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3:34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3:34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3:34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3:34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3:34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3:34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3:34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3:34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3:34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3:34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3:34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3:34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3:34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3:34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3:34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3:34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3:34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3:34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3:34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3:34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3:34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3:34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3:34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3:34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3:34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3:34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3:34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3:34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3:34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3:34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3:34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3:34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3:34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3:34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3:34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3:34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3:34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3:34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3:34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3:34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3:34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3:34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3:34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3:34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3:34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3:34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3:34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3:34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3:34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3:34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3:34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3:34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3:34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3:34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3:34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3:34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3:34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3:34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3:34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3:34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3:34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3:34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3:34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3:34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3:34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3:34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3:34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3:34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3:34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3:34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3:34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3:34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3:34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3:34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3:34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3:34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3:34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3:34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10.1</vt:lpstr>
      <vt:lpstr>10.2</vt:lpstr>
      <vt:lpstr>10.3</vt:lpstr>
      <vt:lpstr>10.4</vt:lpstr>
      <vt:lpstr>10.5</vt:lpstr>
      <vt:lpstr>10.6</vt:lpstr>
      <vt:lpstr>10.7</vt:lpstr>
      <vt:lpstr>10.8</vt:lpstr>
      <vt:lpstr>10.9</vt:lpstr>
      <vt:lpstr>10.10</vt:lpstr>
      <vt:lpstr>10.11</vt:lpstr>
      <vt:lpstr>10.12</vt:lpstr>
      <vt:lpstr>10.13</vt:lpstr>
      <vt:lpstr>10.14</vt:lpstr>
      <vt:lpstr>10.15</vt:lpstr>
      <vt:lpstr>10.16</vt:lpstr>
    </vt:vector>
  </TitlesOfParts>
  <Company>HiNT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IT-Tjenesten</dc:creator>
  <cp:lastModifiedBy>trw</cp:lastModifiedBy>
  <cp:lastPrinted>2015-09-02T19:10:24Z</cp:lastPrinted>
  <dcterms:created xsi:type="dcterms:W3CDTF">2008-09-24T12:46:40Z</dcterms:created>
  <dcterms:modified xsi:type="dcterms:W3CDTF">2015-09-02T19:11:59Z</dcterms:modified>
</cp:coreProperties>
</file>