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CD67BABC-98E9-408E-9CDE-A0EF59AE36CB}" xr6:coauthVersionLast="47" xr6:coauthVersionMax="47" xr10:uidLastSave="{00000000-0000-0000-0000-000000000000}"/>
  <bookViews>
    <workbookView xWindow="19095" yWindow="0" windowWidth="19410" windowHeight="20985" firstSheet="3" activeTab="3" xr2:uid="{00000000-000D-0000-FFFF-FFFF00000000}"/>
  </bookViews>
  <sheets>
    <sheet name="Oppgave 1" sheetId="1" r:id="rId1"/>
    <sheet name="Oppgave 2" sheetId="4" r:id="rId2"/>
    <sheet name="Oppgave 3" sheetId="3" r:id="rId3"/>
    <sheet name="Oppgave 4" sheetId="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2" l="1"/>
  <c r="K9" i="2"/>
  <c r="B20" i="2"/>
  <c r="B29" i="1"/>
  <c r="C10" i="4" l="1"/>
  <c r="C23" i="3" l="1"/>
  <c r="B11" i="3"/>
  <c r="D17" i="3" s="1"/>
  <c r="C25" i="4"/>
  <c r="B25" i="4"/>
  <c r="B13" i="4"/>
  <c r="D10" i="4"/>
  <c r="E10" i="4"/>
  <c r="F10" i="4"/>
  <c r="G10" i="4"/>
  <c r="H10" i="4"/>
  <c r="I10" i="4"/>
  <c r="J10" i="4"/>
  <c r="K10" i="4"/>
  <c r="L10" i="4"/>
  <c r="D9" i="4"/>
  <c r="D11" i="4" s="1"/>
  <c r="D13" i="4" s="1"/>
  <c r="E9" i="4"/>
  <c r="F9" i="4"/>
  <c r="F11" i="4" s="1"/>
  <c r="F13" i="4" s="1"/>
  <c r="G9" i="4"/>
  <c r="G11" i="4" s="1"/>
  <c r="G13" i="4" s="1"/>
  <c r="H9" i="4"/>
  <c r="H11" i="4" s="1"/>
  <c r="H13" i="4" s="1"/>
  <c r="I9" i="4"/>
  <c r="J9" i="4"/>
  <c r="J11" i="4" s="1"/>
  <c r="J13" i="4" s="1"/>
  <c r="K9" i="4"/>
  <c r="K11" i="4" s="1"/>
  <c r="K13" i="4" s="1"/>
  <c r="L9" i="4"/>
  <c r="L11" i="4" s="1"/>
  <c r="L13" i="4" s="1"/>
  <c r="C9" i="4"/>
  <c r="B5" i="4"/>
  <c r="B27" i="4" l="1"/>
  <c r="B28" i="4" s="1"/>
  <c r="B18" i="4"/>
  <c r="I11" i="4"/>
  <c r="I13" i="4" s="1"/>
  <c r="E11" i="4"/>
  <c r="E13" i="4" s="1"/>
  <c r="D14" i="3"/>
  <c r="D18" i="3"/>
  <c r="D16" i="3"/>
  <c r="C11" i="4"/>
  <c r="D19" i="3"/>
  <c r="D15" i="3"/>
  <c r="G1" i="2"/>
  <c r="D19" i="1"/>
  <c r="E19" i="1"/>
  <c r="F19" i="1"/>
  <c r="G19" i="1"/>
  <c r="C19" i="1"/>
  <c r="B38" i="2"/>
  <c r="B18" i="2" s="1"/>
  <c r="B31" i="2"/>
  <c r="B30" i="2"/>
  <c r="G15" i="2"/>
  <c r="F15" i="2"/>
  <c r="E15" i="2"/>
  <c r="D15" i="2"/>
  <c r="C15" i="2"/>
  <c r="G11" i="2"/>
  <c r="F11" i="2"/>
  <c r="E11" i="2"/>
  <c r="D11" i="2"/>
  <c r="C11" i="2"/>
  <c r="K10" i="2"/>
  <c r="G10" i="2"/>
  <c r="F10" i="2"/>
  <c r="E10" i="2"/>
  <c r="D10" i="2"/>
  <c r="C10" i="2"/>
  <c r="K7" i="2"/>
  <c r="D20" i="3" l="1"/>
  <c r="F18" i="3" s="1"/>
  <c r="C13" i="4"/>
  <c r="B15" i="4" s="1"/>
  <c r="B16" i="4" s="1"/>
  <c r="B19" i="4"/>
  <c r="B20" i="4" s="1"/>
  <c r="B20" i="1"/>
  <c r="F19" i="3"/>
  <c r="F17" i="3"/>
  <c r="B32" i="2"/>
  <c r="C14" i="2"/>
  <c r="D14" i="2"/>
  <c r="K12" i="2"/>
  <c r="B21" i="2" s="1"/>
  <c r="G18" i="2"/>
  <c r="F15" i="3" l="1"/>
  <c r="F14" i="3"/>
  <c r="F16" i="3"/>
  <c r="B12" i="1"/>
  <c r="G11" i="1"/>
  <c r="D7" i="1"/>
  <c r="D12" i="1" s="1"/>
  <c r="E7" i="1"/>
  <c r="E12" i="1" s="1"/>
  <c r="F7" i="1"/>
  <c r="F12" i="1" s="1"/>
  <c r="G7" i="1"/>
  <c r="G12" i="1" s="1"/>
  <c r="C7" i="1"/>
  <c r="C12" i="1" s="1"/>
  <c r="F20" i="3" l="1"/>
  <c r="F21" i="3" s="1"/>
  <c r="F22" i="3" s="1"/>
  <c r="B16" i="1"/>
  <c r="D13" i="2" l="1"/>
  <c r="D16" i="2" s="1"/>
  <c r="D17" i="2" s="1"/>
  <c r="E13" i="2"/>
  <c r="E16" i="2" s="1"/>
  <c r="E17" i="2" s="1"/>
  <c r="F13" i="2"/>
  <c r="F16" i="2" s="1"/>
  <c r="F17" i="2" s="1"/>
  <c r="C13" i="2"/>
  <c r="C16" i="2" s="1"/>
  <c r="G13" i="2"/>
  <c r="G16" i="2"/>
  <c r="G17" i="2" s="1"/>
  <c r="C17" i="2" l="1"/>
  <c r="C21" i="2" s="1"/>
  <c r="D21" i="2"/>
  <c r="F21" i="2"/>
  <c r="E21" i="2"/>
  <c r="G21" i="2"/>
  <c r="B23" i="2" l="1"/>
  <c r="B25" i="2" s="1"/>
  <c r="B26" i="2" s="1"/>
</calcChain>
</file>

<file path=xl/sharedStrings.xml><?xml version="1.0" encoding="utf-8"?>
<sst xmlns="http://schemas.openxmlformats.org/spreadsheetml/2006/main" count="120" uniqueCount="103">
  <si>
    <t>År</t>
  </si>
  <si>
    <t>Salgsvolum (enheter)</t>
  </si>
  <si>
    <t>Salgspris</t>
  </si>
  <si>
    <t>Variable kostnader</t>
  </si>
  <si>
    <t>Dekningsbidrag</t>
  </si>
  <si>
    <t>Betalbare faste kostnader</t>
  </si>
  <si>
    <t>Markedsføring</t>
  </si>
  <si>
    <t>Anleggsmidler</t>
  </si>
  <si>
    <t>Arbeidskapital</t>
  </si>
  <si>
    <t>Kontantstrøm</t>
  </si>
  <si>
    <t xml:space="preserve">  -+</t>
  </si>
  <si>
    <t>Avk krav</t>
  </si>
  <si>
    <t>Nåverdi</t>
  </si>
  <si>
    <t>Provisjon</t>
  </si>
  <si>
    <t>Økning</t>
  </si>
  <si>
    <t>Lån</t>
  </si>
  <si>
    <t>Rente pr halvår</t>
  </si>
  <si>
    <t>Løpetid halvår</t>
  </si>
  <si>
    <t>Ytelse pr. halvår</t>
  </si>
  <si>
    <t>Halvår</t>
  </si>
  <si>
    <t>Avdrag</t>
  </si>
  <si>
    <t>Rente</t>
  </si>
  <si>
    <t>Ytelse</t>
  </si>
  <si>
    <t>Gebyr</t>
  </si>
  <si>
    <t>Effektiv rente halvår</t>
  </si>
  <si>
    <t>Effektiv årsrente</t>
  </si>
  <si>
    <t>Resgjeld etter 1 år</t>
  </si>
  <si>
    <t>Nåverdi ytelser 4 %</t>
  </si>
  <si>
    <t>Overkurs</t>
  </si>
  <si>
    <t>Tid</t>
  </si>
  <si>
    <t>Nå</t>
  </si>
  <si>
    <t>6 mnd</t>
  </si>
  <si>
    <t>Avbetaling</t>
  </si>
  <si>
    <t>- Kontant</t>
  </si>
  <si>
    <t>= Lån</t>
  </si>
  <si>
    <t>Halvårsrente</t>
  </si>
  <si>
    <t>Årsrente</t>
  </si>
  <si>
    <t>a)</t>
  </si>
  <si>
    <t>Den systematiske risikoen kan ikke diversifiseres bort og vi ser at risikoen etter diversifisering blir ca. 15 % og</t>
  </si>
  <si>
    <t>dette er da den systematiske risikoen. Den usystematiske risikoen er risikoen ut over den systematiske, og vi ser at</t>
  </si>
  <si>
    <t>den til å begynne med er høy men den diversifiseres bort når antall aksjer i porteføljen økes.</t>
  </si>
  <si>
    <t>b)</t>
  </si>
  <si>
    <r>
      <t xml:space="preserve">Det er kun den </t>
    </r>
    <r>
      <rPr>
        <sz val="11"/>
        <color rgb="FFFF0000"/>
        <rFont val="Calibri"/>
        <family val="2"/>
        <scheme val="minor"/>
      </rPr>
      <t>systematiske</t>
    </r>
    <r>
      <rPr>
        <sz val="11"/>
        <color theme="1"/>
        <rFont val="Calibri"/>
        <family val="2"/>
        <scheme val="minor"/>
      </rPr>
      <t xml:space="preserve"> risikoen som er relevant siden den usystematiske risikoen kan diversifiseres bort.</t>
    </r>
  </si>
  <si>
    <t>Vi bruker dette senere i oppgave 4 når vi bruker beta for å finne avkastningskrav og beta er et mål på systematisk risiko.</t>
  </si>
  <si>
    <t>Andel L</t>
  </si>
  <si>
    <t>Andel M</t>
  </si>
  <si>
    <t>Aksje L</t>
  </si>
  <si>
    <t>Aksje M</t>
  </si>
  <si>
    <t>Portefølje</t>
  </si>
  <si>
    <t>Avvik kvadrert</t>
  </si>
  <si>
    <t>Forventet</t>
  </si>
  <si>
    <t>Varians</t>
  </si>
  <si>
    <t>Standardavvik</t>
  </si>
  <si>
    <t>Korrelasjon</t>
  </si>
  <si>
    <r>
      <t xml:space="preserve">Korrelasjonen </t>
    </r>
    <r>
      <rPr>
        <b/>
        <sz val="11"/>
        <color rgb="FFFF0000"/>
        <rFont val="Calibri"/>
        <family val="2"/>
        <scheme val="minor"/>
      </rPr>
      <t>må</t>
    </r>
    <r>
      <rPr>
        <sz val="11"/>
        <color theme="1"/>
        <rFont val="Calibri"/>
        <family val="2"/>
        <scheme val="minor"/>
      </rPr>
      <t xml:space="preserve"> være svært nær - 1 på grunn av at porteføljen nesten er risikofri</t>
    </r>
  </si>
  <si>
    <t>De som evt. plotter avkastningen mot hverandre og sier at aksjene går motsatt vei og så konkluderer at korrelasjonen er negativ, får full uttelling.</t>
  </si>
  <si>
    <t>Risikoen reduseres alltid ved å inkludere flere aksjer i porteføljen med mindre korrelasjonskoeffisienten er + 1.</t>
  </si>
  <si>
    <t>Diversifikasjonseffekten blir størst dersom korrelasjonen er negativ og dersom den er - 1 kan i prinsippet risikoen elimineres.</t>
  </si>
  <si>
    <t>Pris år 1</t>
  </si>
  <si>
    <t>Mengde år 1</t>
  </si>
  <si>
    <t>Tapt DB</t>
  </si>
  <si>
    <t>Riskofri</t>
  </si>
  <si>
    <t>Pris år 2</t>
  </si>
  <si>
    <t>Mengde år 2</t>
  </si>
  <si>
    <t>Økt lønn</t>
  </si>
  <si>
    <t>Skatt</t>
  </si>
  <si>
    <t>Pris år 3</t>
  </si>
  <si>
    <t>Mengde år 3</t>
  </si>
  <si>
    <t>Økte fast k</t>
  </si>
  <si>
    <t>Gjeldsrente</t>
  </si>
  <si>
    <t>Pris år 4</t>
  </si>
  <si>
    <t>Mengde år 4</t>
  </si>
  <si>
    <t>Markedets avk</t>
  </si>
  <si>
    <t>Pris år 5</t>
  </si>
  <si>
    <t>Mengde år 5</t>
  </si>
  <si>
    <t>Beta</t>
  </si>
  <si>
    <t>EK andel</t>
  </si>
  <si>
    <t>Variable enhetskostnader</t>
  </si>
  <si>
    <t>Gjeldsandel</t>
  </si>
  <si>
    <t>EK kost</t>
  </si>
  <si>
    <t>Omsetning</t>
  </si>
  <si>
    <t>Gjeld e s</t>
  </si>
  <si>
    <t>Vedlikehold</t>
  </si>
  <si>
    <t>WACC</t>
  </si>
  <si>
    <t>Økte faste kostnader</t>
  </si>
  <si>
    <t>WACC avrundet</t>
  </si>
  <si>
    <t>Avskr sats</t>
  </si>
  <si>
    <t>Drift før skatt</t>
  </si>
  <si>
    <t>NV spart skatt pga. avskrivning</t>
  </si>
  <si>
    <t>Beregningsgrunnlag</t>
  </si>
  <si>
    <t>Nåverdi etter skatt</t>
  </si>
  <si>
    <t>Nåverdiannuitat</t>
  </si>
  <si>
    <t>Kostnader kan øke med (før skatt)</t>
  </si>
  <si>
    <t>Salgsverdi anl m år 5</t>
  </si>
  <si>
    <t>Nåverdi salgsverdi</t>
  </si>
  <si>
    <t>NV økt skatt nedskriving</t>
  </si>
  <si>
    <t>Økt nåverdi</t>
  </si>
  <si>
    <t>Varelagre</t>
  </si>
  <si>
    <t>Kundefordringer</t>
  </si>
  <si>
    <t>Leverandørgjeld</t>
  </si>
  <si>
    <t>Pris</t>
  </si>
  <si>
    <t>Mengde</t>
  </si>
  <si>
    <t>Dekningsgrad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</si>
</sst>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#,##0_ ;[Red]\-#,##0\ "/>
    <numFmt numFmtId="168" formatCode="0.000000"/>
    <numFmt numFmtId="169" formatCode="#,##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3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166" fontId="0" fillId="0" borderId="0" xfId="0" applyNumberFormat="1"/>
    <xf numFmtId="9" fontId="0" fillId="0" borderId="0" xfId="0" applyNumberFormat="1"/>
    <xf numFmtId="0" fontId="2" fillId="2" borderId="0" xfId="0" applyFont="1" applyFill="1"/>
    <xf numFmtId="0" fontId="0" fillId="4" borderId="0" xfId="0" applyFill="1"/>
    <xf numFmtId="165" fontId="0" fillId="0" borderId="0" xfId="0" applyNumberFormat="1"/>
    <xf numFmtId="3" fontId="0" fillId="0" borderId="1" xfId="0" applyNumberFormat="1" applyBorder="1"/>
    <xf numFmtId="0" fontId="0" fillId="6" borderId="0" xfId="0" applyFill="1"/>
    <xf numFmtId="165" fontId="0" fillId="6" borderId="0" xfId="1" applyNumberFormat="1" applyFont="1" applyFill="1"/>
    <xf numFmtId="167" fontId="0" fillId="6" borderId="0" xfId="0" applyNumberFormat="1" applyFill="1"/>
    <xf numFmtId="0" fontId="2" fillId="2" borderId="0" xfId="0" applyFont="1" applyFill="1" applyAlignment="1">
      <alignment horizontal="center"/>
    </xf>
    <xf numFmtId="0" fontId="0" fillId="5" borderId="0" xfId="0" applyFill="1"/>
    <xf numFmtId="3" fontId="0" fillId="5" borderId="0" xfId="0" applyNumberFormat="1" applyFill="1"/>
    <xf numFmtId="167" fontId="0" fillId="0" borderId="1" xfId="0" applyNumberFormat="1" applyBorder="1"/>
    <xf numFmtId="0" fontId="0" fillId="4" borderId="2" xfId="0" applyFill="1" applyBorder="1"/>
    <xf numFmtId="3" fontId="0" fillId="4" borderId="2" xfId="0" applyNumberFormat="1" applyFill="1" applyBorder="1"/>
    <xf numFmtId="10" fontId="0" fillId="4" borderId="0" xfId="2" applyNumberFormat="1" applyFont="1" applyFill="1"/>
    <xf numFmtId="166" fontId="0" fillId="4" borderId="0" xfId="0" applyNumberFormat="1" applyFill="1"/>
    <xf numFmtId="166" fontId="0" fillId="4" borderId="0" xfId="2" applyNumberFormat="1" applyFont="1" applyFill="1"/>
    <xf numFmtId="10" fontId="0" fillId="0" borderId="0" xfId="0" applyNumberFormat="1"/>
    <xf numFmtId="10" fontId="0" fillId="2" borderId="0" xfId="2" applyNumberFormat="1" applyFont="1" applyFill="1"/>
    <xf numFmtId="2" fontId="0" fillId="2" borderId="0" xfId="0" applyNumberFormat="1" applyFill="1"/>
    <xf numFmtId="3" fontId="0" fillId="8" borderId="0" xfId="0" applyNumberFormat="1" applyFill="1"/>
    <xf numFmtId="3" fontId="0" fillId="8" borderId="1" xfId="0" applyNumberFormat="1" applyFill="1" applyBorder="1"/>
    <xf numFmtId="0" fontId="2" fillId="2" borderId="3" xfId="0" applyFont="1" applyFill="1" applyBorder="1" applyAlignment="1">
      <alignment horizontal="center"/>
    </xf>
    <xf numFmtId="0" fontId="0" fillId="0" borderId="4" xfId="0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3" borderId="5" xfId="1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0" fillId="0" borderId="4" xfId="0" applyNumberFormat="1" applyBorder="1"/>
    <xf numFmtId="0" fontId="0" fillId="0" borderId="5" xfId="0" applyBorder="1"/>
    <xf numFmtId="0" fontId="2" fillId="2" borderId="3" xfId="0" applyFont="1" applyFill="1" applyBorder="1"/>
    <xf numFmtId="0" fontId="0" fillId="3" borderId="5" xfId="0" applyFill="1" applyBorder="1"/>
    <xf numFmtId="0" fontId="0" fillId="0" borderId="8" xfId="0" applyBorder="1"/>
    <xf numFmtId="3" fontId="0" fillId="0" borderId="8" xfId="0" applyNumberFormat="1" applyBorder="1"/>
    <xf numFmtId="3" fontId="0" fillId="0" borderId="5" xfId="0" applyNumberFormat="1" applyBorder="1"/>
    <xf numFmtId="49" fontId="0" fillId="0" borderId="5" xfId="0" applyNumberFormat="1" applyBorder="1"/>
    <xf numFmtId="0" fontId="2" fillId="7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0" applyNumberFormat="1" applyBorder="1"/>
    <xf numFmtId="9" fontId="0" fillId="0" borderId="5" xfId="0" applyNumberFormat="1" applyBorder="1"/>
    <xf numFmtId="10" fontId="0" fillId="0" borderId="4" xfId="0" applyNumberFormat="1" applyBorder="1"/>
    <xf numFmtId="10" fontId="0" fillId="0" borderId="5" xfId="0" applyNumberFormat="1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10" fontId="0" fillId="2" borderId="3" xfId="0" applyNumberFormat="1" applyFill="1" applyBorder="1"/>
    <xf numFmtId="168" fontId="0" fillId="0" borderId="4" xfId="0" applyNumberForma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5" xfId="0" applyNumberFormat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165" fontId="0" fillId="5" borderId="3" xfId="1" applyNumberFormat="1" applyFont="1" applyFill="1" applyBorder="1"/>
    <xf numFmtId="0" fontId="0" fillId="0" borderId="4" xfId="0" quotePrefix="1" applyBorder="1"/>
    <xf numFmtId="0" fontId="0" fillId="5" borderId="3" xfId="0" applyFill="1" applyBorder="1"/>
    <xf numFmtId="0" fontId="0" fillId="3" borderId="3" xfId="0" applyFill="1" applyBorder="1"/>
    <xf numFmtId="9" fontId="0" fillId="3" borderId="3" xfId="2" applyFont="1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3" borderId="8" xfId="0" applyFill="1" applyBorder="1"/>
    <xf numFmtId="0" fontId="0" fillId="3" borderId="4" xfId="0" applyFill="1" applyBorder="1"/>
    <xf numFmtId="3" fontId="0" fillId="9" borderId="8" xfId="0" applyNumberFormat="1" applyFill="1" applyBorder="1"/>
    <xf numFmtId="3" fontId="0" fillId="9" borderId="4" xfId="0" applyNumberFormat="1" applyFill="1" applyBorder="1"/>
    <xf numFmtId="3" fontId="0" fillId="9" borderId="5" xfId="0" applyNumberFormat="1" applyFill="1" applyBorder="1"/>
    <xf numFmtId="0" fontId="0" fillId="8" borderId="8" xfId="0" applyFill="1" applyBorder="1"/>
    <xf numFmtId="0" fontId="0" fillId="8" borderId="4" xfId="0" applyFill="1" applyBorder="1"/>
    <xf numFmtId="0" fontId="0" fillId="8" borderId="5" xfId="0" applyFill="1" applyBorder="1"/>
    <xf numFmtId="0" fontId="0" fillId="9" borderId="8" xfId="0" applyFill="1" applyBorder="1"/>
    <xf numFmtId="0" fontId="0" fillId="9" borderId="4" xfId="0" applyFill="1" applyBorder="1"/>
    <xf numFmtId="0" fontId="0" fillId="9" borderId="5" xfId="0" applyFill="1" applyBorder="1"/>
    <xf numFmtId="166" fontId="0" fillId="9" borderId="8" xfId="0" applyNumberFormat="1" applyFill="1" applyBorder="1"/>
    <xf numFmtId="9" fontId="0" fillId="9" borderId="4" xfId="0" applyNumberFormat="1" applyFill="1" applyBorder="1"/>
    <xf numFmtId="10" fontId="0" fillId="9" borderId="4" xfId="0" applyNumberFormat="1" applyFill="1" applyBorder="1"/>
    <xf numFmtId="166" fontId="0" fillId="9" borderId="4" xfId="0" applyNumberFormat="1" applyFill="1" applyBorder="1"/>
    <xf numFmtId="2" fontId="0" fillId="9" borderId="4" xfId="0" applyNumberFormat="1" applyFill="1" applyBorder="1"/>
    <xf numFmtId="9" fontId="0" fillId="9" borderId="5" xfId="2" applyFont="1" applyFill="1" applyBorder="1"/>
    <xf numFmtId="0" fontId="2" fillId="2" borderId="8" xfId="0" applyFont="1" applyFill="1" applyBorder="1"/>
    <xf numFmtId="0" fontId="0" fillId="4" borderId="5" xfId="0" applyFill="1" applyBorder="1"/>
    <xf numFmtId="10" fontId="2" fillId="2" borderId="8" xfId="0" applyNumberFormat="1" applyFont="1" applyFill="1" applyBorder="1"/>
    <xf numFmtId="10" fontId="0" fillId="4" borderId="5" xfId="0" applyNumberFormat="1" applyFill="1" applyBorder="1"/>
    <xf numFmtId="10" fontId="0" fillId="9" borderId="8" xfId="2" applyNumberFormat="1" applyFont="1" applyFill="1" applyBorder="1"/>
    <xf numFmtId="10" fontId="0" fillId="9" borderId="5" xfId="2" applyNumberFormat="1" applyFont="1" applyFill="1" applyBorder="1"/>
    <xf numFmtId="0" fontId="0" fillId="8" borderId="3" xfId="0" applyFill="1" applyBorder="1"/>
    <xf numFmtId="9" fontId="0" fillId="9" borderId="3" xfId="0" applyNumberFormat="1" applyFill="1" applyBorder="1"/>
    <xf numFmtId="165" fontId="0" fillId="0" borderId="8" xfId="1" applyNumberFormat="1" applyFont="1" applyBorder="1"/>
    <xf numFmtId="165" fontId="0" fillId="2" borderId="3" xfId="1" applyNumberFormat="1" applyFont="1" applyFill="1" applyBorder="1"/>
    <xf numFmtId="0" fontId="0" fillId="2" borderId="5" xfId="0" applyFill="1" applyBorder="1"/>
    <xf numFmtId="3" fontId="0" fillId="2" borderId="5" xfId="0" applyNumberFormat="1" applyFill="1" applyBorder="1"/>
    <xf numFmtId="165" fontId="0" fillId="8" borderId="8" xfId="1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A18" sqref="A18:G20"/>
    </sheetView>
  </sheetViews>
  <sheetFormatPr baseColWidth="10" defaultColWidth="11.42578125" defaultRowHeight="15" x14ac:dyDescent="0.25"/>
  <cols>
    <col min="1" max="1" width="24" bestFit="1" customWidth="1"/>
    <col min="2" max="2" width="14.5703125" customWidth="1"/>
    <col min="3" max="3" width="14.28515625" bestFit="1" customWidth="1"/>
  </cols>
  <sheetData>
    <row r="1" spans="1:10" x14ac:dyDescent="0.25">
      <c r="A1" s="40" t="s">
        <v>0</v>
      </c>
      <c r="B1" s="36">
        <v>0</v>
      </c>
      <c r="C1" s="37">
        <v>1</v>
      </c>
      <c r="D1" s="37">
        <v>2</v>
      </c>
      <c r="E1" s="37">
        <v>3</v>
      </c>
      <c r="F1" s="37">
        <v>4</v>
      </c>
      <c r="G1" s="37">
        <v>5</v>
      </c>
    </row>
    <row r="2" spans="1:10" x14ac:dyDescent="0.25">
      <c r="A2" s="32" t="s">
        <v>1</v>
      </c>
      <c r="C2" s="38">
        <v>80000</v>
      </c>
      <c r="D2" s="38">
        <v>140000</v>
      </c>
      <c r="E2" s="38">
        <v>180000</v>
      </c>
      <c r="F2" s="38">
        <v>120000</v>
      </c>
      <c r="G2" s="38">
        <v>50000</v>
      </c>
    </row>
    <row r="3" spans="1:10" x14ac:dyDescent="0.25">
      <c r="A3" s="32" t="s">
        <v>2</v>
      </c>
      <c r="C3" s="32">
        <v>300</v>
      </c>
      <c r="D3" s="32">
        <v>220</v>
      </c>
      <c r="E3" s="32">
        <v>220</v>
      </c>
      <c r="F3" s="32">
        <v>220</v>
      </c>
      <c r="G3" s="32">
        <v>200</v>
      </c>
    </row>
    <row r="4" spans="1:10" x14ac:dyDescent="0.25">
      <c r="A4" s="39" t="s">
        <v>3</v>
      </c>
      <c r="B4" s="6"/>
      <c r="C4" s="39">
        <v>140</v>
      </c>
      <c r="D4" s="39">
        <v>140</v>
      </c>
      <c r="E4" s="39">
        <v>140</v>
      </c>
      <c r="F4" s="39">
        <v>140</v>
      </c>
      <c r="G4" s="39">
        <v>140</v>
      </c>
    </row>
    <row r="6" spans="1:10" x14ac:dyDescent="0.25">
      <c r="A6" s="40" t="s">
        <v>0</v>
      </c>
      <c r="B6" s="31">
        <v>0</v>
      </c>
      <c r="C6" s="37">
        <v>1</v>
      </c>
      <c r="D6" s="37">
        <v>2</v>
      </c>
      <c r="E6" s="37">
        <v>3</v>
      </c>
      <c r="F6" s="37">
        <v>4</v>
      </c>
      <c r="G6" s="37">
        <v>5</v>
      </c>
    </row>
    <row r="7" spans="1:10" x14ac:dyDescent="0.25">
      <c r="A7" s="32" t="s">
        <v>4</v>
      </c>
      <c r="B7" s="33"/>
      <c r="C7" s="33">
        <f>(C3-C4)*C2</f>
        <v>12800000</v>
      </c>
      <c r="D7" s="33">
        <f>(D3-D4)*D2</f>
        <v>11200000</v>
      </c>
      <c r="E7" s="33">
        <f>(E3-E4)*E2</f>
        <v>14400000</v>
      </c>
      <c r="F7" s="33">
        <f>(F3-F4)*F2</f>
        <v>9600000</v>
      </c>
      <c r="G7" s="33">
        <f>(G3-G4)*G2</f>
        <v>3000000</v>
      </c>
    </row>
    <row r="8" spans="1:10" x14ac:dyDescent="0.25">
      <c r="A8" s="32" t="s">
        <v>5</v>
      </c>
      <c r="B8" s="33"/>
      <c r="C8" s="33">
        <v>-800000</v>
      </c>
      <c r="D8" s="33">
        <v>-800000</v>
      </c>
      <c r="E8" s="33">
        <v>-800000</v>
      </c>
      <c r="F8" s="33">
        <v>-800000</v>
      </c>
      <c r="G8" s="33">
        <v>-800000</v>
      </c>
    </row>
    <row r="9" spans="1:10" x14ac:dyDescent="0.25">
      <c r="A9" s="32" t="s">
        <v>6</v>
      </c>
      <c r="B9" s="33"/>
      <c r="C9" s="33">
        <v>-2000000</v>
      </c>
      <c r="D9" s="33">
        <v>-2000000</v>
      </c>
      <c r="E9" s="33">
        <v>-2000000</v>
      </c>
      <c r="F9" s="33">
        <v>-2000000</v>
      </c>
      <c r="G9" s="33">
        <v>-2000000</v>
      </c>
    </row>
    <row r="10" spans="1:10" x14ac:dyDescent="0.25">
      <c r="A10" s="32" t="s">
        <v>7</v>
      </c>
      <c r="B10" s="33">
        <v>-12000000</v>
      </c>
      <c r="C10" s="33"/>
      <c r="D10" s="33"/>
      <c r="E10" s="33"/>
      <c r="F10" s="33"/>
      <c r="G10" s="33"/>
    </row>
    <row r="11" spans="1:10" x14ac:dyDescent="0.25">
      <c r="A11" s="39" t="s">
        <v>8</v>
      </c>
      <c r="B11" s="34">
        <v>-3000000</v>
      </c>
      <c r="C11" s="34"/>
      <c r="D11" s="34"/>
      <c r="E11" s="34"/>
      <c r="F11" s="34"/>
      <c r="G11" s="34">
        <f>-B11</f>
        <v>3000000</v>
      </c>
    </row>
    <row r="12" spans="1:10" x14ac:dyDescent="0.25">
      <c r="A12" s="41" t="s">
        <v>9</v>
      </c>
      <c r="B12" s="35">
        <f>SUM(B7:B11)</f>
        <v>-15000000</v>
      </c>
      <c r="C12" s="35">
        <f t="shared" ref="C12:G12" si="0">SUM(C7:C11)</f>
        <v>10000000</v>
      </c>
      <c r="D12" s="35">
        <f t="shared" si="0"/>
        <v>8400000</v>
      </c>
      <c r="E12" s="35">
        <f t="shared" si="0"/>
        <v>11600000</v>
      </c>
      <c r="F12" s="35">
        <f t="shared" si="0"/>
        <v>6800000</v>
      </c>
      <c r="G12" s="35">
        <f t="shared" si="0"/>
        <v>3200000</v>
      </c>
    </row>
    <row r="13" spans="1:10" x14ac:dyDescent="0.25">
      <c r="B13" s="5"/>
      <c r="C13" s="5"/>
      <c r="D13" s="5"/>
      <c r="E13" s="5"/>
      <c r="F13" s="5"/>
      <c r="G13" s="5"/>
      <c r="J13" t="s">
        <v>10</v>
      </c>
    </row>
    <row r="14" spans="1:10" x14ac:dyDescent="0.25">
      <c r="A14" s="65" t="s">
        <v>11</v>
      </c>
      <c r="B14" s="66">
        <v>0.2</v>
      </c>
      <c r="C14" s="5"/>
      <c r="D14" s="5"/>
      <c r="E14" s="5"/>
      <c r="F14" s="5"/>
      <c r="G14" s="5"/>
    </row>
    <row r="15" spans="1:10" x14ac:dyDescent="0.25">
      <c r="B15" s="5"/>
      <c r="C15" s="5"/>
      <c r="D15" s="5"/>
      <c r="E15" s="5"/>
      <c r="F15" s="5"/>
      <c r="G15" s="5"/>
    </row>
    <row r="16" spans="1:10" x14ac:dyDescent="0.25">
      <c r="A16" s="14" t="s">
        <v>12</v>
      </c>
      <c r="B16" s="15">
        <f>NPV(B14,C12:G12)+B12</f>
        <v>10444958.847736627</v>
      </c>
      <c r="C16" s="5"/>
      <c r="D16" s="5"/>
      <c r="E16" s="5"/>
      <c r="F16" s="5"/>
      <c r="G16" s="5"/>
    </row>
    <row r="17" spans="1:7" x14ac:dyDescent="0.25">
      <c r="B17" s="5"/>
      <c r="C17" s="5"/>
      <c r="D17" s="5"/>
      <c r="E17" s="5"/>
      <c r="F17" s="5"/>
      <c r="G17" s="5"/>
    </row>
    <row r="18" spans="1:7" x14ac:dyDescent="0.25">
      <c r="A18" s="40" t="s">
        <v>0</v>
      </c>
      <c r="B18" s="31">
        <v>0</v>
      </c>
      <c r="C18" s="37">
        <v>1</v>
      </c>
      <c r="D18" s="37">
        <v>2</v>
      </c>
      <c r="E18" s="37">
        <v>3</v>
      </c>
      <c r="F18" s="37">
        <v>4</v>
      </c>
      <c r="G18" s="37">
        <v>5</v>
      </c>
    </row>
    <row r="19" spans="1:7" x14ac:dyDescent="0.25">
      <c r="A19" s="39"/>
      <c r="B19" s="34"/>
      <c r="C19" s="34">
        <f>$B$23*$B$24*C2</f>
        <v>2760000</v>
      </c>
      <c r="D19" s="34">
        <f>$B$23*$B$24*D2</f>
        <v>4830000</v>
      </c>
      <c r="E19" s="34">
        <f>$B$23*$B$24*E2</f>
        <v>6210000</v>
      </c>
      <c r="F19" s="34">
        <f>$B$23*$B$24*F2</f>
        <v>4140000</v>
      </c>
      <c r="G19" s="34">
        <f>$B$23*$B$24*G2</f>
        <v>1725000</v>
      </c>
    </row>
    <row r="20" spans="1:7" x14ac:dyDescent="0.25">
      <c r="A20" s="67" t="s">
        <v>12</v>
      </c>
      <c r="B20" s="68">
        <f>NPV(B14,C19:G19)</f>
        <v>11937683.256172841</v>
      </c>
      <c r="C20" s="5"/>
      <c r="D20" s="5"/>
      <c r="E20" s="5"/>
      <c r="F20" s="5"/>
      <c r="G20" s="5"/>
    </row>
    <row r="21" spans="1:7" x14ac:dyDescent="0.25">
      <c r="B21" s="5"/>
      <c r="C21" s="5"/>
      <c r="D21" s="5"/>
      <c r="E21" s="5"/>
      <c r="F21" s="5"/>
      <c r="G21" s="5"/>
    </row>
    <row r="22" spans="1:7" x14ac:dyDescent="0.25">
      <c r="B22" s="5"/>
      <c r="C22" s="5"/>
      <c r="D22" s="5"/>
      <c r="E22" s="5"/>
      <c r="F22" s="5"/>
      <c r="G22" s="5"/>
    </row>
    <row r="23" spans="1:7" x14ac:dyDescent="0.25">
      <c r="A23" t="s">
        <v>13</v>
      </c>
      <c r="B23" s="5">
        <v>30</v>
      </c>
      <c r="C23" s="5"/>
      <c r="D23" s="5"/>
      <c r="E23" s="5"/>
      <c r="F23" s="5"/>
      <c r="G23" s="5"/>
    </row>
    <row r="24" spans="1:7" x14ac:dyDescent="0.25">
      <c r="A24" t="s">
        <v>14</v>
      </c>
      <c r="B24">
        <v>1.1499999999999999</v>
      </c>
    </row>
    <row r="26" spans="1:7" x14ac:dyDescent="0.25">
      <c r="A26" s="2" t="s">
        <v>0</v>
      </c>
      <c r="B26" s="4">
        <v>0</v>
      </c>
      <c r="C26" s="3">
        <v>1</v>
      </c>
      <c r="D26" s="3">
        <v>2</v>
      </c>
      <c r="E26" s="3">
        <v>3</v>
      </c>
      <c r="F26" s="3">
        <v>4</v>
      </c>
      <c r="G26" s="3">
        <v>5</v>
      </c>
    </row>
    <row r="27" spans="1:7" x14ac:dyDescent="0.25">
      <c r="B27" s="1">
        <v>7500000</v>
      </c>
      <c r="C27">
        <v>0</v>
      </c>
      <c r="D27" s="1">
        <v>7500000</v>
      </c>
    </row>
    <row r="29" spans="1:7" x14ac:dyDescent="0.25">
      <c r="A29" s="14" t="s">
        <v>12</v>
      </c>
      <c r="B29" s="16">
        <f>NPV(B14,C27:D27)+B27</f>
        <v>12708333.333333334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B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selection activeCell="A22" sqref="A22:C22"/>
    </sheetView>
  </sheetViews>
  <sheetFormatPr baseColWidth="10" defaultColWidth="11.42578125" defaultRowHeight="15" x14ac:dyDescent="0.25"/>
  <cols>
    <col min="1" max="1" width="20" customWidth="1"/>
    <col min="3" max="3" width="11.85546875" bestFit="1" customWidth="1"/>
  </cols>
  <sheetData>
    <row r="1" spans="1:12" x14ac:dyDescent="0.25">
      <c r="A1" t="s">
        <v>15</v>
      </c>
      <c r="B1" s="1">
        <v>100000</v>
      </c>
    </row>
    <row r="2" spans="1:12" x14ac:dyDescent="0.25">
      <c r="A2" t="s">
        <v>16</v>
      </c>
      <c r="B2" s="8">
        <v>2.5000000000000001E-2</v>
      </c>
    </row>
    <row r="3" spans="1:12" x14ac:dyDescent="0.25">
      <c r="A3" t="s">
        <v>17</v>
      </c>
      <c r="B3">
        <v>10</v>
      </c>
    </row>
    <row r="5" spans="1:12" x14ac:dyDescent="0.25">
      <c r="A5" t="s">
        <v>18</v>
      </c>
      <c r="B5" s="1">
        <f>PMT(B2,B3,B1)</f>
        <v>-11425.876317714034</v>
      </c>
    </row>
    <row r="7" spans="1:12" x14ac:dyDescent="0.25">
      <c r="A7" s="10" t="s">
        <v>19</v>
      </c>
      <c r="B7" s="17">
        <v>0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</row>
    <row r="8" spans="1:12" x14ac:dyDescent="0.25">
      <c r="A8" t="s">
        <v>15</v>
      </c>
      <c r="B8" s="1">
        <v>100000</v>
      </c>
    </row>
    <row r="9" spans="1:12" x14ac:dyDescent="0.25">
      <c r="A9" t="s">
        <v>20</v>
      </c>
      <c r="C9" s="29">
        <f>PPMT($B$2,C7,$L$7,$B$1)</f>
        <v>-8925.8763177140336</v>
      </c>
      <c r="D9" s="29">
        <f t="shared" ref="D9:L9" si="0">PPMT($B$2,D7,$L$7,$B$1)</f>
        <v>-9149.0232256568834</v>
      </c>
      <c r="E9" s="29">
        <f t="shared" si="0"/>
        <v>-9377.7488062983066</v>
      </c>
      <c r="F9" s="29">
        <f t="shared" si="0"/>
        <v>-9612.1925264557631</v>
      </c>
      <c r="G9" s="1">
        <f t="shared" si="0"/>
        <v>-9852.4973396171572</v>
      </c>
      <c r="H9" s="1">
        <f t="shared" si="0"/>
        <v>-10098.809773107587</v>
      </c>
      <c r="I9" s="1">
        <f t="shared" si="0"/>
        <v>-10351.280017435276</v>
      </c>
      <c r="J9" s="1">
        <f t="shared" si="0"/>
        <v>-10610.06201787116</v>
      </c>
      <c r="K9" s="1">
        <f t="shared" si="0"/>
        <v>-10875.313568317937</v>
      </c>
      <c r="L9" s="1">
        <f t="shared" si="0"/>
        <v>-11147.196407525886</v>
      </c>
    </row>
    <row r="10" spans="1:12" x14ac:dyDescent="0.25">
      <c r="A10" s="6" t="s">
        <v>21</v>
      </c>
      <c r="B10" s="6"/>
      <c r="C10" s="30">
        <f>IPMT($B$2,C7,$L$7,$B$1)</f>
        <v>-2500</v>
      </c>
      <c r="D10" s="30">
        <f t="shared" ref="D10:L10" si="1">IPMT($B$2,D7,$L$7,$B$1)</f>
        <v>-2276.8530920571493</v>
      </c>
      <c r="E10" s="30">
        <f t="shared" si="1"/>
        <v>-2048.127511415727</v>
      </c>
      <c r="F10" s="30">
        <f t="shared" si="1"/>
        <v>-1813.6837912582696</v>
      </c>
      <c r="G10" s="13">
        <f t="shared" si="1"/>
        <v>-1573.3789780968752</v>
      </c>
      <c r="H10" s="13">
        <f t="shared" si="1"/>
        <v>-1327.0665446064463</v>
      </c>
      <c r="I10" s="13">
        <f t="shared" si="1"/>
        <v>-1074.5963002787564</v>
      </c>
      <c r="J10" s="13">
        <f t="shared" si="1"/>
        <v>-815.81429984287479</v>
      </c>
      <c r="K10" s="13">
        <f t="shared" si="1"/>
        <v>-550.56274939609568</v>
      </c>
      <c r="L10" s="13">
        <f t="shared" si="1"/>
        <v>-278.67991018814718</v>
      </c>
    </row>
    <row r="11" spans="1:12" x14ac:dyDescent="0.25">
      <c r="A11" t="s">
        <v>22</v>
      </c>
      <c r="C11" s="1">
        <f>SUM(C9:C10)</f>
        <v>-11425.876317714034</v>
      </c>
      <c r="D11" s="1">
        <f t="shared" ref="D11:L11" si="2">SUM(D9:D10)</f>
        <v>-11425.876317714032</v>
      </c>
      <c r="E11" s="1">
        <f t="shared" si="2"/>
        <v>-11425.876317714034</v>
      </c>
      <c r="F11" s="1">
        <f t="shared" si="2"/>
        <v>-11425.876317714032</v>
      </c>
      <c r="G11" s="1">
        <f t="shared" si="2"/>
        <v>-11425.876317714032</v>
      </c>
      <c r="H11" s="1">
        <f t="shared" si="2"/>
        <v>-11425.876317714034</v>
      </c>
      <c r="I11" s="1">
        <f t="shared" si="2"/>
        <v>-11425.876317714032</v>
      </c>
      <c r="J11" s="1">
        <f t="shared" si="2"/>
        <v>-11425.876317714035</v>
      </c>
      <c r="K11" s="1">
        <f t="shared" si="2"/>
        <v>-11425.876317714034</v>
      </c>
      <c r="L11" s="1">
        <f t="shared" si="2"/>
        <v>-11425.876317714034</v>
      </c>
    </row>
    <row r="12" spans="1:12" x14ac:dyDescent="0.25">
      <c r="A12" s="6" t="s">
        <v>23</v>
      </c>
      <c r="B12" s="7">
        <v>-2500</v>
      </c>
      <c r="C12" s="6">
        <v>-50</v>
      </c>
      <c r="D12" s="6">
        <v>-50</v>
      </c>
      <c r="E12" s="6">
        <v>-50</v>
      </c>
      <c r="F12" s="6">
        <v>-50</v>
      </c>
      <c r="G12" s="6">
        <v>-50</v>
      </c>
      <c r="H12" s="6">
        <v>-50</v>
      </c>
      <c r="I12" s="6">
        <v>-50</v>
      </c>
      <c r="J12" s="6">
        <v>-50</v>
      </c>
      <c r="K12" s="6">
        <v>-50</v>
      </c>
      <c r="L12" s="6">
        <v>-50</v>
      </c>
    </row>
    <row r="13" spans="1:12" x14ac:dyDescent="0.25">
      <c r="A13" s="18" t="s">
        <v>9</v>
      </c>
      <c r="B13" s="19">
        <f>SUM(B8:B12)</f>
        <v>97500</v>
      </c>
      <c r="C13" s="19">
        <f>SUM(C11:C12)</f>
        <v>-11475.876317714034</v>
      </c>
      <c r="D13" s="19">
        <f t="shared" ref="D13:L13" si="3">SUM(D11:D12)</f>
        <v>-11475.876317714032</v>
      </c>
      <c r="E13" s="19">
        <f t="shared" si="3"/>
        <v>-11475.876317714034</v>
      </c>
      <c r="F13" s="19">
        <f t="shared" si="3"/>
        <v>-11475.876317714032</v>
      </c>
      <c r="G13" s="19">
        <f t="shared" si="3"/>
        <v>-11475.876317714032</v>
      </c>
      <c r="H13" s="19">
        <f t="shared" si="3"/>
        <v>-11475.876317714034</v>
      </c>
      <c r="I13" s="19">
        <f t="shared" si="3"/>
        <v>-11475.876317714032</v>
      </c>
      <c r="J13" s="19">
        <f t="shared" si="3"/>
        <v>-11475.876317714035</v>
      </c>
      <c r="K13" s="19">
        <f t="shared" si="3"/>
        <v>-11475.876317714034</v>
      </c>
      <c r="L13" s="19">
        <f t="shared" si="3"/>
        <v>-11475.876317714034</v>
      </c>
    </row>
    <row r="15" spans="1:12" x14ac:dyDescent="0.25">
      <c r="A15" t="s">
        <v>24</v>
      </c>
      <c r="B15" s="26">
        <f>IRR(B13:L13)</f>
        <v>3.0786104668437897E-2</v>
      </c>
    </row>
    <row r="16" spans="1:12" x14ac:dyDescent="0.25">
      <c r="A16" s="11" t="s">
        <v>25</v>
      </c>
      <c r="B16" s="23">
        <f>(1+B15)^2-1</f>
        <v>6.2519993577531796E-2</v>
      </c>
    </row>
    <row r="18" spans="1:3" x14ac:dyDescent="0.25">
      <c r="A18" t="s">
        <v>26</v>
      </c>
      <c r="B18" s="1">
        <f>B8+C9+D9</f>
        <v>81925.100456629079</v>
      </c>
    </row>
    <row r="19" spans="1:3" x14ac:dyDescent="0.25">
      <c r="A19" s="6" t="s">
        <v>27</v>
      </c>
      <c r="B19" s="20">
        <f>PV(2%,J7,C11)</f>
        <v>83700.044906798867</v>
      </c>
    </row>
    <row r="20" spans="1:3" x14ac:dyDescent="0.25">
      <c r="A20" s="21" t="s">
        <v>28</v>
      </c>
      <c r="B20" s="22">
        <f>B18-B19</f>
        <v>-1774.9444501697872</v>
      </c>
    </row>
    <row r="21" spans="1:3" x14ac:dyDescent="0.25">
      <c r="B21" s="1"/>
    </row>
    <row r="22" spans="1:3" x14ac:dyDescent="0.25">
      <c r="A22" s="69" t="s">
        <v>29</v>
      </c>
      <c r="B22" s="70" t="s">
        <v>30</v>
      </c>
      <c r="C22" s="70" t="s">
        <v>31</v>
      </c>
    </row>
    <row r="23" spans="1:3" x14ac:dyDescent="0.25">
      <c r="A23" s="42" t="s">
        <v>32</v>
      </c>
      <c r="B23" s="43">
        <v>-1700</v>
      </c>
      <c r="C23" s="43">
        <v>-1700</v>
      </c>
    </row>
    <row r="24" spans="1:3" x14ac:dyDescent="0.25">
      <c r="A24" s="45" t="s">
        <v>33</v>
      </c>
      <c r="B24" s="44">
        <v>-3200</v>
      </c>
      <c r="C24" s="39"/>
    </row>
    <row r="25" spans="1:3" x14ac:dyDescent="0.25">
      <c r="A25" s="45" t="s">
        <v>34</v>
      </c>
      <c r="B25" s="44">
        <f>B23-B24</f>
        <v>1500</v>
      </c>
      <c r="C25" s="44">
        <f>C23-C24</f>
        <v>-1700</v>
      </c>
    </row>
    <row r="27" spans="1:3" x14ac:dyDescent="0.25">
      <c r="A27" s="11" t="s">
        <v>35</v>
      </c>
      <c r="B27" s="24">
        <f>IRR(B25:C25)</f>
        <v>0.1333333333333333</v>
      </c>
    </row>
    <row r="28" spans="1:3" x14ac:dyDescent="0.25">
      <c r="A28" s="11" t="s">
        <v>36</v>
      </c>
      <c r="B28" s="25">
        <f>(1+B27)^2-1</f>
        <v>0.28444444444444428</v>
      </c>
    </row>
  </sheetData>
  <pageMargins left="0.7" right="0.7" top="0.75" bottom="0.75" header="0.3" footer="0.3"/>
  <pageSetup paperSize="9" orientation="portrait" r:id="rId1"/>
  <ignoredErrors>
    <ignoredError sqref="B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9"/>
  <sheetViews>
    <sheetView topLeftCell="A7" workbookViewId="0">
      <selection activeCell="K14" sqref="K14"/>
    </sheetView>
  </sheetViews>
  <sheetFormatPr baseColWidth="10" defaultColWidth="11.42578125" defaultRowHeight="15" x14ac:dyDescent="0.25"/>
  <cols>
    <col min="1" max="1" width="13.42578125" bestFit="1" customWidth="1"/>
    <col min="5" max="5" width="5.5703125" customWidth="1"/>
    <col min="6" max="6" width="13.7109375" bestFit="1" customWidth="1"/>
  </cols>
  <sheetData>
    <row r="2" spans="1:6" x14ac:dyDescent="0.25">
      <c r="A2" t="s">
        <v>37</v>
      </c>
      <c r="B2" t="s">
        <v>38</v>
      </c>
    </row>
    <row r="3" spans="1:6" x14ac:dyDescent="0.25">
      <c r="B3" t="s">
        <v>39</v>
      </c>
    </row>
    <row r="4" spans="1:6" x14ac:dyDescent="0.25">
      <c r="B4" t="s">
        <v>40</v>
      </c>
    </row>
    <row r="6" spans="1:6" x14ac:dyDescent="0.25">
      <c r="A6" t="s">
        <v>41</v>
      </c>
      <c r="B6" t="s">
        <v>42</v>
      </c>
    </row>
    <row r="7" spans="1:6" x14ac:dyDescent="0.25">
      <c r="B7" t="s">
        <v>43</v>
      </c>
    </row>
    <row r="10" spans="1:6" x14ac:dyDescent="0.25">
      <c r="A10" t="s">
        <v>44</v>
      </c>
      <c r="B10" s="9">
        <v>0.4</v>
      </c>
    </row>
    <row r="11" spans="1:6" x14ac:dyDescent="0.25">
      <c r="A11" t="s">
        <v>45</v>
      </c>
      <c r="B11" s="9">
        <f>1-B10</f>
        <v>0.6</v>
      </c>
    </row>
    <row r="13" spans="1:6" x14ac:dyDescent="0.25">
      <c r="A13" s="46" t="s">
        <v>0</v>
      </c>
      <c r="B13" s="46" t="s">
        <v>46</v>
      </c>
      <c r="C13" s="46" t="s">
        <v>47</v>
      </c>
      <c r="D13" s="47" t="s">
        <v>48</v>
      </c>
      <c r="F13" s="46" t="s">
        <v>49</v>
      </c>
    </row>
    <row r="14" spans="1:6" x14ac:dyDescent="0.25">
      <c r="A14" s="48">
        <v>2024</v>
      </c>
      <c r="B14" s="49">
        <v>0.14000000000000001</v>
      </c>
      <c r="C14" s="49">
        <v>0.2</v>
      </c>
      <c r="D14" s="51">
        <f>B14*$B$10+C14*$B$11</f>
        <v>0.17599999999999999</v>
      </c>
      <c r="F14" s="57">
        <f>(D14-$D$20)^2</f>
        <v>4.5511111111111034E-4</v>
      </c>
    </row>
    <row r="15" spans="1:6" x14ac:dyDescent="0.25">
      <c r="A15" s="48">
        <v>2025</v>
      </c>
      <c r="B15" s="49">
        <v>0.14000000000000001</v>
      </c>
      <c r="C15" s="49">
        <v>0.18</v>
      </c>
      <c r="D15" s="51">
        <f t="shared" ref="D15:D19" si="0">B15*$B$10+C15*$B$11</f>
        <v>0.16400000000000001</v>
      </c>
      <c r="F15" s="57">
        <f t="shared" ref="F15:F19" si="1">(D15-$D$20)^2</f>
        <v>8.7111111111111089E-5</v>
      </c>
    </row>
    <row r="16" spans="1:6" x14ac:dyDescent="0.25">
      <c r="A16" s="48">
        <v>2026</v>
      </c>
      <c r="B16" s="49">
        <v>0.16</v>
      </c>
      <c r="C16" s="49">
        <v>0.16</v>
      </c>
      <c r="D16" s="51">
        <f t="shared" si="0"/>
        <v>0.16</v>
      </c>
      <c r="F16" s="57">
        <f t="shared" si="1"/>
        <v>2.8444444444444396E-5</v>
      </c>
    </row>
    <row r="17" spans="1:6" x14ac:dyDescent="0.25">
      <c r="A17" s="48">
        <v>2027</v>
      </c>
      <c r="B17" s="49">
        <v>0.17</v>
      </c>
      <c r="C17" s="49">
        <v>0.14000000000000001</v>
      </c>
      <c r="D17" s="51">
        <f t="shared" si="0"/>
        <v>0.15200000000000002</v>
      </c>
      <c r="F17" s="57">
        <f t="shared" si="1"/>
        <v>7.1111111111110254E-6</v>
      </c>
    </row>
    <row r="18" spans="1:6" x14ac:dyDescent="0.25">
      <c r="A18" s="48">
        <v>2028</v>
      </c>
      <c r="B18" s="49">
        <v>0.17</v>
      </c>
      <c r="C18" s="49">
        <v>0.12</v>
      </c>
      <c r="D18" s="51">
        <f t="shared" si="0"/>
        <v>0.14000000000000001</v>
      </c>
      <c r="F18" s="57">
        <f t="shared" si="1"/>
        <v>2.1511111111111096E-4</v>
      </c>
    </row>
    <row r="19" spans="1:6" x14ac:dyDescent="0.25">
      <c r="A19" s="48">
        <v>2029</v>
      </c>
      <c r="B19" s="50">
        <v>0.19</v>
      </c>
      <c r="C19" s="50">
        <v>0.1</v>
      </c>
      <c r="D19" s="52">
        <f t="shared" si="0"/>
        <v>0.13600000000000001</v>
      </c>
      <c r="F19" s="58">
        <f t="shared" si="1"/>
        <v>3.4844444444444435E-4</v>
      </c>
    </row>
    <row r="20" spans="1:6" x14ac:dyDescent="0.25">
      <c r="A20" s="53" t="s">
        <v>50</v>
      </c>
      <c r="B20" s="54"/>
      <c r="C20" s="55"/>
      <c r="D20" s="56">
        <f>AVERAGE(D14:D19)</f>
        <v>0.15466666666666667</v>
      </c>
      <c r="F20" s="59">
        <f>SUM(F14:F19)</f>
        <v>1.1413333333333323E-3</v>
      </c>
    </row>
    <row r="21" spans="1:6" x14ac:dyDescent="0.25">
      <c r="A21" s="53" t="s">
        <v>51</v>
      </c>
      <c r="B21" s="54"/>
      <c r="C21" s="54"/>
      <c r="D21" s="55"/>
      <c r="F21" s="60">
        <f>F20/(5)</f>
        <v>2.2826666666666645E-4</v>
      </c>
    </row>
    <row r="22" spans="1:6" x14ac:dyDescent="0.25">
      <c r="A22" t="s">
        <v>52</v>
      </c>
      <c r="F22" s="27">
        <f>F21^0.5</f>
        <v>1.5108496505829641E-2</v>
      </c>
    </row>
    <row r="23" spans="1:6" x14ac:dyDescent="0.25">
      <c r="A23" t="s">
        <v>53</v>
      </c>
      <c r="C23" s="28">
        <f>CORREL(B14:B19,C14:C19)</f>
        <v>-0.96395204228374787</v>
      </c>
    </row>
    <row r="25" spans="1:6" x14ac:dyDescent="0.25">
      <c r="A25" t="s">
        <v>54</v>
      </c>
    </row>
    <row r="26" spans="1:6" x14ac:dyDescent="0.25">
      <c r="A26" t="s">
        <v>55</v>
      </c>
    </row>
    <row r="28" spans="1:6" x14ac:dyDescent="0.25">
      <c r="A28" t="s">
        <v>56</v>
      </c>
    </row>
    <row r="29" spans="1:6" x14ac:dyDescent="0.25">
      <c r="A29" t="s">
        <v>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3"/>
  <sheetViews>
    <sheetView tabSelected="1" workbookViewId="0">
      <selection activeCell="D41" sqref="D41"/>
    </sheetView>
  </sheetViews>
  <sheetFormatPr baseColWidth="10" defaultColWidth="11.42578125" defaultRowHeight="15" x14ac:dyDescent="0.25"/>
  <cols>
    <col min="1" max="1" width="31.28515625" bestFit="1" customWidth="1"/>
    <col min="3" max="3" width="13.7109375" customWidth="1"/>
    <col min="10" max="10" width="14.85546875" bestFit="1" customWidth="1"/>
  </cols>
  <sheetData>
    <row r="1" spans="1:11" x14ac:dyDescent="0.25">
      <c r="A1" s="71" t="s">
        <v>58</v>
      </c>
      <c r="B1" s="73">
        <v>2500</v>
      </c>
      <c r="C1" s="76" t="s">
        <v>59</v>
      </c>
      <c r="D1" s="73">
        <v>3500</v>
      </c>
      <c r="F1" s="79" t="s">
        <v>60</v>
      </c>
      <c r="G1" s="73">
        <f>B43/2</f>
        <v>375000</v>
      </c>
      <c r="J1" s="76" t="s">
        <v>61</v>
      </c>
      <c r="K1" s="82">
        <v>3.5999999999999997E-2</v>
      </c>
    </row>
    <row r="2" spans="1:11" x14ac:dyDescent="0.25">
      <c r="A2" s="72" t="s">
        <v>62</v>
      </c>
      <c r="B2" s="74">
        <v>2000</v>
      </c>
      <c r="C2" s="77" t="s">
        <v>63</v>
      </c>
      <c r="D2" s="74">
        <v>4500</v>
      </c>
      <c r="F2" s="80" t="s">
        <v>64</v>
      </c>
      <c r="G2" s="74">
        <v>500000</v>
      </c>
      <c r="J2" s="77" t="s">
        <v>65</v>
      </c>
      <c r="K2" s="83">
        <v>0.22</v>
      </c>
    </row>
    <row r="3" spans="1:11" x14ac:dyDescent="0.25">
      <c r="A3" s="72" t="s">
        <v>66</v>
      </c>
      <c r="B3" s="74">
        <v>1800</v>
      </c>
      <c r="C3" s="77" t="s">
        <v>67</v>
      </c>
      <c r="D3" s="74">
        <v>4500</v>
      </c>
      <c r="F3" s="81" t="s">
        <v>68</v>
      </c>
      <c r="G3" s="75">
        <v>1000000</v>
      </c>
      <c r="J3" s="77" t="s">
        <v>69</v>
      </c>
      <c r="K3" s="84">
        <v>4.4699999999999997E-2</v>
      </c>
    </row>
    <row r="4" spans="1:11" x14ac:dyDescent="0.25">
      <c r="A4" s="72" t="s">
        <v>70</v>
      </c>
      <c r="B4" s="74">
        <v>1700</v>
      </c>
      <c r="C4" s="77" t="s">
        <v>71</v>
      </c>
      <c r="D4" s="74">
        <v>3000</v>
      </c>
      <c r="J4" s="77" t="s">
        <v>72</v>
      </c>
      <c r="K4" s="85">
        <v>0.1</v>
      </c>
    </row>
    <row r="5" spans="1:11" x14ac:dyDescent="0.25">
      <c r="A5" s="41" t="s">
        <v>73</v>
      </c>
      <c r="B5" s="75">
        <v>1500</v>
      </c>
      <c r="C5" s="78" t="s">
        <v>74</v>
      </c>
      <c r="D5" s="75">
        <v>2000</v>
      </c>
      <c r="J5" s="77" t="s">
        <v>75</v>
      </c>
      <c r="K5" s="86">
        <v>1.74</v>
      </c>
    </row>
    <row r="6" spans="1:11" x14ac:dyDescent="0.25">
      <c r="J6" s="77" t="s">
        <v>76</v>
      </c>
      <c r="K6" s="83">
        <v>0.49</v>
      </c>
    </row>
    <row r="7" spans="1:11" x14ac:dyDescent="0.25">
      <c r="A7" t="s">
        <v>77</v>
      </c>
      <c r="B7" s="1">
        <v>650</v>
      </c>
      <c r="J7" s="78" t="s">
        <v>78</v>
      </c>
      <c r="K7" s="87">
        <f>1-K6</f>
        <v>0.51</v>
      </c>
    </row>
    <row r="9" spans="1:11" x14ac:dyDescent="0.25">
      <c r="A9" s="40" t="s">
        <v>0</v>
      </c>
      <c r="B9" s="61">
        <v>0</v>
      </c>
      <c r="C9" s="31">
        <v>1</v>
      </c>
      <c r="D9" s="31">
        <v>2</v>
      </c>
      <c r="E9" s="31">
        <v>3</v>
      </c>
      <c r="F9" s="31">
        <v>4</v>
      </c>
      <c r="G9" s="31">
        <v>5</v>
      </c>
      <c r="J9" s="76" t="s">
        <v>79</v>
      </c>
      <c r="K9" s="92">
        <f>K1+(K4-K1)*K5</f>
        <v>0.14735999999999999</v>
      </c>
    </row>
    <row r="10" spans="1:11" x14ac:dyDescent="0.25">
      <c r="A10" s="32" t="s">
        <v>80</v>
      </c>
      <c r="B10" s="33"/>
      <c r="C10" s="33">
        <f>B1*D1</f>
        <v>8750000</v>
      </c>
      <c r="D10" s="33">
        <f>B2*D2</f>
        <v>9000000</v>
      </c>
      <c r="E10" s="33">
        <f>B3*D3</f>
        <v>8100000</v>
      </c>
      <c r="F10" s="33">
        <f>B4*D4</f>
        <v>5100000</v>
      </c>
      <c r="G10" s="33">
        <f>B5*D5</f>
        <v>3000000</v>
      </c>
      <c r="J10" s="78" t="s">
        <v>81</v>
      </c>
      <c r="K10" s="93">
        <f>K3*(1-K2)</f>
        <v>3.4866000000000001E-2</v>
      </c>
    </row>
    <row r="11" spans="1:11" x14ac:dyDescent="0.25">
      <c r="A11" s="32" t="s">
        <v>3</v>
      </c>
      <c r="B11" s="33"/>
      <c r="C11" s="33">
        <f>-D1*B7</f>
        <v>-2275000</v>
      </c>
      <c r="D11" s="33">
        <f>-D2*B7</f>
        <v>-2925000</v>
      </c>
      <c r="E11" s="33">
        <f>-D3*B7</f>
        <v>-2925000</v>
      </c>
      <c r="F11" s="33">
        <f>-D4*B7</f>
        <v>-1950000</v>
      </c>
      <c r="G11" s="33">
        <f>-D5*B7</f>
        <v>-1300000</v>
      </c>
    </row>
    <row r="12" spans="1:11" x14ac:dyDescent="0.25">
      <c r="A12" s="32" t="s">
        <v>82</v>
      </c>
      <c r="B12" s="33"/>
      <c r="C12" s="33"/>
      <c r="D12" s="33"/>
      <c r="E12" s="33">
        <v>-500000</v>
      </c>
      <c r="F12" s="33"/>
      <c r="G12" s="33"/>
      <c r="J12" s="88" t="s">
        <v>83</v>
      </c>
      <c r="K12" s="90">
        <f>K9*K6+K7*K10</f>
        <v>8.9988059999999995E-2</v>
      </c>
    </row>
    <row r="13" spans="1:11" x14ac:dyDescent="0.25">
      <c r="A13" s="32" t="s">
        <v>84</v>
      </c>
      <c r="B13" s="33"/>
      <c r="C13" s="33">
        <f>-$G$3</f>
        <v>-1000000</v>
      </c>
      <c r="D13" s="33">
        <f t="shared" ref="D13:G13" si="0">-$G$3</f>
        <v>-1000000</v>
      </c>
      <c r="E13" s="33">
        <f t="shared" si="0"/>
        <v>-1000000</v>
      </c>
      <c r="F13" s="33">
        <f t="shared" si="0"/>
        <v>-1000000</v>
      </c>
      <c r="G13" s="33">
        <f t="shared" si="0"/>
        <v>-1000000</v>
      </c>
      <c r="J13" s="89" t="s">
        <v>85</v>
      </c>
      <c r="K13" s="91">
        <v>0.09</v>
      </c>
    </row>
    <row r="14" spans="1:11" x14ac:dyDescent="0.25">
      <c r="A14" s="32" t="s">
        <v>60</v>
      </c>
      <c r="B14" s="33"/>
      <c r="C14" s="33">
        <f>-0.5*$B$43</f>
        <v>-375000</v>
      </c>
      <c r="D14" s="33">
        <f>-0.5*$B$43</f>
        <v>-375000</v>
      </c>
      <c r="E14" s="33"/>
      <c r="F14" s="33"/>
      <c r="G14" s="33"/>
    </row>
    <row r="15" spans="1:11" x14ac:dyDescent="0.25">
      <c r="A15" s="39" t="s">
        <v>64</v>
      </c>
      <c r="B15" s="34"/>
      <c r="C15" s="34">
        <f>-$G$2</f>
        <v>-500000</v>
      </c>
      <c r="D15" s="34">
        <f>-$G$2</f>
        <v>-500000</v>
      </c>
      <c r="E15" s="34">
        <f>-$G$2</f>
        <v>-500000</v>
      </c>
      <c r="F15" s="34">
        <f>-$G$2</f>
        <v>-500000</v>
      </c>
      <c r="G15" s="34">
        <f>-$G$2</f>
        <v>-500000</v>
      </c>
      <c r="J15" s="94" t="s">
        <v>86</v>
      </c>
      <c r="K15" s="95">
        <v>0.2</v>
      </c>
    </row>
    <row r="16" spans="1:11" x14ac:dyDescent="0.25">
      <c r="A16" s="32" t="s">
        <v>87</v>
      </c>
      <c r="B16" s="33"/>
      <c r="C16" s="33">
        <f>SUM(C10:C15)</f>
        <v>4600000</v>
      </c>
      <c r="D16" s="33">
        <f>SUM(D10:D15)</f>
        <v>4200000</v>
      </c>
      <c r="E16" s="33">
        <f>SUM(E10:E15)</f>
        <v>3175000</v>
      </c>
      <c r="F16" s="33">
        <f>SUM(F10:F15)</f>
        <v>1650000</v>
      </c>
      <c r="G16" s="33">
        <f>SUM(G10:G15)</f>
        <v>200000</v>
      </c>
      <c r="I16" s="12"/>
    </row>
    <row r="17" spans="1:7" x14ac:dyDescent="0.25">
      <c r="A17" s="32" t="s">
        <v>65</v>
      </c>
      <c r="B17" s="33"/>
      <c r="C17" s="33">
        <f>-$K$2*C16</f>
        <v>-1012000</v>
      </c>
      <c r="D17" s="33">
        <f t="shared" ref="D17:G17" si="1">-$K$2*D16</f>
        <v>-924000</v>
      </c>
      <c r="E17" s="33">
        <f t="shared" si="1"/>
        <v>-698500</v>
      </c>
      <c r="F17" s="33">
        <f t="shared" si="1"/>
        <v>-363000</v>
      </c>
      <c r="G17" s="33">
        <f t="shared" si="1"/>
        <v>-44000</v>
      </c>
    </row>
    <row r="18" spans="1:7" x14ac:dyDescent="0.25">
      <c r="A18" s="32" t="s">
        <v>8</v>
      </c>
      <c r="B18" s="33">
        <f>-B38</f>
        <v>-1500000</v>
      </c>
      <c r="C18" s="33"/>
      <c r="D18" s="33"/>
      <c r="E18" s="33"/>
      <c r="F18" s="33"/>
      <c r="G18" s="33">
        <f>-B18</f>
        <v>1500000</v>
      </c>
    </row>
    <row r="19" spans="1:7" x14ac:dyDescent="0.25">
      <c r="A19" s="63" t="s">
        <v>7</v>
      </c>
      <c r="B19" s="33">
        <v>-8500000</v>
      </c>
      <c r="C19" s="33"/>
      <c r="D19" s="33"/>
      <c r="E19" s="33"/>
      <c r="F19" s="33"/>
      <c r="G19" s="33"/>
    </row>
    <row r="20" spans="1:7" x14ac:dyDescent="0.25">
      <c r="A20" s="39" t="s">
        <v>88</v>
      </c>
      <c r="B20" s="34">
        <f>-B19*K15*K2/(K13+K15)</f>
        <v>1289655.1724137929</v>
      </c>
      <c r="C20" s="34"/>
      <c r="D20" s="34"/>
      <c r="E20" s="34"/>
      <c r="F20" s="34"/>
      <c r="G20" s="34"/>
    </row>
    <row r="21" spans="1:7" x14ac:dyDescent="0.25">
      <c r="A21" s="64" t="s">
        <v>89</v>
      </c>
      <c r="B21" s="62">
        <f t="shared" ref="B21:G21" si="2">SUM(B16:B20)</f>
        <v>-8710344.8275862075</v>
      </c>
      <c r="C21" s="62">
        <f t="shared" si="2"/>
        <v>3588000</v>
      </c>
      <c r="D21" s="62">
        <f t="shared" si="2"/>
        <v>3276000</v>
      </c>
      <c r="E21" s="62">
        <f t="shared" si="2"/>
        <v>2476500</v>
      </c>
      <c r="F21" s="62">
        <f t="shared" si="2"/>
        <v>1287000</v>
      </c>
      <c r="G21" s="62">
        <f t="shared" si="2"/>
        <v>1656000</v>
      </c>
    </row>
    <row r="22" spans="1:7" x14ac:dyDescent="0.25">
      <c r="B22" s="5"/>
      <c r="C22" s="5"/>
      <c r="D22" s="5"/>
      <c r="E22" s="5"/>
      <c r="F22" s="5"/>
      <c r="G22" s="5"/>
    </row>
    <row r="23" spans="1:7" x14ac:dyDescent="0.25">
      <c r="A23" s="69" t="s">
        <v>90</v>
      </c>
      <c r="B23" s="97">
        <f>NPV(K13,C21:G21)+B21</f>
        <v>1239083.960343292</v>
      </c>
      <c r="C23" s="5"/>
      <c r="D23" s="5"/>
      <c r="E23" s="5"/>
      <c r="F23" s="5"/>
      <c r="G23" s="5"/>
    </row>
    <row r="24" spans="1:7" x14ac:dyDescent="0.25">
      <c r="B24" s="5"/>
      <c r="C24" s="5"/>
      <c r="D24" s="5"/>
      <c r="E24" s="5"/>
      <c r="F24" s="5"/>
      <c r="G24" s="5"/>
    </row>
    <row r="25" spans="1:7" x14ac:dyDescent="0.25">
      <c r="A25" s="76" t="s">
        <v>91</v>
      </c>
      <c r="B25" s="100">
        <f>-PMT(K13,G9,B23)</f>
        <v>318559.13974035089</v>
      </c>
      <c r="C25" s="5"/>
      <c r="D25" s="5"/>
      <c r="E25" s="5"/>
      <c r="F25" s="5"/>
      <c r="G25" s="5"/>
    </row>
    <row r="26" spans="1:7" x14ac:dyDescent="0.25">
      <c r="A26" s="41" t="s">
        <v>92</v>
      </c>
      <c r="B26" s="35">
        <f>B25/(1-K2)</f>
        <v>408409.15351327037</v>
      </c>
      <c r="C26" s="5"/>
      <c r="D26" s="5"/>
      <c r="E26" s="5"/>
      <c r="F26" s="5"/>
      <c r="G26" s="5"/>
    </row>
    <row r="27" spans="1:7" x14ac:dyDescent="0.25">
      <c r="B27" s="5"/>
      <c r="C27" s="5"/>
      <c r="D27" s="5"/>
      <c r="E27" s="5"/>
      <c r="F27" s="5"/>
      <c r="G27" s="5"/>
    </row>
    <row r="28" spans="1:7" x14ac:dyDescent="0.25">
      <c r="A28" s="42" t="s">
        <v>93</v>
      </c>
      <c r="B28" s="96">
        <v>1500000</v>
      </c>
      <c r="C28" s="5"/>
      <c r="D28" s="5"/>
      <c r="E28" s="5"/>
      <c r="F28" s="5"/>
      <c r="G28" s="5"/>
    </row>
    <row r="29" spans="1:7" x14ac:dyDescent="0.25">
      <c r="A29" s="32"/>
      <c r="B29" s="33"/>
      <c r="C29" s="5"/>
      <c r="D29" s="5"/>
      <c r="E29" s="5"/>
      <c r="F29" s="5"/>
      <c r="G29" s="5"/>
    </row>
    <row r="30" spans="1:7" x14ac:dyDescent="0.25">
      <c r="A30" s="32" t="s">
        <v>94</v>
      </c>
      <c r="B30" s="33">
        <f>B28/(1+K13)^G9</f>
        <v>974897.07944751787</v>
      </c>
      <c r="C30" s="5"/>
      <c r="D30" s="5"/>
      <c r="E30" s="5"/>
      <c r="F30" s="5"/>
      <c r="G30" s="5"/>
    </row>
    <row r="31" spans="1:7" x14ac:dyDescent="0.25">
      <c r="A31" s="39" t="s">
        <v>95</v>
      </c>
      <c r="B31" s="34">
        <f>-B28*K15*K2/((1+K13)^G9*(K13+K15))</f>
        <v>-147915.41895065786</v>
      </c>
      <c r="C31" s="5"/>
      <c r="D31" s="5"/>
      <c r="E31" s="5"/>
      <c r="F31" s="5"/>
      <c r="G31" s="5"/>
    </row>
    <row r="32" spans="1:7" x14ac:dyDescent="0.25">
      <c r="A32" s="69" t="s">
        <v>96</v>
      </c>
      <c r="B32" s="97">
        <f>SUM(B30:B31)</f>
        <v>826981.66049686004</v>
      </c>
      <c r="C32" s="5"/>
      <c r="D32" s="5"/>
      <c r="E32" s="5"/>
      <c r="F32" s="5"/>
      <c r="G32" s="5"/>
    </row>
    <row r="35" spans="1:2" x14ac:dyDescent="0.25">
      <c r="A35" s="42" t="s">
        <v>97</v>
      </c>
      <c r="B35" s="43">
        <v>750000</v>
      </c>
    </row>
    <row r="36" spans="1:2" x14ac:dyDescent="0.25">
      <c r="A36" s="32" t="s">
        <v>98</v>
      </c>
      <c r="B36" s="38">
        <v>1000000</v>
      </c>
    </row>
    <row r="37" spans="1:2" x14ac:dyDescent="0.25">
      <c r="A37" s="39" t="s">
        <v>99</v>
      </c>
      <c r="B37" s="44">
        <v>250000</v>
      </c>
    </row>
    <row r="38" spans="1:2" x14ac:dyDescent="0.25">
      <c r="A38" s="98" t="s">
        <v>8</v>
      </c>
      <c r="B38" s="99">
        <f>B35+B36-B37</f>
        <v>1500000</v>
      </c>
    </row>
    <row r="40" spans="1:2" x14ac:dyDescent="0.25">
      <c r="A40" s="42" t="s">
        <v>100</v>
      </c>
      <c r="B40" s="43">
        <v>1000</v>
      </c>
    </row>
    <row r="41" spans="1:2" x14ac:dyDescent="0.25">
      <c r="A41" s="32" t="s">
        <v>101</v>
      </c>
      <c r="B41" s="38">
        <v>1500</v>
      </c>
    </row>
    <row r="42" spans="1:2" x14ac:dyDescent="0.25">
      <c r="A42" s="32" t="s">
        <v>102</v>
      </c>
      <c r="B42" s="49">
        <v>0.5</v>
      </c>
    </row>
    <row r="43" spans="1:2" x14ac:dyDescent="0.25">
      <c r="A43" s="39" t="s">
        <v>4</v>
      </c>
      <c r="B43" s="39">
        <f>B40*B41*B42</f>
        <v>750000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</vt:lpstr>
      <vt:lpstr>Oppgave 2</vt:lpstr>
      <vt:lpstr>Oppgave 3</vt:lpstr>
      <vt:lpstr>Oppgave 4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</dc:creator>
  <cp:keywords/>
  <dc:description/>
  <cp:lastModifiedBy>Ivar Bredesen</cp:lastModifiedBy>
  <cp:revision/>
  <dcterms:created xsi:type="dcterms:W3CDTF">2013-09-20T11:17:25Z</dcterms:created>
  <dcterms:modified xsi:type="dcterms:W3CDTF">2023-06-29T10:13:23Z</dcterms:modified>
  <cp:category/>
  <cp:contentStatus/>
</cp:coreProperties>
</file>