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B2341042-316E-4610-9945-CFE0D09E662A}" xr6:coauthVersionLast="47" xr6:coauthVersionMax="47" xr10:uidLastSave="{00000000-0000-0000-0000-000000000000}"/>
  <bookViews>
    <workbookView xWindow="4500" yWindow="2655" windowWidth="23400" windowHeight="12630" xr2:uid="{00000000-000D-0000-FFFF-FFFF00000000}"/>
  </bookViews>
  <sheets>
    <sheet name="Oppgave 3.42-3.46" sheetId="14" r:id="rId1"/>
    <sheet name="Oppgave 3.47" sheetId="15" r:id="rId2"/>
    <sheet name="Oppgave 3.48" sheetId="16" r:id="rId3"/>
  </sheets>
  <definedNames>
    <definedName name="_xlnm.Print_Area" localSheetId="2">'Oppgave 3.48'!$A$1:$U$43,'Oppgave 3.48'!$K$44:$U$86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6" l="1"/>
  <c r="G30" i="16"/>
  <c r="F3" i="16"/>
  <c r="E89" i="14"/>
  <c r="E84" i="14"/>
  <c r="N52" i="16"/>
  <c r="N49" i="16"/>
  <c r="N47" i="16"/>
  <c r="N46" i="16"/>
  <c r="N48" i="16" s="1"/>
  <c r="N50" i="16" s="1"/>
  <c r="D43" i="16"/>
  <c r="C43" i="16"/>
  <c r="H41" i="16"/>
  <c r="G40" i="16"/>
  <c r="N67" i="16" s="1"/>
  <c r="N39" i="16"/>
  <c r="G39" i="16"/>
  <c r="G38" i="16"/>
  <c r="H36" i="16"/>
  <c r="H35" i="16"/>
  <c r="N34" i="16"/>
  <c r="H34" i="16"/>
  <c r="G33" i="16"/>
  <c r="G32" i="16"/>
  <c r="G31" i="16"/>
  <c r="G29" i="16"/>
  <c r="H28" i="16"/>
  <c r="G27" i="16"/>
  <c r="E26" i="16"/>
  <c r="H25" i="16"/>
  <c r="J24" i="16"/>
  <c r="J23" i="16"/>
  <c r="J22" i="16"/>
  <c r="J21" i="16"/>
  <c r="J20" i="16"/>
  <c r="J19" i="16"/>
  <c r="J18" i="16"/>
  <c r="N17" i="16"/>
  <c r="J17" i="16"/>
  <c r="J16" i="16"/>
  <c r="N15" i="16"/>
  <c r="J15" i="16"/>
  <c r="J13" i="16"/>
  <c r="I12" i="16"/>
  <c r="I11" i="16"/>
  <c r="N10" i="16"/>
  <c r="I10" i="16"/>
  <c r="N9" i="16"/>
  <c r="J9" i="16"/>
  <c r="N8" i="16"/>
  <c r="N11" i="16" s="1"/>
  <c r="I8" i="16"/>
  <c r="I7" i="16"/>
  <c r="N6" i="16"/>
  <c r="I6" i="16"/>
  <c r="I5" i="16"/>
  <c r="N4" i="16"/>
  <c r="E4" i="16"/>
  <c r="F26" i="16" s="1"/>
  <c r="H26" i="16" s="1"/>
  <c r="F2" i="16"/>
  <c r="N62" i="16" l="1"/>
  <c r="N19" i="16"/>
  <c r="H43" i="16"/>
  <c r="I2" i="16"/>
  <c r="J7" i="15"/>
  <c r="I3" i="16" l="1"/>
  <c r="I43" i="16" s="1"/>
  <c r="N64" i="16" l="1"/>
  <c r="N65" i="16" s="1"/>
  <c r="N69" i="16" s="1"/>
  <c r="E42" i="16"/>
  <c r="G42" i="16" l="1"/>
  <c r="G43" i="16" s="1"/>
  <c r="F14" i="16"/>
  <c r="E43" i="16"/>
  <c r="J14" i="16" l="1"/>
  <c r="J43" i="16" s="1"/>
  <c r="I45" i="16" s="1"/>
  <c r="F43" i="16"/>
  <c r="H31" i="14" l="1"/>
  <c r="H131" i="14"/>
  <c r="K129" i="14"/>
  <c r="E114" i="14"/>
  <c r="D114" i="14"/>
  <c r="F113" i="14"/>
  <c r="F112" i="14"/>
  <c r="D106" i="14"/>
  <c r="E105" i="14"/>
  <c r="E106" i="14" s="1"/>
  <c r="D105" i="14"/>
  <c r="E82" i="14"/>
  <c r="G82" i="14" s="1"/>
  <c r="E81" i="14"/>
  <c r="F81" i="14" s="1"/>
  <c r="E88" i="14"/>
  <c r="G88" i="14" s="1"/>
  <c r="E87" i="14"/>
  <c r="F87" i="14" s="1"/>
  <c r="E83" i="14"/>
  <c r="F83" i="14" s="1"/>
  <c r="H55" i="14"/>
  <c r="K52" i="14"/>
  <c r="H65" i="14"/>
  <c r="E67" i="14" s="1"/>
  <c r="F59" i="14"/>
  <c r="H41" i="14"/>
  <c r="D54" i="14" s="1"/>
  <c r="H54" i="14" s="1"/>
  <c r="G41" i="14"/>
  <c r="E51" i="14" s="1"/>
  <c r="F41" i="14"/>
  <c r="H30" i="14"/>
  <c r="K24" i="14"/>
  <c r="E9" i="14"/>
  <c r="G9" i="14" s="1"/>
  <c r="G10" i="14" s="1"/>
  <c r="D7" i="14"/>
  <c r="E6" i="14"/>
  <c r="F6" i="14" s="1"/>
  <c r="E5" i="14"/>
  <c r="F5" i="14" s="1"/>
  <c r="F114" i="14" l="1"/>
  <c r="F106" i="14"/>
  <c r="G89" i="14"/>
  <c r="F89" i="14"/>
  <c r="F10" i="14"/>
  <c r="E7" i="14"/>
  <c r="F60" i="14" l="1"/>
  <c r="F61" i="14" s="1"/>
  <c r="K51" i="14"/>
</calcChain>
</file>

<file path=xl/sharedStrings.xml><?xml version="1.0" encoding="utf-8"?>
<sst xmlns="http://schemas.openxmlformats.org/spreadsheetml/2006/main" count="341" uniqueCount="245">
  <si>
    <t>=</t>
  </si>
  <si>
    <t>–</t>
  </si>
  <si>
    <t>Kundefordringer</t>
  </si>
  <si>
    <t>Salg av bil</t>
  </si>
  <si>
    <t>20x1</t>
  </si>
  <si>
    <t>20x2</t>
  </si>
  <si>
    <t>Renter</t>
  </si>
  <si>
    <t>a)</t>
  </si>
  <si>
    <t>b)</t>
  </si>
  <si>
    <t>c)</t>
  </si>
  <si>
    <t>20x4</t>
  </si>
  <si>
    <t>20x5</t>
  </si>
  <si>
    <t>31.12.</t>
  </si>
  <si>
    <t>Anskaffelsesverdi</t>
  </si>
  <si>
    <t>Sum</t>
  </si>
  <si>
    <t>d)</t>
  </si>
  <si>
    <t>Virkelig verdi</t>
  </si>
  <si>
    <t>Resultatregnskap for</t>
  </si>
  <si>
    <t>Nr.</t>
  </si>
  <si>
    <t>Konto</t>
  </si>
  <si>
    <t>Saldobalanse</t>
  </si>
  <si>
    <t>Posteringer</t>
  </si>
  <si>
    <t>Resultat</t>
  </si>
  <si>
    <t>Balanse</t>
  </si>
  <si>
    <t>Salgsinntekter</t>
  </si>
  <si>
    <t>Ferdige varer</t>
  </si>
  <si>
    <t>Avsetning tap på fordringer</t>
  </si>
  <si>
    <t>Tap på fordringer</t>
  </si>
  <si>
    <t>verdi</t>
  </si>
  <si>
    <t>Laveste</t>
  </si>
  <si>
    <t>Gevinst</t>
  </si>
  <si>
    <t>Verdiøkning aksjer</t>
  </si>
  <si>
    <t>Debet</t>
  </si>
  <si>
    <t>Kredit</t>
  </si>
  <si>
    <t>Oppgave 3.42</t>
  </si>
  <si>
    <t>- i USD</t>
  </si>
  <si>
    <t>- i SEK</t>
  </si>
  <si>
    <t>Bokført</t>
  </si>
  <si>
    <t>Kursverdi</t>
  </si>
  <si>
    <t>Kurs-</t>
  </si>
  <si>
    <t>vinning</t>
  </si>
  <si>
    <t>Kurstap</t>
  </si>
  <si>
    <t>Leverandørgjeld</t>
  </si>
  <si>
    <t>- i Euro</t>
  </si>
  <si>
    <t>Vinning/tap</t>
  </si>
  <si>
    <t>Balanseverdien for utenlandske kundefordringer er kr 99 500.</t>
  </si>
  <si>
    <t>Balanseverdien for utenlandsk leverandørgjeld er kr 75 000.</t>
  </si>
  <si>
    <t>Valutakursendringer vil derfor ikke påvirke driftsresultatet.</t>
  </si>
  <si>
    <t>Resultatet før skatt vil netto øke med kr (2 500 – 1 500) = kr 1 000 som følge av</t>
  </si>
  <si>
    <t>valutakursendringene.</t>
  </si>
  <si>
    <t>Oppgave 3.43</t>
  </si>
  <si>
    <t>Valutalån</t>
  </si>
  <si>
    <t>Påløpte renter</t>
  </si>
  <si>
    <t>Valutagevinst</t>
  </si>
  <si>
    <t>Rentekostnader</t>
  </si>
  <si>
    <t>Valutatap</t>
  </si>
  <si>
    <r>
      <t xml:space="preserve">Påløpte renter (i et halvt år) per 31.12.20x1: 810 000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0,04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=</t>
    </r>
  </si>
  <si>
    <t>Oppgave 3.45</t>
  </si>
  <si>
    <t>1920 Bankinnskudd</t>
  </si>
  <si>
    <t>2270 Valutalån</t>
  </si>
  <si>
    <t>8150 Rentekostn.</t>
  </si>
  <si>
    <t>Låneopptak</t>
  </si>
  <si>
    <t>Avdrag</t>
  </si>
  <si>
    <t>Posteringer i løpet av 20x1:</t>
  </si>
  <si>
    <t>Årsoppgjøret tar vi tabellarisk.</t>
  </si>
  <si>
    <t>Valutalån per 31.12.20x1: EUR (120 000 – 6 000) = EUR 114 000</t>
  </si>
  <si>
    <r>
      <t xml:space="preserve">I norske kroner 31.12.x1: kr (114 000 </t>
    </r>
    <r>
      <rPr>
        <sz val="11"/>
        <color theme="1"/>
        <rFont val="Calibri"/>
        <family val="2"/>
      </rPr>
      <t>∙</t>
    </r>
    <r>
      <rPr>
        <sz val="11"/>
        <color theme="1"/>
        <rFont val="Times New Roman"/>
        <family val="1"/>
      </rPr>
      <t xml:space="preserve"> 10,30) =</t>
    </r>
  </si>
  <si>
    <t>Valutalån ifølge regnskapet</t>
  </si>
  <si>
    <t xml:space="preserve"> Valutalånet skal vurderes til kursen 31.12.x1</t>
  </si>
  <si>
    <r>
      <t xml:space="preserve">Påløpte renter for perioden 31.7. til 31.12.: EUR 114 000 </t>
    </r>
    <r>
      <rPr>
        <sz val="11"/>
        <color theme="1"/>
        <rFont val="Calibri"/>
        <family val="2"/>
      </rPr>
      <t>∙</t>
    </r>
    <r>
      <rPr>
        <sz val="11"/>
        <color theme="1"/>
        <rFont val="Times New Roman"/>
        <family val="1"/>
      </rPr>
      <t xml:space="preserve"> 0,05 </t>
    </r>
    <r>
      <rPr>
        <sz val="11"/>
        <color theme="1"/>
        <rFont val="Calibri"/>
        <family val="2"/>
      </rPr>
      <t>∙</t>
    </r>
    <r>
      <rPr>
        <sz val="11"/>
        <color theme="1"/>
        <rFont val="Times New Roman"/>
        <family val="1"/>
      </rPr>
      <t xml:space="preserve"> 5/12 =</t>
    </r>
  </si>
  <si>
    <t xml:space="preserve"> Euro</t>
  </si>
  <si>
    <r>
      <t xml:space="preserve">Avdraget 31.7. er debitert med kr 61 200. Det er mulig å bokføre kurstapet på kr 1 200 (EUR 6 000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0,20) </t>
    </r>
  </si>
  <si>
    <r>
      <t xml:space="preserve">samtidig med avdraget. I så fall må vi debitere konto </t>
    </r>
    <r>
      <rPr>
        <i/>
        <sz val="12"/>
        <color theme="1"/>
        <rFont val="Times New Roman"/>
        <family val="1"/>
      </rPr>
      <t xml:space="preserve">2270 Valutalån </t>
    </r>
    <r>
      <rPr>
        <sz val="12"/>
        <color theme="1"/>
        <rFont val="Times New Roman"/>
        <family val="1"/>
      </rPr>
      <t xml:space="preserve">med kr 60 000 og konto </t>
    </r>
    <r>
      <rPr>
        <i/>
        <sz val="12"/>
        <color theme="1"/>
        <rFont val="Times New Roman"/>
        <family val="1"/>
      </rPr>
      <t>8160</t>
    </r>
  </si>
  <si>
    <r>
      <t>Valutatap</t>
    </r>
    <r>
      <rPr>
        <sz val="12"/>
        <color theme="1"/>
        <rFont val="Times New Roman"/>
        <family val="1"/>
      </rPr>
      <t xml:space="preserve"> med kr 1 200. Vi velger imidlertid å vente til årsoppgjøret med å bokføre kurstapet.</t>
    </r>
  </si>
  <si>
    <t>Rentekostnader.</t>
  </si>
  <si>
    <t xml:space="preserve"> avrundet opp til nærmeste hele krone</t>
  </si>
  <si>
    <r>
      <t xml:space="preserve">I norske kroner: 2 375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10,30 =</t>
    </r>
  </si>
  <si>
    <t>Oppgave 3.46</t>
  </si>
  <si>
    <t xml:space="preserve">Pengeposter i utenlandsk valuta skal vurderes etter kursen ved regnskapsårets slutt, </t>
  </si>
  <si>
    <t>jf. rskl. § 5-9.</t>
  </si>
  <si>
    <t>- i DKK</t>
  </si>
  <si>
    <t>- i EUR</t>
  </si>
  <si>
    <t>Kundefordringene i utenlandsk valuta skal balanseføres med kr 132 700, mens leverandørgjeld</t>
  </si>
  <si>
    <t>i utenlandsk valuta skal bokføres med kr 163 780.</t>
  </si>
  <si>
    <t>Kurstap valuta blir netto kr (2 580 – 2 040) = kr 540.</t>
  </si>
  <si>
    <t>Fordringen i svenske kroner vil imidlertid bli klassifisert som et finansielt anleggsmiddel i balansen</t>
  </si>
  <si>
    <t>Vare-</t>
  </si>
  <si>
    <t>parti A</t>
  </si>
  <si>
    <t>parti B</t>
  </si>
  <si>
    <t>Balanseverdi</t>
  </si>
  <si>
    <t>Jf. rskl. § 5-2 og NRS nr. 1</t>
  </si>
  <si>
    <t>Equinor</t>
  </si>
  <si>
    <t>Frontline</t>
  </si>
  <si>
    <t>Kost-</t>
  </si>
  <si>
    <t>pris</t>
  </si>
  <si>
    <t>Dersom Balder AS er et lite selskap, kan aksjene vurderes etter laveste verdis prinsipp, det vil si kr 420 000.</t>
  </si>
  <si>
    <t>Jf. rskl. § 5-8 andre ledd. Vi må i så fall bokføre et verdifall på kr (470 000 – 420 000) = kr 50 000. Et slikt tap</t>
  </si>
  <si>
    <t>blir klassifisert som finanskostnad.</t>
  </si>
  <si>
    <t>Dersom Balder AS ikke er et lite selskap, og betingelsene i rskl. § 5-8 første ledd er oppfylt (noe det er all grunn til å anta),</t>
  </si>
  <si>
    <t>skal aksjene vurderes til virkelig verdi, altså kr 450 000. Verdifallet blir i så fall kr (470 000 – 450 000) = kr 20 000.</t>
  </si>
  <si>
    <t>Garantiavsetning</t>
  </si>
  <si>
    <t>Garantikostnader</t>
  </si>
  <si>
    <r>
      <t xml:space="preserve">Garantiavsetning per 31.12.20x1: kr 9 600 000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0,02 = kr 192 000</t>
    </r>
  </si>
  <si>
    <r>
      <t xml:space="preserve">Vi krediterer konto </t>
    </r>
    <r>
      <rPr>
        <i/>
        <sz val="12"/>
        <color theme="1"/>
        <rFont val="Times New Roman"/>
        <family val="1"/>
      </rPr>
      <t xml:space="preserve">2980 Garantiavsetning </t>
    </r>
    <r>
      <rPr>
        <sz val="12"/>
        <color theme="1"/>
        <rFont val="Times New Roman"/>
        <family val="1"/>
      </rPr>
      <t xml:space="preserve">kr 12 000 og debiterer konto </t>
    </r>
    <r>
      <rPr>
        <i/>
        <sz val="12"/>
        <color theme="1"/>
        <rFont val="Times New Roman"/>
        <family val="1"/>
      </rPr>
      <t>7550 Garantikostnader.</t>
    </r>
  </si>
  <si>
    <t>Oppgave 3.47</t>
  </si>
  <si>
    <t>Avskrivninger</t>
  </si>
  <si>
    <t>Endring i valutakurser klassifiseres som finansinntekter og finanskostnader.</t>
  </si>
  <si>
    <r>
      <t xml:space="preserve">Valutalånet skal balanseføres med 100 000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8,10 =</t>
    </r>
  </si>
  <si>
    <t xml:space="preserve"> Det betyr en valutagevinst på kr 15 000.</t>
  </si>
  <si>
    <r>
      <t xml:space="preserve">Saldoen på konto </t>
    </r>
    <r>
      <rPr>
        <i/>
        <sz val="12"/>
        <color theme="1"/>
        <rFont val="Times New Roman"/>
        <family val="1"/>
      </rPr>
      <t xml:space="preserve">2270 Valutalån </t>
    </r>
    <r>
      <rPr>
        <sz val="12"/>
        <color theme="1"/>
        <rFont val="Times New Roman"/>
        <family val="1"/>
      </rPr>
      <t>er kr (1 200 000 – 61 200) = kr 1 138 800.</t>
    </r>
  </si>
  <si>
    <r>
      <t xml:space="preserve">Vi fører opp kr 24 463 som gjeld ved å kreditere konto </t>
    </r>
    <r>
      <rPr>
        <i/>
        <sz val="12"/>
        <color theme="1"/>
        <rFont val="Times New Roman"/>
        <family val="1"/>
      </rPr>
      <t>2950 Påløpte renter</t>
    </r>
    <r>
      <rPr>
        <sz val="12"/>
        <color theme="1"/>
        <rFont val="Times New Roman"/>
        <family val="1"/>
      </rPr>
      <t xml:space="preserve">. Samtidig debiterer vi konto </t>
    </r>
    <r>
      <rPr>
        <i/>
        <sz val="12"/>
        <color theme="1"/>
        <rFont val="Times New Roman"/>
        <family val="1"/>
      </rPr>
      <t>8150</t>
    </r>
  </si>
  <si>
    <t>i stedet for et omløpsmiddel.</t>
  </si>
  <si>
    <t>Oppgave 3.44</t>
  </si>
  <si>
    <t>Utsatt skatt</t>
  </si>
  <si>
    <t>Annen egenkapital</t>
  </si>
  <si>
    <t>1.1.</t>
  </si>
  <si>
    <t>Inngående balanse</t>
  </si>
  <si>
    <t>Endring prinsipp</t>
  </si>
  <si>
    <t>Verdiøkning debiteres konto 1440 Ferdige varer. Dermed er inngangsverdien</t>
  </si>
  <si>
    <t>endret i henhold til nytt prinsipp.</t>
  </si>
  <si>
    <t>Balanse per 31.12.</t>
  </si>
  <si>
    <t>Ferdigvarer</t>
  </si>
  <si>
    <t>Beholdningsøkning ferdigvarer</t>
  </si>
  <si>
    <t>I årsregnskapet for 20x2vil begge balanseverdiene oppføres til full tilvirkningkost.</t>
  </si>
  <si>
    <t>Beholdningsøkningen (som vil gå til fradrag i driftskostnadene) vil også bli vurdert</t>
  </si>
  <si>
    <t>etter det nye prinsippet.</t>
  </si>
  <si>
    <t>Lite foretak</t>
  </si>
  <si>
    <t>Vi ser her at verdiøkningen blir inntektsført og vil derfor påvirke årets resultat.</t>
  </si>
  <si>
    <t xml:space="preserve">Siden verdiøkningen bokføres som ekstraordinær inntekt, vil driftsresultatet </t>
  </si>
  <si>
    <t>ikke bli påvirket.</t>
  </si>
  <si>
    <t>Egenkapitalen per 31.12.20x2 vil bli akkurat den samme som for selskapet som</t>
  </si>
  <si>
    <t>følger reglene for mellomstore og store foretak.</t>
  </si>
  <si>
    <t>Beregninger</t>
  </si>
  <si>
    <t>Kommentarer</t>
  </si>
  <si>
    <t>Driftsbygning</t>
  </si>
  <si>
    <t>Maskiner, biler og inventar</t>
  </si>
  <si>
    <t>Avskrivninger:</t>
  </si>
  <si>
    <t>a</t>
  </si>
  <si>
    <r>
      <t xml:space="preserve">Driftsbygning: 6 000 000 </t>
    </r>
    <r>
      <rPr>
        <sz val="10"/>
        <color theme="1"/>
        <rFont val="Calibri"/>
        <family val="2"/>
      </rPr>
      <t>∙ 0,04 =</t>
    </r>
  </si>
  <si>
    <t>Aksjer i SEA KING AS</t>
  </si>
  <si>
    <t>Beholdning materialer</t>
  </si>
  <si>
    <t>b</t>
  </si>
  <si>
    <r>
      <t xml:space="preserve">Maskiner: (3 600 000 – 400 000) </t>
    </r>
    <r>
      <rPr>
        <sz val="10"/>
        <color theme="1"/>
        <rFont val="Calibri"/>
        <family val="2"/>
      </rPr>
      <t>∙ 0,125 =</t>
    </r>
  </si>
  <si>
    <t>c</t>
  </si>
  <si>
    <r>
      <t xml:space="preserve">Solgt bil: 200 000 </t>
    </r>
    <r>
      <rPr>
        <sz val="10"/>
        <color theme="1"/>
        <rFont val="Calibri"/>
        <family val="2"/>
      </rPr>
      <t>∙ 0,15 ∙ 4/12 =</t>
    </r>
  </si>
  <si>
    <r>
      <t xml:space="preserve">Ny bil: 275 000 </t>
    </r>
    <r>
      <rPr>
        <sz val="10"/>
        <color theme="1"/>
        <rFont val="Calibri"/>
        <family val="2"/>
      </rPr>
      <t>∙ 0,15 ∙ 8/12 =</t>
    </r>
  </si>
  <si>
    <t xml:space="preserve">Kortsiktige aksjer </t>
  </si>
  <si>
    <r>
      <t xml:space="preserve">Øvrige biler: (600 000 – 200 000) </t>
    </r>
    <r>
      <rPr>
        <sz val="10"/>
        <color theme="1"/>
        <rFont val="Calibri"/>
        <family val="2"/>
      </rPr>
      <t>∙ 0,15 =</t>
    </r>
  </si>
  <si>
    <t>Bankinnskudd</t>
  </si>
  <si>
    <t>Bankinnskudd  forskuddstrekk</t>
  </si>
  <si>
    <t>Aksjekapital (pål. pr. aksje kr 100,-)</t>
  </si>
  <si>
    <t>Salgssum bil</t>
  </si>
  <si>
    <r>
      <t xml:space="preserve">Vi debiterer konto </t>
    </r>
    <r>
      <rPr>
        <i/>
        <sz val="10"/>
        <color theme="1"/>
        <rFont val="Calibri"/>
        <family val="2"/>
        <scheme val="minor"/>
      </rPr>
      <t>1239 Salg av bil</t>
    </r>
    <r>
      <rPr>
        <sz val="10"/>
        <color theme="1"/>
        <rFont val="Calibri"/>
        <family val="2"/>
        <scheme val="minor"/>
      </rPr>
      <t xml:space="preserve">  og krediterer</t>
    </r>
  </si>
  <si>
    <t>Bokført verdi ved salg: 50 000 – 10 000 =</t>
  </si>
  <si>
    <t>Så fjerner vi den solgte bilen ved å kreditere</t>
  </si>
  <si>
    <t>Pantelån</t>
  </si>
  <si>
    <r>
      <t>Maskiner, biler og inventar</t>
    </r>
    <r>
      <rPr>
        <sz val="10"/>
        <color theme="1"/>
        <rFont val="Calibri"/>
        <family val="2"/>
        <scheme val="minor"/>
      </rPr>
      <t xml:space="preserve"> med kr 40 000.</t>
    </r>
  </si>
  <si>
    <t>d</t>
  </si>
  <si>
    <r>
      <t xml:space="preserve">Inventar: 240 000 </t>
    </r>
    <r>
      <rPr>
        <sz val="10"/>
        <color theme="1"/>
        <rFont val="Calibri"/>
        <family val="2"/>
      </rPr>
      <t>∙ 0,10 =</t>
    </r>
  </si>
  <si>
    <t>Betalbar skatt</t>
  </si>
  <si>
    <t>Skattetrekk</t>
  </si>
  <si>
    <t>Avskrivning maskiner, biler og inventar</t>
  </si>
  <si>
    <t>Kredit konto for Maskiner, biler og inventar. I tillegg krediterer vi for den solgte</t>
  </si>
  <si>
    <t>Oppgjørskonto merverdiavgift</t>
  </si>
  <si>
    <t>bilen (se ovenfor) slik at samlet kreditering blir kr (521 500 + 40 000) = kr 561 500.</t>
  </si>
  <si>
    <t>Skyldig arbeidsgiveravgift</t>
  </si>
  <si>
    <t xml:space="preserve">Konto 5000 Avskrivninger viser de </t>
  </si>
  <si>
    <t>Påløpt arbeidsgiveravgift</t>
  </si>
  <si>
    <t>samlede avskrivningene: 521 500 + 240 000 =</t>
  </si>
  <si>
    <t>Påløpte feriepenger</t>
  </si>
  <si>
    <t>Aksjene i SEA KING AS vurderes til anskaffelseskost som er kr 200 000</t>
  </si>
  <si>
    <t>Driftsinntekter</t>
  </si>
  <si>
    <t>Gevinst ved salg av bil</t>
  </si>
  <si>
    <t>Råvarene vurderes til anskaffelsesverdi</t>
  </si>
  <si>
    <r>
      <t xml:space="preserve">Vi bokfører en beholdningsnedgang på kr 190 000 ved å kreditere konto </t>
    </r>
    <r>
      <rPr>
        <i/>
        <sz val="10"/>
        <color theme="1"/>
        <rFont val="Calibri"/>
        <family val="2"/>
        <scheme val="minor"/>
      </rPr>
      <t>1400</t>
    </r>
  </si>
  <si>
    <t>Kjøp materialer</t>
  </si>
  <si>
    <r>
      <rPr>
        <i/>
        <sz val="10"/>
        <color theme="1"/>
        <rFont val="Calibri"/>
        <family val="2"/>
        <scheme val="minor"/>
      </rPr>
      <t>Beholdning materialer</t>
    </r>
    <r>
      <rPr>
        <sz val="10"/>
        <color theme="1"/>
        <rFont val="Calibri"/>
        <family val="2"/>
        <scheme val="minor"/>
      </rPr>
      <t xml:space="preserve"> og debitere konto </t>
    </r>
    <r>
      <rPr>
        <i/>
        <sz val="10"/>
        <color theme="1"/>
        <rFont val="Calibri"/>
        <family val="2"/>
        <scheme val="minor"/>
      </rPr>
      <t xml:space="preserve">4010 Kjøp materialer, </t>
    </r>
    <r>
      <rPr>
        <sz val="10"/>
        <color theme="1"/>
        <rFont val="Calibri"/>
        <family val="2"/>
        <scheme val="minor"/>
      </rPr>
      <t>som deretter vil</t>
    </r>
  </si>
  <si>
    <t>Beholdningsendring ferdigvarer</t>
  </si>
  <si>
    <t>vise kostnadene. Av plasshensyn har vi valgt ikke å bruke konto for beholdnings-</t>
  </si>
  <si>
    <t>Lønn og sosiale kostnader</t>
  </si>
  <si>
    <t>endring materialer.</t>
  </si>
  <si>
    <t>Ferdigvarene vurderes til</t>
  </si>
  <si>
    <r>
      <t xml:space="preserve">Beholdningsøkning ferdigvarer på kr 150 000 føres debet konto </t>
    </r>
    <r>
      <rPr>
        <i/>
        <sz val="10"/>
        <color theme="1"/>
        <rFont val="Calibri"/>
        <family val="2"/>
        <scheme val="minor"/>
      </rPr>
      <t>1440 Ferdigvarer</t>
    </r>
  </si>
  <si>
    <t>Andre driftskostnader</t>
  </si>
  <si>
    <r>
      <t xml:space="preserve">og kredit konto </t>
    </r>
    <r>
      <rPr>
        <i/>
        <sz val="10"/>
        <color theme="1"/>
        <rFont val="Calibri"/>
        <family val="2"/>
        <scheme val="minor"/>
      </rPr>
      <t>4290 Beholdningsendring ferdigvarer.</t>
    </r>
  </si>
  <si>
    <t>Renteinntekter</t>
  </si>
  <si>
    <t xml:space="preserve">Avsetning tap på fordringer bokføres ekskl. mva.: </t>
  </si>
  <si>
    <t>Dersom de aktuelle fordringene går tapt, vil vi maksimalt tape kr 100 000.</t>
  </si>
  <si>
    <t>Kursgevinst valuta</t>
  </si>
  <si>
    <r>
      <t xml:space="preserve">125 000 </t>
    </r>
    <r>
      <rPr>
        <sz val="10"/>
        <color theme="1"/>
        <rFont val="Calibri"/>
        <family val="2"/>
      </rPr>
      <t>∙ 100/125</t>
    </r>
  </si>
  <si>
    <t>Staten vil tape kr 25 000 (merverdiavgift).</t>
  </si>
  <si>
    <r>
      <t xml:space="preserve">Vi øker avsetning fra kr 80 000 til kr 100 000 ved å kreditere konto </t>
    </r>
    <r>
      <rPr>
        <i/>
        <sz val="10"/>
        <color theme="1"/>
        <rFont val="Calibri"/>
        <family val="2"/>
        <scheme val="minor"/>
      </rPr>
      <t>1580</t>
    </r>
  </si>
  <si>
    <t>Verdireduksjon aksjer</t>
  </si>
  <si>
    <r>
      <t xml:space="preserve">Avsetning tap på fordringer </t>
    </r>
    <r>
      <rPr>
        <sz val="10"/>
        <color theme="1"/>
        <rFont val="Calibri"/>
        <family val="2"/>
        <scheme val="minor"/>
      </rPr>
      <t xml:space="preserve"> og debitere konto </t>
    </r>
    <r>
      <rPr>
        <i/>
        <sz val="10"/>
        <color theme="1"/>
        <rFont val="Calibri"/>
        <family val="2"/>
        <scheme val="minor"/>
      </rPr>
      <t>7830 Tap på fordringer.</t>
    </r>
  </si>
  <si>
    <t>Kurstap valuta</t>
  </si>
  <si>
    <r>
      <t xml:space="preserve">Utenlandske fordringer vurderes til: 50 000 </t>
    </r>
    <r>
      <rPr>
        <sz val="10"/>
        <color theme="1"/>
        <rFont val="Calibri"/>
        <family val="2"/>
      </rPr>
      <t>∙ 10 =</t>
    </r>
  </si>
  <si>
    <t>Fordringer i utenlandsk valuta skal vurderes til kursen 31.12.</t>
  </si>
  <si>
    <r>
      <t xml:space="preserve">Vi bokfører en kursgevinst på kr 3 000 ved å debitere konto </t>
    </r>
    <r>
      <rPr>
        <i/>
        <sz val="10"/>
        <color theme="1"/>
        <rFont val="Calibri"/>
        <family val="2"/>
        <scheme val="minor"/>
      </rPr>
      <t>1500 Kundefordringer</t>
    </r>
  </si>
  <si>
    <t>Endring i utsatt skatt</t>
  </si>
  <si>
    <r>
      <t xml:space="preserve">og kreditere konto </t>
    </r>
    <r>
      <rPr>
        <i/>
        <sz val="10"/>
        <color theme="1"/>
        <rFont val="Calibri"/>
        <family val="2"/>
        <scheme val="minor"/>
      </rPr>
      <t>8060 Kursgevinst valuta</t>
    </r>
  </si>
  <si>
    <t>Årsoverskudd</t>
  </si>
  <si>
    <t>De kortsiktige aksjene vurderes til</t>
  </si>
  <si>
    <r>
      <t xml:space="preserve">Vi debiterer konto </t>
    </r>
    <r>
      <rPr>
        <i/>
        <sz val="10"/>
        <color theme="1"/>
        <rFont val="Calibri"/>
        <family val="2"/>
        <scheme val="minor"/>
      </rPr>
      <t xml:space="preserve">1810 Korsiktige aksjer </t>
    </r>
    <r>
      <rPr>
        <sz val="10"/>
        <color theme="1"/>
        <rFont val="Calibri"/>
        <family val="2"/>
        <scheme val="minor"/>
      </rPr>
      <t>med verdistigningen på kr 33 000 og</t>
    </r>
  </si>
  <si>
    <r>
      <t xml:space="preserve">krediterer konto </t>
    </r>
    <r>
      <rPr>
        <i/>
        <sz val="10"/>
        <color theme="1"/>
        <rFont val="Calibri"/>
        <family val="2"/>
        <scheme val="minor"/>
      </rPr>
      <t xml:space="preserve">8080 Verdiøkning aksjer </t>
    </r>
    <r>
      <rPr>
        <sz val="10"/>
        <color theme="1"/>
        <rFont val="Calibri"/>
        <family val="2"/>
        <scheme val="minor"/>
      </rPr>
      <t>med samme beløp</t>
    </r>
  </si>
  <si>
    <r>
      <t xml:space="preserve">Helga Brüwer: 26 000 </t>
    </r>
    <r>
      <rPr>
        <sz val="10"/>
        <color theme="1"/>
        <rFont val="Calibri"/>
        <family val="2"/>
      </rPr>
      <t>∙ 10 =</t>
    </r>
  </si>
  <si>
    <t>Leverandørgjeld i utenlandsk valuta skal vurderes til valutakursene 31.12.</t>
  </si>
  <si>
    <r>
      <t xml:space="preserve">Dennis Habrock: 36 000 </t>
    </r>
    <r>
      <rPr>
        <sz val="10"/>
        <color theme="1"/>
        <rFont val="Calibri"/>
        <family val="2"/>
      </rPr>
      <t>∙ 8,30 =</t>
    </r>
  </si>
  <si>
    <r>
      <t xml:space="preserve">Dermed må vi kreditere konto </t>
    </r>
    <r>
      <rPr>
        <i/>
        <sz val="10"/>
        <color theme="1"/>
        <rFont val="Calibri"/>
        <family val="2"/>
        <scheme val="minor"/>
      </rPr>
      <t>2400 Leverandørgjeld</t>
    </r>
    <r>
      <rPr>
        <sz val="10"/>
        <color theme="1"/>
        <rFont val="Calibri"/>
        <family val="2"/>
        <scheme val="minor"/>
      </rPr>
      <t xml:space="preserve"> og debitere </t>
    </r>
  </si>
  <si>
    <r>
      <t xml:space="preserve">konto </t>
    </r>
    <r>
      <rPr>
        <i/>
        <sz val="10"/>
        <color theme="1"/>
        <rFont val="Calibri"/>
        <family val="2"/>
        <scheme val="minor"/>
      </rPr>
      <t xml:space="preserve">8060 Kurstap valuta </t>
    </r>
    <r>
      <rPr>
        <sz val="10"/>
        <color theme="1"/>
        <rFont val="Calibri"/>
        <family val="2"/>
        <scheme val="minor"/>
      </rPr>
      <t>for kr 7 000.</t>
    </r>
  </si>
  <si>
    <t>Bokført verdi: 254 800 + 297 000 =</t>
  </si>
  <si>
    <r>
      <t xml:space="preserve">Garantiavsetning: 75 040 850 </t>
    </r>
    <r>
      <rPr>
        <sz val="10"/>
        <color theme="1"/>
        <rFont val="Calibri"/>
        <family val="2"/>
      </rPr>
      <t>∙ 0,02 =</t>
    </r>
  </si>
  <si>
    <t>Garantiavsetningen økes med kr (1 501 000 – 1 460 000) = kr 41 000.</t>
  </si>
  <si>
    <t xml:space="preserve">som avrundes til </t>
  </si>
  <si>
    <r>
      <t xml:space="preserve">Vi krediterer konto </t>
    </r>
    <r>
      <rPr>
        <i/>
        <sz val="10"/>
        <color theme="1"/>
        <rFont val="Calibri"/>
        <family val="2"/>
        <scheme val="minor"/>
      </rPr>
      <t>2971 Garantiavsetning</t>
    </r>
    <r>
      <rPr>
        <sz val="10"/>
        <color theme="1"/>
        <rFont val="Calibri"/>
        <family val="2"/>
        <scheme val="minor"/>
      </rPr>
      <t xml:space="preserve"> og debiterer konto </t>
    </r>
    <r>
      <rPr>
        <i/>
        <sz val="10"/>
        <color theme="1"/>
        <rFont val="Calibri"/>
        <family val="2"/>
        <scheme val="minor"/>
      </rPr>
      <t>7550 Garanti-</t>
    </r>
  </si>
  <si>
    <r>
      <t xml:space="preserve">kostnader </t>
    </r>
    <r>
      <rPr>
        <sz val="10"/>
        <color theme="1"/>
        <rFont val="Calibri"/>
        <family val="2"/>
        <scheme val="minor"/>
      </rPr>
      <t>med kr 41 000</t>
    </r>
  </si>
  <si>
    <t>Betalbar skatt skal balanseføres med</t>
  </si>
  <si>
    <r>
      <t xml:space="preserve">Vi krediterer konto </t>
    </r>
    <r>
      <rPr>
        <i/>
        <sz val="10"/>
        <color theme="1"/>
        <rFont val="Calibri"/>
        <family val="2"/>
        <scheme val="minor"/>
      </rPr>
      <t xml:space="preserve">2500 Betalbar skatt </t>
    </r>
    <r>
      <rPr>
        <sz val="10"/>
        <color theme="1"/>
        <rFont val="Calibri"/>
        <family val="2"/>
        <scheme val="minor"/>
      </rPr>
      <t xml:space="preserve">med kr 101 850 og debiterer </t>
    </r>
  </si>
  <si>
    <t xml:space="preserve">Utsatt skatt skal reduseres med </t>
  </si>
  <si>
    <r>
      <t xml:space="preserve">konto </t>
    </r>
    <r>
      <rPr>
        <i/>
        <sz val="10"/>
        <color theme="1"/>
        <rFont val="Calibri"/>
        <family val="2"/>
        <scheme val="minor"/>
      </rPr>
      <t xml:space="preserve">8300 Betalbar skatt </t>
    </r>
    <r>
      <rPr>
        <sz val="10"/>
        <color theme="1"/>
        <rFont val="Calibri"/>
        <family val="2"/>
        <scheme val="minor"/>
      </rPr>
      <t>(kostnadskontoen) med samme beløp. Differansen</t>
    </r>
  </si>
  <si>
    <t>på kr 150 skyldes at selskapet har beregnet kr 150 for mye skatt i fjor.</t>
  </si>
  <si>
    <r>
      <t xml:space="preserve">Så debiterer vi konto </t>
    </r>
    <r>
      <rPr>
        <i/>
        <sz val="10"/>
        <color theme="1"/>
        <rFont val="Calibri"/>
        <family val="2"/>
        <scheme val="minor"/>
      </rPr>
      <t>2120 Utsatt skatt</t>
    </r>
    <r>
      <rPr>
        <sz val="10"/>
        <color theme="1"/>
        <rFont val="Calibri"/>
        <family val="2"/>
        <scheme val="minor"/>
      </rPr>
      <t xml:space="preserve"> og krediterer konto </t>
    </r>
    <r>
      <rPr>
        <i/>
        <sz val="10"/>
        <color theme="1"/>
        <rFont val="Calibri"/>
        <family val="2"/>
        <scheme val="minor"/>
      </rPr>
      <t>8320 Endring i utsatt skatt</t>
    </r>
  </si>
  <si>
    <t>med kr 17 000.</t>
  </si>
  <si>
    <t>Sum inntekter (konto 3000 - 8080)</t>
  </si>
  <si>
    <t>Sum kostnader (konto 4000 - 7830) og</t>
  </si>
  <si>
    <t>konto 8150 - 8160)</t>
  </si>
  <si>
    <t>Overskudd før skatt</t>
  </si>
  <si>
    <t>Skattekostnad</t>
  </si>
  <si>
    <r>
      <t xml:space="preserve">Årsoverskuddet er debitert konto </t>
    </r>
    <r>
      <rPr>
        <i/>
        <sz val="10"/>
        <color theme="1"/>
        <rFont val="Calibri"/>
        <family val="2"/>
        <scheme val="minor"/>
      </rPr>
      <t>8960 Årsoverskudd</t>
    </r>
    <r>
      <rPr>
        <sz val="10"/>
        <color theme="1"/>
        <rFont val="Calibri"/>
        <family val="2"/>
        <scheme val="minor"/>
      </rPr>
      <t xml:space="preserve"> og kreditert konto</t>
    </r>
  </si>
  <si>
    <t>2050 Annen egenkapital</t>
  </si>
  <si>
    <t>Både langsiktige og kortsiktige fordringer vurderes etter rskl. § 5-9. Det har derfor ingen betydning</t>
  </si>
  <si>
    <t>om fordringen i svenske kroner er langsiktig eller kortsiktig.</t>
  </si>
  <si>
    <t>8160 Valutatap.</t>
  </si>
  <si>
    <r>
      <t>Vi fører kr 35 400 kredit konto</t>
    </r>
    <r>
      <rPr>
        <i/>
        <sz val="12"/>
        <color theme="1"/>
        <rFont val="Times New Roman"/>
        <family val="1"/>
      </rPr>
      <t xml:space="preserve"> 2270 Valutalån</t>
    </r>
    <r>
      <rPr>
        <sz val="12"/>
        <color theme="1"/>
        <rFont val="Times New Roman"/>
        <family val="1"/>
      </rPr>
      <t xml:space="preserve"> og debet konto </t>
    </r>
    <r>
      <rPr>
        <i/>
        <sz val="12"/>
        <color theme="1"/>
        <rFont val="Times New Roman"/>
        <family val="1"/>
      </rPr>
      <t>8160 Valutatap</t>
    </r>
    <r>
      <rPr>
        <sz val="12"/>
        <color theme="1"/>
        <rFont val="Times New Roman"/>
        <family val="1"/>
      </rPr>
      <t>.</t>
    </r>
  </si>
  <si>
    <t>Sum vinning/tap</t>
  </si>
  <si>
    <t>Valutatapet føres som finanskostnad</t>
  </si>
  <si>
    <t>Bokføring i januar 20x1:</t>
  </si>
  <si>
    <r>
      <t xml:space="preserve">konto </t>
    </r>
    <r>
      <rPr>
        <i/>
        <sz val="10"/>
        <color theme="1"/>
        <rFont val="Calibri"/>
        <family val="2"/>
        <scheme val="minor"/>
      </rPr>
      <t xml:space="preserve">3800 Gevinst ved salg av bil </t>
    </r>
    <r>
      <rPr>
        <sz val="10"/>
        <color theme="1"/>
        <rFont val="Calibri"/>
        <family val="2"/>
        <scheme val="minor"/>
      </rPr>
      <t>med kr 52 000.</t>
    </r>
  </si>
  <si>
    <t>4600 Endring</t>
  </si>
  <si>
    <t>regnskapsprinsipp</t>
  </si>
  <si>
    <t>Virkning endring i regnskapsprinsipp</t>
  </si>
  <si>
    <t>I tillegg vil vi få en inntekt på kr 40 000 på grunn av endring i regnskapsprisnsipp.</t>
  </si>
  <si>
    <t>Den bør føres på egen linje under varekostnad og vil påvirke driftsresultatet.</t>
  </si>
  <si>
    <t>Resultatet før skatt øker derved med kr 40 000. Da vil skattekostnaden</t>
  </si>
  <si>
    <t>med kr 31 200.</t>
  </si>
  <si>
    <t>øke med 22 % av kr 40 000, dvs. kr 8 800. Årsoverskuddet vil dermed øke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</si>
</sst>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/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1">
    <xf numFmtId="0" fontId="0" fillId="0" borderId="0" xfId="0"/>
    <xf numFmtId="0" fontId="3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0" xfId="0" applyNumberFormat="1" applyFont="1" applyBorder="1"/>
    <xf numFmtId="3" fontId="1" fillId="2" borderId="10" xfId="0" applyNumberFormat="1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3" xfId="0" applyNumberFormat="1" applyFont="1" applyBorder="1"/>
    <xf numFmtId="3" fontId="1" fillId="2" borderId="13" xfId="0" applyNumberFormat="1" applyFont="1" applyFill="1" applyBorder="1"/>
    <xf numFmtId="0" fontId="1" fillId="0" borderId="10" xfId="0" quotePrefix="1" applyFont="1" applyBorder="1"/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2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5" xfId="0" applyNumberFormat="1" applyFont="1" applyBorder="1"/>
    <xf numFmtId="3" fontId="1" fillId="0" borderId="0" xfId="0" applyNumberFormat="1" applyFont="1" applyBorder="1"/>
    <xf numFmtId="3" fontId="5" fillId="0" borderId="10" xfId="0" applyNumberFormat="1" applyFont="1" applyBorder="1"/>
    <xf numFmtId="3" fontId="5" fillId="0" borderId="13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2" borderId="10" xfId="0" applyNumberFormat="1" applyFont="1" applyFill="1" applyBorder="1"/>
    <xf numFmtId="3" fontId="5" fillId="2" borderId="13" xfId="0" applyNumberFormat="1" applyFont="1" applyFill="1" applyBorder="1"/>
    <xf numFmtId="0" fontId="6" fillId="0" borderId="0" xfId="0" applyFont="1"/>
    <xf numFmtId="0" fontId="1" fillId="0" borderId="2" xfId="0" applyFont="1" applyBorder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3" fontId="1" fillId="2" borderId="17" xfId="0" applyNumberFormat="1" applyFont="1" applyFill="1" applyBorder="1"/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3" fontId="1" fillId="0" borderId="11" xfId="0" applyNumberFormat="1" applyFont="1" applyBorder="1"/>
    <xf numFmtId="3" fontId="1" fillId="0" borderId="25" xfId="0" applyNumberFormat="1" applyFont="1" applyBorder="1"/>
    <xf numFmtId="3" fontId="1" fillId="0" borderId="14" xfId="0" applyNumberFormat="1" applyFont="1" applyBorder="1"/>
    <xf numFmtId="3" fontId="1" fillId="0" borderId="16" xfId="0" applyNumberFormat="1" applyFont="1" applyBorder="1"/>
    <xf numFmtId="0" fontId="1" fillId="0" borderId="0" xfId="0" applyFont="1"/>
    <xf numFmtId="0" fontId="2" fillId="0" borderId="0" xfId="0" applyFont="1"/>
    <xf numFmtId="3" fontId="5" fillId="0" borderId="18" xfId="0" applyNumberFormat="1" applyFont="1" applyBorder="1"/>
    <xf numFmtId="3" fontId="5" fillId="0" borderId="7" xfId="0" applyNumberFormat="1" applyFont="1" applyBorder="1"/>
    <xf numFmtId="0" fontId="5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19" xfId="0" applyFont="1" applyBorder="1" applyAlignment="1">
      <alignment horizontal="center"/>
    </xf>
    <xf numFmtId="0" fontId="9" fillId="0" borderId="9" xfId="0" applyFont="1" applyBorder="1"/>
    <xf numFmtId="3" fontId="1" fillId="0" borderId="22" xfId="0" applyNumberFormat="1" applyFont="1" applyBorder="1"/>
    <xf numFmtId="0" fontId="6" fillId="0" borderId="24" xfId="0" applyFont="1" applyBorder="1"/>
    <xf numFmtId="0" fontId="1" fillId="0" borderId="24" xfId="0" quotePrefix="1" applyFont="1" applyBorder="1"/>
    <xf numFmtId="0" fontId="1" fillId="0" borderId="20" xfId="0" applyFont="1" applyBorder="1"/>
    <xf numFmtId="3" fontId="1" fillId="0" borderId="21" xfId="0" applyNumberFormat="1" applyFont="1" applyBorder="1"/>
    <xf numFmtId="3" fontId="1" fillId="0" borderId="9" xfId="0" quotePrefix="1" applyNumberFormat="1" applyFont="1" applyBorder="1" applyAlignment="1">
      <alignment horizontal="center"/>
    </xf>
    <xf numFmtId="3" fontId="1" fillId="0" borderId="19" xfId="0" applyNumberFormat="1" applyFont="1" applyBorder="1"/>
    <xf numFmtId="0" fontId="6" fillId="0" borderId="3" xfId="0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0" fontId="1" fillId="0" borderId="16" xfId="0" applyFont="1" applyBorder="1"/>
    <xf numFmtId="0" fontId="1" fillId="0" borderId="4" xfId="0" applyFont="1" applyBorder="1"/>
    <xf numFmtId="165" fontId="5" fillId="0" borderId="10" xfId="0" applyNumberFormat="1" applyFont="1" applyBorder="1"/>
    <xf numFmtId="0" fontId="5" fillId="0" borderId="23" xfId="0" applyFont="1" applyBorder="1"/>
    <xf numFmtId="3" fontId="5" fillId="0" borderId="12" xfId="0" applyNumberFormat="1" applyFont="1" applyBorder="1"/>
    <xf numFmtId="165" fontId="5" fillId="0" borderId="17" xfId="0" applyNumberFormat="1" applyFont="1" applyBorder="1"/>
    <xf numFmtId="0" fontId="5" fillId="0" borderId="27" xfId="0" applyFont="1" applyBorder="1"/>
    <xf numFmtId="3" fontId="5" fillId="0" borderId="17" xfId="0" applyNumberFormat="1" applyFont="1" applyBorder="1"/>
    <xf numFmtId="3" fontId="5" fillId="2" borderId="17" xfId="0" applyNumberFormat="1" applyFont="1" applyFill="1" applyBorder="1"/>
    <xf numFmtId="165" fontId="5" fillId="0" borderId="13" xfId="0" applyNumberFormat="1" applyFont="1" applyBorder="1"/>
    <xf numFmtId="0" fontId="5" fillId="0" borderId="26" xfId="0" applyFont="1" applyBorder="1"/>
    <xf numFmtId="3" fontId="5" fillId="0" borderId="15" xfId="0" applyNumberFormat="1" applyFont="1" applyBorder="1"/>
    <xf numFmtId="165" fontId="5" fillId="0" borderId="9" xfId="0" applyNumberFormat="1" applyFont="1" applyBorder="1"/>
    <xf numFmtId="0" fontId="5" fillId="0" borderId="2" xfId="0" applyFont="1" applyBorder="1"/>
    <xf numFmtId="3" fontId="5" fillId="0" borderId="9" xfId="0" applyNumberFormat="1" applyFont="1" applyBorder="1"/>
    <xf numFmtId="3" fontId="5" fillId="2" borderId="9" xfId="0" applyNumberFormat="1" applyFont="1" applyFill="1" applyBorder="1"/>
    <xf numFmtId="0" fontId="5" fillId="0" borderId="11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/>
    <xf numFmtId="0" fontId="5" fillId="0" borderId="14" xfId="0" applyFont="1" applyBorder="1"/>
    <xf numFmtId="3" fontId="5" fillId="0" borderId="1" xfId="0" applyNumberFormat="1" applyFont="1" applyBorder="1"/>
    <xf numFmtId="165" fontId="1" fillId="0" borderId="0" xfId="0" applyNumberFormat="1" applyFont="1" applyBorder="1"/>
    <xf numFmtId="3" fontId="1" fillId="0" borderId="0" xfId="0" applyNumberFormat="1" applyFont="1" applyFill="1" applyBorder="1"/>
    <xf numFmtId="165" fontId="6" fillId="0" borderId="0" xfId="0" applyNumberFormat="1" applyFont="1" applyBorder="1"/>
    <xf numFmtId="0" fontId="1" fillId="0" borderId="24" xfId="0" applyFont="1" applyBorder="1"/>
    <xf numFmtId="0" fontId="10" fillId="0" borderId="0" xfId="0" applyFont="1"/>
    <xf numFmtId="0" fontId="10" fillId="0" borderId="24" xfId="0" applyFont="1" applyBorder="1"/>
    <xf numFmtId="3" fontId="10" fillId="0" borderId="25" xfId="0" applyNumberFormat="1" applyFont="1" applyBorder="1"/>
    <xf numFmtId="3" fontId="10" fillId="0" borderId="22" xfId="0" applyNumberFormat="1" applyFont="1" applyBorder="1"/>
    <xf numFmtId="3" fontId="10" fillId="0" borderId="0" xfId="0" applyNumberFormat="1" applyFont="1"/>
    <xf numFmtId="3" fontId="1" fillId="0" borderId="4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1" fillId="0" borderId="23" xfId="0" applyNumberFormat="1" applyFont="1" applyBorder="1"/>
    <xf numFmtId="3" fontId="1" fillId="0" borderId="26" xfId="0" applyNumberFormat="1" applyFont="1" applyBorder="1"/>
    <xf numFmtId="0" fontId="1" fillId="0" borderId="18" xfId="0" applyFont="1" applyBorder="1"/>
    <xf numFmtId="0" fontId="11" fillId="0" borderId="0" xfId="0" applyFont="1"/>
    <xf numFmtId="3" fontId="1" fillId="3" borderId="10" xfId="0" applyNumberFormat="1" applyFont="1" applyFill="1" applyBorder="1"/>
    <xf numFmtId="3" fontId="1" fillId="3" borderId="17" xfId="0" applyNumberFormat="1" applyFont="1" applyFill="1" applyBorder="1"/>
    <xf numFmtId="3" fontId="1" fillId="3" borderId="13" xfId="0" applyNumberFormat="1" applyFont="1" applyFill="1" applyBorder="1"/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3" fontId="14" fillId="0" borderId="0" xfId="0" applyNumberFormat="1" applyFont="1"/>
    <xf numFmtId="3" fontId="13" fillId="0" borderId="0" xfId="0" applyNumberFormat="1" applyFont="1"/>
    <xf numFmtId="0" fontId="12" fillId="0" borderId="10" xfId="0" applyFont="1" applyBorder="1"/>
    <xf numFmtId="3" fontId="12" fillId="0" borderId="10" xfId="0" applyNumberFormat="1" applyFont="1" applyBorder="1"/>
    <xf numFmtId="3" fontId="12" fillId="4" borderId="10" xfId="0" applyNumberFormat="1" applyFont="1" applyFill="1" applyBorder="1"/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0" fontId="12" fillId="0" borderId="17" xfId="0" applyFont="1" applyBorder="1"/>
    <xf numFmtId="3" fontId="12" fillId="0" borderId="17" xfId="0" applyNumberFormat="1" applyFont="1" applyBorder="1"/>
    <xf numFmtId="3" fontId="12" fillId="4" borderId="17" xfId="0" applyNumberFormat="1" applyFont="1" applyFill="1" applyBorder="1"/>
    <xf numFmtId="0" fontId="15" fillId="0" borderId="0" xfId="0" applyFont="1" applyAlignment="1">
      <alignment horizontal="left"/>
    </xf>
    <xf numFmtId="3" fontId="12" fillId="0" borderId="1" xfId="0" applyNumberFormat="1" applyFont="1" applyBorder="1"/>
    <xf numFmtId="0" fontId="12" fillId="0" borderId="0" xfId="0" applyFont="1" applyAlignment="1">
      <alignment horizontal="right"/>
    </xf>
    <xf numFmtId="0" fontId="12" fillId="0" borderId="0" xfId="0" quotePrefix="1" applyFont="1" applyAlignment="1">
      <alignment horizontal="right"/>
    </xf>
    <xf numFmtId="3" fontId="17" fillId="0" borderId="0" xfId="0" applyNumberFormat="1" applyFont="1"/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12" fillId="0" borderId="13" xfId="0" applyFont="1" applyBorder="1"/>
    <xf numFmtId="3" fontId="12" fillId="0" borderId="13" xfId="0" applyNumberFormat="1" applyFont="1" applyBorder="1"/>
    <xf numFmtId="3" fontId="12" fillId="4" borderId="13" xfId="0" applyNumberFormat="1" applyFont="1" applyFill="1" applyBorder="1"/>
    <xf numFmtId="0" fontId="12" fillId="0" borderId="19" xfId="0" applyFont="1" applyBorder="1"/>
    <xf numFmtId="3" fontId="12" fillId="0" borderId="19" xfId="0" applyNumberFormat="1" applyFont="1" applyBorder="1"/>
    <xf numFmtId="3" fontId="12" fillId="4" borderId="19" xfId="0" applyNumberFormat="1" applyFont="1" applyFill="1" applyBorder="1"/>
    <xf numFmtId="3" fontId="18" fillId="0" borderId="0" xfId="0" applyNumberFormat="1" applyFont="1"/>
    <xf numFmtId="0" fontId="18" fillId="0" borderId="0" xfId="0" applyFont="1"/>
    <xf numFmtId="3" fontId="12" fillId="0" borderId="4" xfId="0" applyNumberFormat="1" applyFont="1" applyBorder="1"/>
    <xf numFmtId="3" fontId="12" fillId="0" borderId="2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D91E-B22E-4592-866A-262E7504DE2E}">
  <dimension ref="A1:S134"/>
  <sheetViews>
    <sheetView showGridLines="0" tabSelected="1" topLeftCell="A2" workbookViewId="0">
      <selection activeCell="O14" sqref="O14"/>
    </sheetView>
  </sheetViews>
  <sheetFormatPr baseColWidth="10" defaultRowHeight="15.75" x14ac:dyDescent="0.25"/>
  <cols>
    <col min="1" max="1" width="5.7109375" style="44" customWidth="1"/>
    <col min="2" max="2" width="11.42578125" style="44"/>
    <col min="3" max="3" width="11.42578125" style="2"/>
    <col min="4" max="8" width="9.28515625" style="2" customWidth="1"/>
    <col min="9" max="11" width="9.28515625" style="44" customWidth="1"/>
    <col min="12" max="16384" width="11.42578125" style="44"/>
  </cols>
  <sheetData>
    <row r="1" spans="1:17" x14ac:dyDescent="0.25">
      <c r="A1" s="45" t="s">
        <v>34</v>
      </c>
    </row>
    <row r="2" spans="1:17" x14ac:dyDescent="0.25">
      <c r="A2" s="45"/>
      <c r="B2" s="4"/>
      <c r="C2" s="64"/>
      <c r="D2" s="19" t="s">
        <v>37</v>
      </c>
      <c r="E2" s="19" t="s">
        <v>38</v>
      </c>
      <c r="F2" s="19" t="s">
        <v>39</v>
      </c>
      <c r="G2" s="19" t="s">
        <v>41</v>
      </c>
    </row>
    <row r="3" spans="1:17" x14ac:dyDescent="0.25">
      <c r="B3" s="5"/>
      <c r="C3" s="65"/>
      <c r="D3" s="20" t="s">
        <v>28</v>
      </c>
      <c r="E3" s="61" t="s">
        <v>12</v>
      </c>
      <c r="F3" s="20" t="s">
        <v>40</v>
      </c>
      <c r="G3" s="20"/>
    </row>
    <row r="4" spans="1:17" x14ac:dyDescent="0.25">
      <c r="B4" s="63" t="s">
        <v>2</v>
      </c>
      <c r="C4" s="64"/>
      <c r="D4" s="56"/>
      <c r="E4" s="56"/>
      <c r="F4" s="56"/>
      <c r="G4" s="56"/>
    </row>
    <row r="5" spans="1:17" x14ac:dyDescent="0.25">
      <c r="B5" s="58" t="s">
        <v>35</v>
      </c>
      <c r="C5" s="41"/>
      <c r="D5" s="56">
        <v>72000</v>
      </c>
      <c r="E5" s="56">
        <f>9000*8.25</f>
        <v>74250</v>
      </c>
      <c r="F5" s="56">
        <f>E5-D5</f>
        <v>2250</v>
      </c>
      <c r="G5" s="56"/>
    </row>
    <row r="6" spans="1:17" x14ac:dyDescent="0.25">
      <c r="B6" s="58" t="s">
        <v>36</v>
      </c>
      <c r="C6" s="41"/>
      <c r="D6" s="56">
        <v>25000</v>
      </c>
      <c r="E6" s="56">
        <f>25000*101/100</f>
        <v>25250</v>
      </c>
      <c r="F6" s="56">
        <f>E6-D6</f>
        <v>250</v>
      </c>
      <c r="G6" s="56"/>
    </row>
    <row r="7" spans="1:17" s="1" customFormat="1" ht="20.25" x14ac:dyDescent="0.3">
      <c r="A7" s="44"/>
      <c r="B7" s="59"/>
      <c r="C7" s="60"/>
      <c r="D7" s="62">
        <f>SUM(D5:D6)</f>
        <v>97000</v>
      </c>
      <c r="E7" s="62">
        <f>SUM(E5:E6)</f>
        <v>99500</v>
      </c>
      <c r="F7" s="56"/>
      <c r="G7" s="56"/>
      <c r="H7" s="2"/>
      <c r="I7" s="44"/>
      <c r="J7" s="44"/>
      <c r="K7" s="44"/>
      <c r="L7" s="44"/>
      <c r="M7" s="44"/>
      <c r="N7" s="44"/>
      <c r="O7" s="44"/>
      <c r="P7" s="44"/>
    </row>
    <row r="8" spans="1:17" x14ac:dyDescent="0.25">
      <c r="B8" s="57" t="s">
        <v>42</v>
      </c>
      <c r="C8" s="41"/>
      <c r="D8" s="56"/>
      <c r="E8" s="56"/>
      <c r="F8" s="56"/>
      <c r="G8" s="56"/>
    </row>
    <row r="9" spans="1:17" x14ac:dyDescent="0.25">
      <c r="B9" s="58" t="s">
        <v>43</v>
      </c>
      <c r="C9" s="41"/>
      <c r="D9" s="56">
        <v>73500</v>
      </c>
      <c r="E9" s="56">
        <f>7500*10</f>
        <v>75000</v>
      </c>
      <c r="F9" s="56"/>
      <c r="G9" s="56">
        <f>E9-D9</f>
        <v>1500</v>
      </c>
    </row>
    <row r="10" spans="1:17" s="1" customFormat="1" ht="20.25" x14ac:dyDescent="0.3">
      <c r="B10" s="59" t="s">
        <v>44</v>
      </c>
      <c r="C10" s="60"/>
      <c r="D10" s="62"/>
      <c r="E10" s="62"/>
      <c r="F10" s="62">
        <f>SUM(F5:F9)</f>
        <v>2500</v>
      </c>
      <c r="G10" s="62">
        <f>SUM(G5:G9)</f>
        <v>1500</v>
      </c>
      <c r="H10" s="2"/>
      <c r="I10" s="44"/>
      <c r="J10" s="44"/>
      <c r="K10" s="44"/>
      <c r="L10" s="44"/>
      <c r="M10" s="44"/>
      <c r="N10" s="44"/>
      <c r="O10" s="44"/>
      <c r="P10" s="44"/>
      <c r="Q10" s="44"/>
    </row>
    <row r="12" spans="1:17" x14ac:dyDescent="0.25">
      <c r="A12" s="44" t="s">
        <v>7</v>
      </c>
      <c r="B12" s="44" t="s">
        <v>45</v>
      </c>
    </row>
    <row r="13" spans="1:17" x14ac:dyDescent="0.25">
      <c r="B13" s="44" t="s">
        <v>46</v>
      </c>
    </row>
    <row r="15" spans="1:17" x14ac:dyDescent="0.25">
      <c r="A15" s="44" t="s">
        <v>8</v>
      </c>
      <c r="B15" s="44" t="s">
        <v>106</v>
      </c>
    </row>
    <row r="16" spans="1:17" x14ac:dyDescent="0.25">
      <c r="B16" s="44" t="s">
        <v>47</v>
      </c>
    </row>
    <row r="17" spans="1:11" x14ac:dyDescent="0.25">
      <c r="B17" s="44" t="s">
        <v>48</v>
      </c>
    </row>
    <row r="18" spans="1:11" x14ac:dyDescent="0.25">
      <c r="B18" s="44" t="s">
        <v>49</v>
      </c>
    </row>
    <row r="21" spans="1:11" x14ac:dyDescent="0.25">
      <c r="A21" s="45" t="s">
        <v>50</v>
      </c>
    </row>
    <row r="22" spans="1:11" x14ac:dyDescent="0.25">
      <c r="A22" s="6"/>
      <c r="B22" s="4"/>
      <c r="C22" s="64"/>
      <c r="D22" s="144" t="s">
        <v>20</v>
      </c>
      <c r="E22" s="145"/>
      <c r="F22" s="144" t="s">
        <v>21</v>
      </c>
      <c r="G22" s="145"/>
      <c r="H22" s="146" t="s">
        <v>22</v>
      </c>
      <c r="I22" s="146"/>
      <c r="J22" s="144" t="s">
        <v>23</v>
      </c>
      <c r="K22" s="145"/>
    </row>
    <row r="23" spans="1:11" x14ac:dyDescent="0.25">
      <c r="A23" s="55"/>
      <c r="B23" s="53"/>
      <c r="C23" s="65"/>
      <c r="D23" s="54" t="s">
        <v>32</v>
      </c>
      <c r="E23" s="54" t="s">
        <v>33</v>
      </c>
      <c r="F23" s="54" t="s">
        <v>32</v>
      </c>
      <c r="G23" s="54" t="s">
        <v>33</v>
      </c>
      <c r="H23" s="54" t="s">
        <v>32</v>
      </c>
      <c r="I23" s="54" t="s">
        <v>33</v>
      </c>
      <c r="J23" s="54" t="s">
        <v>32</v>
      </c>
      <c r="K23" s="54" t="s">
        <v>33</v>
      </c>
    </row>
    <row r="24" spans="1:11" x14ac:dyDescent="0.25">
      <c r="A24" s="34">
        <v>2270</v>
      </c>
      <c r="B24" s="8" t="s">
        <v>51</v>
      </c>
      <c r="C24" s="21"/>
      <c r="D24" s="10"/>
      <c r="E24" s="11">
        <v>825000</v>
      </c>
      <c r="F24" s="10">
        <v>15000</v>
      </c>
      <c r="G24" s="11"/>
      <c r="H24" s="10"/>
      <c r="I24" s="11"/>
      <c r="J24" s="10"/>
      <c r="K24" s="11">
        <f>E24-F24</f>
        <v>810000</v>
      </c>
    </row>
    <row r="25" spans="1:11" x14ac:dyDescent="0.25">
      <c r="A25" s="35">
        <v>2950</v>
      </c>
      <c r="B25" s="66" t="s">
        <v>52</v>
      </c>
      <c r="C25" s="23"/>
      <c r="D25" s="22"/>
      <c r="E25" s="37"/>
      <c r="F25" s="22"/>
      <c r="G25" s="37">
        <v>16200</v>
      </c>
      <c r="H25" s="22"/>
      <c r="I25" s="37"/>
      <c r="J25" s="22"/>
      <c r="K25" s="37">
        <v>16200</v>
      </c>
    </row>
    <row r="26" spans="1:11" x14ac:dyDescent="0.25">
      <c r="A26" s="35">
        <v>8060</v>
      </c>
      <c r="B26" s="66" t="s">
        <v>53</v>
      </c>
      <c r="C26" s="23"/>
      <c r="D26" s="22"/>
      <c r="E26" s="37"/>
      <c r="F26" s="22"/>
      <c r="G26" s="37">
        <v>15000</v>
      </c>
      <c r="H26" s="22"/>
      <c r="I26" s="37">
        <v>15000</v>
      </c>
      <c r="J26" s="22"/>
      <c r="K26" s="37"/>
    </row>
    <row r="27" spans="1:11" x14ac:dyDescent="0.25">
      <c r="A27" s="35">
        <v>8150</v>
      </c>
      <c r="B27" s="66" t="s">
        <v>54</v>
      </c>
      <c r="C27" s="23"/>
      <c r="D27" s="22"/>
      <c r="E27" s="37"/>
      <c r="F27" s="22">
        <v>16200</v>
      </c>
      <c r="G27" s="37"/>
      <c r="H27" s="22">
        <v>16200</v>
      </c>
      <c r="I27" s="37"/>
      <c r="J27" s="22"/>
      <c r="K27" s="37"/>
    </row>
    <row r="28" spans="1:11" x14ac:dyDescent="0.25">
      <c r="A28" s="38">
        <v>8160</v>
      </c>
      <c r="B28" s="13" t="s">
        <v>55</v>
      </c>
      <c r="C28" s="24"/>
      <c r="D28" s="15"/>
      <c r="E28" s="16"/>
      <c r="F28" s="15"/>
      <c r="G28" s="16"/>
      <c r="H28" s="15"/>
      <c r="I28" s="16"/>
      <c r="J28" s="15"/>
      <c r="K28" s="16"/>
    </row>
    <row r="30" spans="1:11" x14ac:dyDescent="0.25">
      <c r="B30" s="44" t="s">
        <v>56</v>
      </c>
      <c r="H30" s="2">
        <f>810000*0.04/2</f>
        <v>16200</v>
      </c>
    </row>
    <row r="31" spans="1:11" x14ac:dyDescent="0.25">
      <c r="B31" s="44" t="s">
        <v>107</v>
      </c>
      <c r="H31" s="2">
        <f>100000*8.1</f>
        <v>810000</v>
      </c>
      <c r="I31" s="44" t="s">
        <v>108</v>
      </c>
    </row>
    <row r="32" spans="1:11" x14ac:dyDescent="0.25">
      <c r="A32" s="105"/>
    </row>
    <row r="33" spans="1:17" x14ac:dyDescent="0.25">
      <c r="A33" s="45" t="s">
        <v>112</v>
      </c>
    </row>
    <row r="35" spans="1:17" x14ac:dyDescent="0.25">
      <c r="A35" s="45" t="s">
        <v>63</v>
      </c>
    </row>
    <row r="36" spans="1:17" x14ac:dyDescent="0.25">
      <c r="A36" s="6"/>
      <c r="B36" s="67"/>
      <c r="C36" s="64"/>
      <c r="D36" s="144" t="s">
        <v>58</v>
      </c>
      <c r="E36" s="145"/>
      <c r="F36" s="144" t="s">
        <v>59</v>
      </c>
      <c r="G36" s="145"/>
      <c r="H36" s="147" t="s">
        <v>60</v>
      </c>
      <c r="I36" s="148"/>
      <c r="J36" s="147" t="s">
        <v>231</v>
      </c>
      <c r="K36" s="148"/>
    </row>
    <row r="37" spans="1:17" x14ac:dyDescent="0.25">
      <c r="A37" s="7"/>
      <c r="B37" s="33"/>
      <c r="C37" s="65"/>
      <c r="D37" s="54" t="s">
        <v>32</v>
      </c>
      <c r="E37" s="54" t="s">
        <v>33</v>
      </c>
      <c r="F37" s="54" t="s">
        <v>32</v>
      </c>
      <c r="G37" s="54" t="s">
        <v>33</v>
      </c>
      <c r="H37" s="54" t="s">
        <v>32</v>
      </c>
      <c r="I37" s="54" t="s">
        <v>33</v>
      </c>
      <c r="J37" s="54" t="s">
        <v>32</v>
      </c>
      <c r="K37" s="54" t="s">
        <v>33</v>
      </c>
    </row>
    <row r="38" spans="1:17" x14ac:dyDescent="0.25">
      <c r="A38" s="68">
        <v>44227</v>
      </c>
      <c r="B38" s="69" t="s">
        <v>61</v>
      </c>
      <c r="C38" s="70"/>
      <c r="D38" s="26">
        <v>1200000</v>
      </c>
      <c r="E38" s="30"/>
      <c r="F38" s="26"/>
      <c r="G38" s="30">
        <v>1200000</v>
      </c>
      <c r="H38" s="26"/>
      <c r="I38" s="30"/>
      <c r="J38" s="26"/>
      <c r="K38" s="30"/>
    </row>
    <row r="39" spans="1:17" x14ac:dyDescent="0.25">
      <c r="A39" s="71">
        <v>44408</v>
      </c>
      <c r="B39" s="72" t="s">
        <v>62</v>
      </c>
      <c r="C39" s="46"/>
      <c r="D39" s="73"/>
      <c r="E39" s="74">
        <v>61200</v>
      </c>
      <c r="F39" s="73">
        <v>61200</v>
      </c>
      <c r="G39" s="74"/>
      <c r="H39" s="73"/>
      <c r="I39" s="74"/>
      <c r="J39" s="73"/>
      <c r="K39" s="74"/>
    </row>
    <row r="40" spans="1:17" x14ac:dyDescent="0.25">
      <c r="A40" s="75">
        <v>44408</v>
      </c>
      <c r="B40" s="76" t="s">
        <v>6</v>
      </c>
      <c r="C40" s="77"/>
      <c r="D40" s="27"/>
      <c r="E40" s="31">
        <v>30600</v>
      </c>
      <c r="F40" s="27"/>
      <c r="G40" s="31"/>
      <c r="H40" s="27">
        <v>30600</v>
      </c>
      <c r="I40" s="31"/>
      <c r="J40" s="27"/>
      <c r="K40" s="31"/>
    </row>
    <row r="41" spans="1:17" s="1" customFormat="1" ht="20.25" x14ac:dyDescent="0.3">
      <c r="A41" s="78"/>
      <c r="B41" s="79"/>
      <c r="C41" s="47"/>
      <c r="D41" s="80"/>
      <c r="E41" s="81"/>
      <c r="F41" s="80">
        <f>SUM(F38:F40)</f>
        <v>61200</v>
      </c>
      <c r="G41" s="81">
        <f>SUM(G38:G40)</f>
        <v>1200000</v>
      </c>
      <c r="H41" s="80">
        <f>SUM(H40)</f>
        <v>30600</v>
      </c>
      <c r="I41" s="81"/>
      <c r="J41" s="80"/>
      <c r="K41" s="81"/>
      <c r="L41" s="44"/>
      <c r="M41" s="44"/>
      <c r="N41" s="44"/>
      <c r="O41" s="44"/>
      <c r="P41" s="44"/>
      <c r="Q41" s="44"/>
    </row>
    <row r="42" spans="1:17" x14ac:dyDescent="0.25">
      <c r="A42" s="87"/>
      <c r="B42" s="39"/>
      <c r="C42" s="25"/>
      <c r="D42" s="25"/>
      <c r="E42" s="88"/>
      <c r="F42" s="88"/>
      <c r="G42" s="88"/>
      <c r="H42" s="88"/>
      <c r="I42" s="88"/>
    </row>
    <row r="43" spans="1:17" x14ac:dyDescent="0.25">
      <c r="A43" s="87" t="s">
        <v>71</v>
      </c>
      <c r="B43" s="39"/>
      <c r="C43" s="25"/>
      <c r="D43" s="25"/>
      <c r="E43" s="88"/>
      <c r="F43" s="88"/>
      <c r="G43" s="88"/>
      <c r="H43" s="88"/>
      <c r="I43" s="88"/>
    </row>
    <row r="44" spans="1:17" x14ac:dyDescent="0.25">
      <c r="A44" s="87" t="s">
        <v>72</v>
      </c>
      <c r="B44" s="39"/>
      <c r="C44" s="25"/>
      <c r="D44" s="25"/>
      <c r="E44" s="88"/>
      <c r="F44" s="88"/>
      <c r="G44" s="88"/>
      <c r="H44" s="88"/>
      <c r="I44" s="88"/>
    </row>
    <row r="45" spans="1:17" x14ac:dyDescent="0.25">
      <c r="A45" s="89" t="s">
        <v>73</v>
      </c>
      <c r="B45" s="39"/>
      <c r="C45" s="25"/>
      <c r="D45" s="25"/>
      <c r="E45" s="88"/>
      <c r="F45" s="88"/>
      <c r="G45" s="88"/>
      <c r="H45" s="88"/>
      <c r="I45" s="88"/>
    </row>
    <row r="46" spans="1:17" x14ac:dyDescent="0.25">
      <c r="A46" s="87" t="s">
        <v>109</v>
      </c>
      <c r="B46" s="39"/>
      <c r="C46" s="25"/>
      <c r="D46" s="25"/>
      <c r="E46" s="88"/>
      <c r="F46" s="88"/>
      <c r="G46" s="88"/>
      <c r="H46" s="88"/>
      <c r="I46" s="88"/>
    </row>
    <row r="48" spans="1:17" x14ac:dyDescent="0.25">
      <c r="A48" s="45" t="s">
        <v>64</v>
      </c>
    </row>
    <row r="49" spans="1:19" x14ac:dyDescent="0.25">
      <c r="A49" s="6"/>
      <c r="B49" s="4"/>
      <c r="C49" s="64"/>
      <c r="D49" s="144" t="s">
        <v>20</v>
      </c>
      <c r="E49" s="145"/>
      <c r="F49" s="144" t="s">
        <v>21</v>
      </c>
      <c r="G49" s="145"/>
      <c r="H49" s="146" t="s">
        <v>22</v>
      </c>
      <c r="I49" s="146"/>
      <c r="J49" s="144" t="s">
        <v>23</v>
      </c>
      <c r="K49" s="145"/>
    </row>
    <row r="50" spans="1:19" x14ac:dyDescent="0.25">
      <c r="A50" s="55"/>
      <c r="B50" s="53"/>
      <c r="C50" s="65"/>
      <c r="D50" s="54" t="s">
        <v>32</v>
      </c>
      <c r="E50" s="54" t="s">
        <v>33</v>
      </c>
      <c r="F50" s="54" t="s">
        <v>32</v>
      </c>
      <c r="G50" s="54" t="s">
        <v>33</v>
      </c>
      <c r="H50" s="54" t="s">
        <v>32</v>
      </c>
      <c r="I50" s="54" t="s">
        <v>33</v>
      </c>
      <c r="J50" s="54" t="s">
        <v>32</v>
      </c>
      <c r="K50" s="54" t="s">
        <v>33</v>
      </c>
    </row>
    <row r="51" spans="1:19" x14ac:dyDescent="0.25">
      <c r="A51" s="28">
        <v>2270</v>
      </c>
      <c r="B51" s="82" t="s">
        <v>51</v>
      </c>
      <c r="C51" s="70"/>
      <c r="D51" s="26"/>
      <c r="E51" s="30">
        <f>G41-F41</f>
        <v>1138800</v>
      </c>
      <c r="F51" s="26"/>
      <c r="G51" s="30">
        <v>35400</v>
      </c>
      <c r="H51" s="26"/>
      <c r="I51" s="30"/>
      <c r="J51" s="26"/>
      <c r="K51" s="30">
        <f>E51+G51</f>
        <v>1174200</v>
      </c>
    </row>
    <row r="52" spans="1:19" x14ac:dyDescent="0.25">
      <c r="A52" s="83">
        <v>2950</v>
      </c>
      <c r="B52" s="84" t="s">
        <v>52</v>
      </c>
      <c r="C52" s="46"/>
      <c r="D52" s="73"/>
      <c r="E52" s="74"/>
      <c r="F52" s="73"/>
      <c r="G52" s="74">
        <v>24463</v>
      </c>
      <c r="H52" s="73"/>
      <c r="I52" s="74"/>
      <c r="J52" s="73"/>
      <c r="K52" s="74">
        <f>G52</f>
        <v>24463</v>
      </c>
    </row>
    <row r="53" spans="1:19" x14ac:dyDescent="0.25">
      <c r="A53" s="83">
        <v>8060</v>
      </c>
      <c r="B53" s="84" t="s">
        <v>53</v>
      </c>
      <c r="C53" s="46"/>
      <c r="D53" s="73"/>
      <c r="E53" s="74"/>
      <c r="F53" s="73"/>
      <c r="G53" s="74"/>
      <c r="H53" s="73"/>
      <c r="I53" s="74"/>
      <c r="J53" s="73"/>
      <c r="K53" s="74"/>
    </row>
    <row r="54" spans="1:19" x14ac:dyDescent="0.25">
      <c r="A54" s="83">
        <v>8150</v>
      </c>
      <c r="B54" s="84" t="s">
        <v>54</v>
      </c>
      <c r="C54" s="46"/>
      <c r="D54" s="73">
        <f>H41</f>
        <v>30600</v>
      </c>
      <c r="E54" s="74"/>
      <c r="F54" s="73">
        <v>24463</v>
      </c>
      <c r="G54" s="74"/>
      <c r="H54" s="73">
        <f>SUM(D54:F54)</f>
        <v>55063</v>
      </c>
      <c r="I54" s="74"/>
      <c r="J54" s="73"/>
      <c r="K54" s="74"/>
    </row>
    <row r="55" spans="1:19" x14ac:dyDescent="0.25">
      <c r="A55" s="29">
        <v>8160</v>
      </c>
      <c r="B55" s="85" t="s">
        <v>55</v>
      </c>
      <c r="C55" s="77"/>
      <c r="D55" s="27"/>
      <c r="E55" s="31"/>
      <c r="F55" s="27">
        <v>35400</v>
      </c>
      <c r="G55" s="31"/>
      <c r="H55" s="27">
        <f>SUM(F55:G55)</f>
        <v>35400</v>
      </c>
      <c r="I55" s="31"/>
      <c r="J55" s="27"/>
      <c r="K55" s="31"/>
    </row>
    <row r="57" spans="1:19" x14ac:dyDescent="0.25">
      <c r="A57" s="48" t="s">
        <v>65</v>
      </c>
      <c r="B57" s="48"/>
      <c r="C57" s="49"/>
      <c r="D57" s="49"/>
      <c r="E57" s="49"/>
      <c r="F57" s="49"/>
      <c r="G57" s="49"/>
      <c r="H57" s="49"/>
    </row>
    <row r="58" spans="1:19" x14ac:dyDescent="0.25">
      <c r="A58" s="48"/>
      <c r="B58" s="48"/>
      <c r="C58" s="49"/>
      <c r="D58" s="49"/>
      <c r="E58" s="49"/>
      <c r="F58" s="49"/>
      <c r="G58" s="49"/>
      <c r="H58" s="49"/>
    </row>
    <row r="59" spans="1:19" x14ac:dyDescent="0.25">
      <c r="A59" s="48" t="s">
        <v>66</v>
      </c>
      <c r="B59" s="48"/>
      <c r="C59" s="49"/>
      <c r="D59" s="49"/>
      <c r="E59" s="49"/>
      <c r="F59" s="49">
        <f>114000*10.3</f>
        <v>1174200</v>
      </c>
      <c r="G59" s="49" t="s">
        <v>68</v>
      </c>
      <c r="H59" s="49"/>
    </row>
    <row r="60" spans="1:19" x14ac:dyDescent="0.25">
      <c r="A60" s="48" t="s">
        <v>67</v>
      </c>
      <c r="B60" s="48"/>
      <c r="C60" s="49"/>
      <c r="D60" s="49"/>
      <c r="E60" s="49"/>
      <c r="F60" s="49">
        <f>E51</f>
        <v>1138800</v>
      </c>
      <c r="G60" s="49"/>
      <c r="H60" s="49"/>
    </row>
    <row r="61" spans="1:19" s="1" customFormat="1" ht="20.25" x14ac:dyDescent="0.3">
      <c r="A61" s="48" t="s">
        <v>55</v>
      </c>
      <c r="B61" s="48"/>
      <c r="C61" s="49"/>
      <c r="D61" s="49"/>
      <c r="E61" s="49"/>
      <c r="F61" s="86">
        <f>F59-F60</f>
        <v>35400</v>
      </c>
      <c r="G61" s="49"/>
      <c r="H61" s="4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x14ac:dyDescent="0.25">
      <c r="F62" s="25"/>
    </row>
    <row r="63" spans="1:19" x14ac:dyDescent="0.25">
      <c r="A63" s="44" t="s">
        <v>232</v>
      </c>
      <c r="F63" s="25"/>
    </row>
    <row r="65" spans="1:9" x14ac:dyDescent="0.25">
      <c r="A65" s="48" t="s">
        <v>69</v>
      </c>
      <c r="B65" s="48"/>
      <c r="C65" s="49"/>
      <c r="D65" s="49"/>
      <c r="E65" s="49"/>
      <c r="F65" s="49"/>
      <c r="G65" s="49"/>
      <c r="H65" s="49">
        <f>114000*0.05*5/12</f>
        <v>2375</v>
      </c>
      <c r="I65" s="44" t="s">
        <v>70</v>
      </c>
    </row>
    <row r="67" spans="1:9" x14ac:dyDescent="0.25">
      <c r="A67" s="44" t="s">
        <v>76</v>
      </c>
      <c r="D67" s="44"/>
      <c r="E67" s="18">
        <f>H65*10.3</f>
        <v>24462.5</v>
      </c>
      <c r="F67" s="2" t="s">
        <v>75</v>
      </c>
    </row>
    <row r="69" spans="1:9" x14ac:dyDescent="0.25">
      <c r="A69" s="44" t="s">
        <v>110</v>
      </c>
    </row>
    <row r="70" spans="1:9" x14ac:dyDescent="0.25">
      <c r="A70" s="32" t="s">
        <v>74</v>
      </c>
    </row>
    <row r="73" spans="1:9" x14ac:dyDescent="0.25">
      <c r="A73" s="45" t="s">
        <v>57</v>
      </c>
    </row>
    <row r="75" spans="1:9" x14ac:dyDescent="0.25">
      <c r="A75" s="44" t="s">
        <v>7</v>
      </c>
      <c r="B75" s="44" t="s">
        <v>78</v>
      </c>
    </row>
    <row r="76" spans="1:9" x14ac:dyDescent="0.25">
      <c r="B76" s="44" t="s">
        <v>79</v>
      </c>
    </row>
    <row r="78" spans="1:9" x14ac:dyDescent="0.25">
      <c r="B78" s="4"/>
      <c r="C78" s="64"/>
      <c r="D78" s="19" t="s">
        <v>37</v>
      </c>
      <c r="E78" s="19" t="s">
        <v>38</v>
      </c>
      <c r="F78" s="19" t="s">
        <v>39</v>
      </c>
      <c r="G78" s="19" t="s">
        <v>41</v>
      </c>
    </row>
    <row r="79" spans="1:9" x14ac:dyDescent="0.25">
      <c r="B79" s="5"/>
      <c r="C79" s="65"/>
      <c r="D79" s="20" t="s">
        <v>28</v>
      </c>
      <c r="E79" s="61" t="s">
        <v>12</v>
      </c>
      <c r="F79" s="20" t="s">
        <v>40</v>
      </c>
      <c r="G79" s="20"/>
    </row>
    <row r="80" spans="1:9" x14ac:dyDescent="0.25">
      <c r="B80" s="63" t="s">
        <v>2</v>
      </c>
      <c r="C80" s="64"/>
      <c r="D80" s="56"/>
      <c r="E80" s="56"/>
      <c r="F80" s="56"/>
      <c r="G80" s="56"/>
    </row>
    <row r="81" spans="1:19" x14ac:dyDescent="0.25">
      <c r="B81" s="58" t="s">
        <v>80</v>
      </c>
      <c r="C81" s="41"/>
      <c r="D81" s="56">
        <v>32160</v>
      </c>
      <c r="E81" s="56">
        <f>24000*1.35</f>
        <v>32400.000000000004</v>
      </c>
      <c r="F81" s="56">
        <f>E81-D81</f>
        <v>240.00000000000364</v>
      </c>
      <c r="G81" s="56"/>
    </row>
    <row r="82" spans="1:19" x14ac:dyDescent="0.25">
      <c r="B82" s="58" t="s">
        <v>36</v>
      </c>
      <c r="C82" s="41"/>
      <c r="D82" s="56">
        <v>50600</v>
      </c>
      <c r="E82" s="56">
        <f>50000*0.99</f>
        <v>49500</v>
      </c>
      <c r="F82" s="56"/>
      <c r="G82" s="56">
        <f>D82-E82</f>
        <v>1100</v>
      </c>
    </row>
    <row r="83" spans="1:19" x14ac:dyDescent="0.25">
      <c r="B83" s="58" t="s">
        <v>81</v>
      </c>
      <c r="C83" s="41"/>
      <c r="D83" s="56">
        <v>50000</v>
      </c>
      <c r="E83" s="56">
        <f>5000*10.16</f>
        <v>50800</v>
      </c>
      <c r="F83" s="56">
        <f>E83-D83</f>
        <v>800</v>
      </c>
      <c r="G83" s="56"/>
    </row>
    <row r="84" spans="1:19" s="1" customFormat="1" ht="20.25" x14ac:dyDescent="0.3">
      <c r="A84" s="44"/>
      <c r="B84" s="59"/>
      <c r="C84" s="60"/>
      <c r="D84" s="62"/>
      <c r="E84" s="62">
        <f>SUM(E81:E83)</f>
        <v>132700</v>
      </c>
      <c r="F84" s="56"/>
      <c r="G84" s="56"/>
      <c r="H84" s="2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 s="91" customFormat="1" ht="11.25" x14ac:dyDescent="0.2">
      <c r="B85" s="92"/>
      <c r="C85" s="93"/>
      <c r="D85" s="94"/>
      <c r="E85" s="94"/>
      <c r="F85" s="94"/>
      <c r="G85" s="94"/>
      <c r="H85" s="95"/>
    </row>
    <row r="86" spans="1:19" x14ac:dyDescent="0.25">
      <c r="B86" s="57" t="s">
        <v>42</v>
      </c>
      <c r="C86" s="41"/>
      <c r="D86" s="56"/>
      <c r="E86" s="56"/>
      <c r="F86" s="56"/>
      <c r="G86" s="56"/>
    </row>
    <row r="87" spans="1:19" x14ac:dyDescent="0.25">
      <c r="B87" s="58" t="s">
        <v>35</v>
      </c>
      <c r="C87" s="41"/>
      <c r="D87" s="56">
        <v>83500</v>
      </c>
      <c r="E87" s="56">
        <f>10000*8.25</f>
        <v>82500</v>
      </c>
      <c r="F87" s="56">
        <f>D87-E87</f>
        <v>1000</v>
      </c>
      <c r="G87" s="56"/>
    </row>
    <row r="88" spans="1:19" x14ac:dyDescent="0.25">
      <c r="B88" s="58" t="s">
        <v>81</v>
      </c>
      <c r="C88" s="41"/>
      <c r="D88" s="56">
        <v>79800</v>
      </c>
      <c r="E88" s="56">
        <f>8000*10.16</f>
        <v>81280</v>
      </c>
      <c r="F88" s="56"/>
      <c r="G88" s="56">
        <f>E88-D88</f>
        <v>1480</v>
      </c>
    </row>
    <row r="89" spans="1:19" s="1" customFormat="1" ht="20.25" x14ac:dyDescent="0.3">
      <c r="A89" s="44"/>
      <c r="B89" s="59" t="s">
        <v>233</v>
      </c>
      <c r="C89" s="60"/>
      <c r="D89" s="62"/>
      <c r="E89" s="62">
        <f>SUM(E87:E88)</f>
        <v>163780</v>
      </c>
      <c r="F89" s="62">
        <f>SUM(F80:F88)</f>
        <v>2040.0000000000036</v>
      </c>
      <c r="G89" s="62">
        <f>SUM(G80:G88)</f>
        <v>2580</v>
      </c>
      <c r="H89" s="2"/>
      <c r="I89" s="2"/>
      <c r="J89" s="44"/>
      <c r="K89" s="44"/>
      <c r="L89" s="44"/>
      <c r="M89" s="44"/>
      <c r="N89" s="44"/>
      <c r="O89" s="44"/>
      <c r="P89" s="44"/>
      <c r="Q89" s="44"/>
    </row>
    <row r="91" spans="1:19" x14ac:dyDescent="0.25">
      <c r="B91" s="44" t="s">
        <v>82</v>
      </c>
      <c r="K91" s="2"/>
    </row>
    <row r="92" spans="1:19" x14ac:dyDescent="0.25">
      <c r="B92" s="44" t="s">
        <v>83</v>
      </c>
    </row>
    <row r="94" spans="1:19" x14ac:dyDescent="0.25">
      <c r="B94" s="44" t="s">
        <v>84</v>
      </c>
    </row>
    <row r="95" spans="1:19" x14ac:dyDescent="0.25">
      <c r="B95" s="44" t="s">
        <v>234</v>
      </c>
    </row>
    <row r="97" spans="1:17" x14ac:dyDescent="0.25">
      <c r="A97" s="44" t="s">
        <v>8</v>
      </c>
      <c r="B97" s="44" t="s">
        <v>229</v>
      </c>
    </row>
    <row r="98" spans="1:17" x14ac:dyDescent="0.25">
      <c r="B98" s="44" t="s">
        <v>230</v>
      </c>
    </row>
    <row r="99" spans="1:17" x14ac:dyDescent="0.25">
      <c r="B99" s="44" t="s">
        <v>85</v>
      </c>
    </row>
    <row r="100" spans="1:17" x14ac:dyDescent="0.25">
      <c r="B100" s="44" t="s">
        <v>111</v>
      </c>
    </row>
    <row r="102" spans="1:17" x14ac:dyDescent="0.25">
      <c r="A102" s="44" t="s">
        <v>9</v>
      </c>
      <c r="B102" s="4"/>
      <c r="C102" s="96"/>
      <c r="D102" s="99" t="s">
        <v>86</v>
      </c>
      <c r="E102" s="97" t="s">
        <v>86</v>
      </c>
      <c r="F102" s="99" t="s">
        <v>14</v>
      </c>
    </row>
    <row r="103" spans="1:17" x14ac:dyDescent="0.25">
      <c r="B103" s="5"/>
      <c r="C103" s="18"/>
      <c r="D103" s="100" t="s">
        <v>87</v>
      </c>
      <c r="E103" s="98" t="s">
        <v>88</v>
      </c>
      <c r="F103" s="101"/>
    </row>
    <row r="104" spans="1:17" x14ac:dyDescent="0.25">
      <c r="B104" s="8" t="s">
        <v>13</v>
      </c>
      <c r="C104" s="102"/>
      <c r="D104" s="10">
        <v>155000</v>
      </c>
      <c r="E104" s="102">
        <v>266000</v>
      </c>
      <c r="F104" s="10"/>
    </row>
    <row r="105" spans="1:17" x14ac:dyDescent="0.25">
      <c r="B105" s="13" t="s">
        <v>16</v>
      </c>
      <c r="C105" s="103"/>
      <c r="D105" s="15">
        <f>225000*0.9</f>
        <v>202500</v>
      </c>
      <c r="E105" s="103">
        <f>270000*0.9</f>
        <v>243000</v>
      </c>
      <c r="F105" s="15"/>
    </row>
    <row r="106" spans="1:17" s="1" customFormat="1" ht="20.25" x14ac:dyDescent="0.3">
      <c r="A106" s="44"/>
      <c r="B106" s="59" t="s">
        <v>89</v>
      </c>
      <c r="C106" s="3"/>
      <c r="D106" s="62">
        <f>D104</f>
        <v>155000</v>
      </c>
      <c r="E106" s="3">
        <f>E105</f>
        <v>243000</v>
      </c>
      <c r="F106" s="62">
        <f>SUM(D106:E106)</f>
        <v>398000</v>
      </c>
      <c r="G106" s="2"/>
      <c r="H106" s="2"/>
      <c r="I106" s="44"/>
      <c r="J106" s="44"/>
      <c r="K106" s="44"/>
      <c r="L106" s="44"/>
      <c r="M106" s="44"/>
      <c r="N106" s="44"/>
      <c r="O106" s="44"/>
      <c r="P106" s="44"/>
      <c r="Q106" s="44"/>
    </row>
    <row r="108" spans="1:17" x14ac:dyDescent="0.25">
      <c r="B108" s="44" t="s">
        <v>90</v>
      </c>
    </row>
    <row r="110" spans="1:17" x14ac:dyDescent="0.25">
      <c r="A110" s="44" t="s">
        <v>15</v>
      </c>
      <c r="B110" s="4"/>
      <c r="C110" s="96"/>
      <c r="D110" s="19" t="s">
        <v>93</v>
      </c>
      <c r="E110" s="52" t="s">
        <v>39</v>
      </c>
      <c r="F110" s="19" t="s">
        <v>29</v>
      </c>
    </row>
    <row r="111" spans="1:17" x14ac:dyDescent="0.25">
      <c r="B111" s="5"/>
      <c r="C111" s="18"/>
      <c r="D111" s="20" t="s">
        <v>94</v>
      </c>
      <c r="E111" s="51" t="s">
        <v>28</v>
      </c>
      <c r="F111" s="20" t="s">
        <v>28</v>
      </c>
    </row>
    <row r="112" spans="1:17" x14ac:dyDescent="0.25">
      <c r="B112" s="90" t="s">
        <v>91</v>
      </c>
      <c r="C112" s="25"/>
      <c r="D112" s="56">
        <v>300000</v>
      </c>
      <c r="E112" s="25">
        <v>250000</v>
      </c>
      <c r="F112" s="56">
        <f>MIN(D112:E112)</f>
        <v>250000</v>
      </c>
    </row>
    <row r="113" spans="1:19" x14ac:dyDescent="0.25">
      <c r="B113" s="90" t="s">
        <v>92</v>
      </c>
      <c r="C113" s="25"/>
      <c r="D113" s="56">
        <v>170000</v>
      </c>
      <c r="E113" s="25">
        <v>200000</v>
      </c>
      <c r="F113" s="56">
        <f>MIN(D113:E113)</f>
        <v>170000</v>
      </c>
    </row>
    <row r="114" spans="1:19" s="1" customFormat="1" ht="20.25" x14ac:dyDescent="0.3">
      <c r="A114" s="44"/>
      <c r="B114" s="59"/>
      <c r="C114" s="3"/>
      <c r="D114" s="62">
        <f>SUM(D112:D113)</f>
        <v>470000</v>
      </c>
      <c r="E114" s="3">
        <f t="shared" ref="E114:F114" si="0">SUM(E112:E113)</f>
        <v>450000</v>
      </c>
      <c r="F114" s="62">
        <f t="shared" si="0"/>
        <v>420000</v>
      </c>
      <c r="G114" s="2"/>
      <c r="H114" s="2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</row>
    <row r="116" spans="1:19" x14ac:dyDescent="0.25">
      <c r="B116" s="44" t="s">
        <v>95</v>
      </c>
    </row>
    <row r="117" spans="1:19" x14ac:dyDescent="0.25">
      <c r="B117" s="44" t="s">
        <v>96</v>
      </c>
    </row>
    <row r="118" spans="1:19" x14ac:dyDescent="0.25">
      <c r="B118" s="44" t="s">
        <v>97</v>
      </c>
    </row>
    <row r="120" spans="1:19" x14ac:dyDescent="0.25">
      <c r="B120" s="44" t="s">
        <v>98</v>
      </c>
    </row>
    <row r="121" spans="1:19" x14ac:dyDescent="0.25">
      <c r="B121" s="44" t="s">
        <v>99</v>
      </c>
    </row>
    <row r="125" spans="1:19" x14ac:dyDescent="0.25">
      <c r="A125" s="45" t="s">
        <v>77</v>
      </c>
    </row>
    <row r="127" spans="1:19" x14ac:dyDescent="0.25">
      <c r="A127" s="6"/>
      <c r="B127" s="4"/>
      <c r="C127" s="64"/>
      <c r="D127" s="144" t="s">
        <v>20</v>
      </c>
      <c r="E127" s="145"/>
      <c r="F127" s="144" t="s">
        <v>21</v>
      </c>
      <c r="G127" s="145"/>
      <c r="H127" s="146" t="s">
        <v>22</v>
      </c>
      <c r="I127" s="146"/>
      <c r="J127" s="144" t="s">
        <v>23</v>
      </c>
      <c r="K127" s="145"/>
    </row>
    <row r="128" spans="1:19" x14ac:dyDescent="0.25">
      <c r="A128" s="55"/>
      <c r="B128" s="53"/>
      <c r="C128" s="65"/>
      <c r="D128" s="54" t="s">
        <v>32</v>
      </c>
      <c r="E128" s="54" t="s">
        <v>33</v>
      </c>
      <c r="F128" s="54" t="s">
        <v>32</v>
      </c>
      <c r="G128" s="54" t="s">
        <v>33</v>
      </c>
      <c r="H128" s="54" t="s">
        <v>32</v>
      </c>
      <c r="I128" s="54" t="s">
        <v>33</v>
      </c>
      <c r="J128" s="54" t="s">
        <v>32</v>
      </c>
      <c r="K128" s="54" t="s">
        <v>33</v>
      </c>
    </row>
    <row r="129" spans="1:11" x14ac:dyDescent="0.25">
      <c r="A129" s="28">
        <v>2980</v>
      </c>
      <c r="B129" s="82" t="s">
        <v>100</v>
      </c>
      <c r="C129" s="70"/>
      <c r="D129" s="26"/>
      <c r="E129" s="30">
        <v>180000</v>
      </c>
      <c r="F129" s="26"/>
      <c r="G129" s="30">
        <v>12000</v>
      </c>
      <c r="H129" s="26"/>
      <c r="I129" s="30"/>
      <c r="J129" s="26"/>
      <c r="K129" s="30">
        <f>E129+G129</f>
        <v>192000</v>
      </c>
    </row>
    <row r="130" spans="1:11" x14ac:dyDescent="0.25">
      <c r="A130" s="83">
        <v>3000</v>
      </c>
      <c r="B130" s="84" t="s">
        <v>24</v>
      </c>
      <c r="C130" s="46"/>
      <c r="D130" s="73"/>
      <c r="E130" s="74">
        <v>9600000</v>
      </c>
      <c r="F130" s="73"/>
      <c r="G130" s="74"/>
      <c r="H130" s="73"/>
      <c r="I130" s="74">
        <v>9600000</v>
      </c>
      <c r="J130" s="73"/>
      <c r="K130" s="74"/>
    </row>
    <row r="131" spans="1:11" x14ac:dyDescent="0.25">
      <c r="A131" s="29">
        <v>7550</v>
      </c>
      <c r="B131" s="85" t="s">
        <v>101</v>
      </c>
      <c r="C131" s="77"/>
      <c r="D131" s="27">
        <v>145000</v>
      </c>
      <c r="E131" s="31"/>
      <c r="F131" s="27">
        <v>12000</v>
      </c>
      <c r="G131" s="31"/>
      <c r="H131" s="27">
        <f>D131+F131</f>
        <v>157000</v>
      </c>
      <c r="I131" s="31"/>
      <c r="J131" s="27"/>
      <c r="K131" s="31"/>
    </row>
    <row r="133" spans="1:11" x14ac:dyDescent="0.25">
      <c r="B133" s="44" t="s">
        <v>102</v>
      </c>
    </row>
    <row r="134" spans="1:11" x14ac:dyDescent="0.25">
      <c r="B134" s="44" t="s">
        <v>103</v>
      </c>
    </row>
  </sheetData>
  <mergeCells count="16">
    <mergeCell ref="D49:E49"/>
    <mergeCell ref="F49:G49"/>
    <mergeCell ref="H49:I49"/>
    <mergeCell ref="J49:K49"/>
    <mergeCell ref="D127:E127"/>
    <mergeCell ref="F127:G127"/>
    <mergeCell ref="H127:I127"/>
    <mergeCell ref="J127:K127"/>
    <mergeCell ref="D22:E22"/>
    <mergeCell ref="F22:G22"/>
    <mergeCell ref="H22:I22"/>
    <mergeCell ref="J22:K22"/>
    <mergeCell ref="D36:E36"/>
    <mergeCell ref="F36:G36"/>
    <mergeCell ref="H36:I36"/>
    <mergeCell ref="J36:K3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90E9-BA11-438A-B45D-4F66960D3CB8}">
  <dimension ref="A1:J57"/>
  <sheetViews>
    <sheetView showGridLines="0" topLeftCell="A36" workbookViewId="0">
      <selection activeCell="R21" sqref="R21"/>
    </sheetView>
  </sheetViews>
  <sheetFormatPr baseColWidth="10" defaultRowHeight="15.75" x14ac:dyDescent="0.25"/>
  <cols>
    <col min="1" max="1" width="4.28515625" style="44" customWidth="1"/>
    <col min="2" max="2" width="4.85546875" style="44" customWidth="1"/>
    <col min="3" max="4" width="9.7109375" style="44" customWidth="1"/>
    <col min="5" max="10" width="9.42578125" style="44" customWidth="1"/>
    <col min="11" max="13" width="9.7109375" style="44" customWidth="1"/>
    <col min="14" max="16384" width="11.42578125" style="44"/>
  </cols>
  <sheetData>
    <row r="1" spans="1:10" x14ac:dyDescent="0.25">
      <c r="A1" s="45" t="s">
        <v>104</v>
      </c>
      <c r="B1" s="45"/>
    </row>
    <row r="3" spans="1:10" x14ac:dyDescent="0.25">
      <c r="A3" s="44" t="s">
        <v>7</v>
      </c>
      <c r="B3" s="45" t="s">
        <v>235</v>
      </c>
    </row>
    <row r="4" spans="1:10" x14ac:dyDescent="0.25">
      <c r="B4" s="6"/>
      <c r="C4" s="4"/>
      <c r="D4" s="67"/>
      <c r="E4" s="144">
        <v>1440</v>
      </c>
      <c r="F4" s="145"/>
      <c r="G4" s="144">
        <v>2120</v>
      </c>
      <c r="H4" s="145"/>
      <c r="I4" s="144">
        <v>2050</v>
      </c>
      <c r="J4" s="145"/>
    </row>
    <row r="5" spans="1:10" x14ac:dyDescent="0.25">
      <c r="B5" s="7"/>
      <c r="C5" s="5"/>
      <c r="D5" s="33"/>
      <c r="E5" s="142" t="s">
        <v>25</v>
      </c>
      <c r="F5" s="143"/>
      <c r="G5" s="142" t="s">
        <v>113</v>
      </c>
      <c r="H5" s="143"/>
      <c r="I5" s="142" t="s">
        <v>114</v>
      </c>
      <c r="J5" s="143"/>
    </row>
    <row r="6" spans="1:10" x14ac:dyDescent="0.25">
      <c r="B6" s="17" t="s">
        <v>115</v>
      </c>
      <c r="C6" s="8" t="s">
        <v>116</v>
      </c>
      <c r="D6" s="9"/>
      <c r="E6" s="40">
        <v>100000</v>
      </c>
      <c r="F6" s="106"/>
      <c r="G6" s="40"/>
      <c r="H6" s="106"/>
      <c r="I6" s="40"/>
      <c r="J6" s="106"/>
    </row>
    <row r="7" spans="1:10" x14ac:dyDescent="0.25">
      <c r="B7" s="36"/>
      <c r="C7" s="66" t="s">
        <v>117</v>
      </c>
      <c r="D7" s="104"/>
      <c r="E7" s="43">
        <v>40000</v>
      </c>
      <c r="F7" s="107"/>
      <c r="G7" s="43"/>
      <c r="H7" s="107">
        <v>8800</v>
      </c>
      <c r="I7" s="43"/>
      <c r="J7" s="107">
        <f>E7*0.78</f>
        <v>31200</v>
      </c>
    </row>
    <row r="8" spans="1:10" x14ac:dyDescent="0.25">
      <c r="B8" s="36"/>
      <c r="C8" s="66"/>
      <c r="D8" s="104"/>
      <c r="E8" s="43"/>
      <c r="F8" s="107"/>
      <c r="G8" s="43"/>
      <c r="H8" s="107"/>
      <c r="I8" s="43"/>
      <c r="J8" s="107"/>
    </row>
    <row r="9" spans="1:10" x14ac:dyDescent="0.25">
      <c r="B9" s="12"/>
      <c r="C9" s="13"/>
      <c r="D9" s="14"/>
      <c r="E9" s="42"/>
      <c r="F9" s="108"/>
      <c r="G9" s="42"/>
      <c r="H9" s="108"/>
      <c r="I9" s="42"/>
      <c r="J9" s="108"/>
    </row>
    <row r="11" spans="1:10" x14ac:dyDescent="0.25">
      <c r="B11" s="44" t="s">
        <v>118</v>
      </c>
    </row>
    <row r="12" spans="1:10" x14ac:dyDescent="0.25">
      <c r="B12" s="44" t="s">
        <v>119</v>
      </c>
    </row>
    <row r="14" spans="1:10" x14ac:dyDescent="0.25">
      <c r="A14" s="44" t="s">
        <v>8</v>
      </c>
      <c r="B14" s="45" t="s">
        <v>120</v>
      </c>
      <c r="F14" s="50" t="s">
        <v>5</v>
      </c>
      <c r="G14" s="50" t="s">
        <v>4</v>
      </c>
    </row>
    <row r="16" spans="1:10" x14ac:dyDescent="0.25">
      <c r="B16" s="44" t="s">
        <v>121</v>
      </c>
      <c r="F16" s="2">
        <v>195000</v>
      </c>
      <c r="G16" s="2">
        <v>140000</v>
      </c>
    </row>
    <row r="19" spans="1:8" x14ac:dyDescent="0.25">
      <c r="B19" s="45" t="s">
        <v>17</v>
      </c>
      <c r="F19" s="50" t="s">
        <v>5</v>
      </c>
    </row>
    <row r="21" spans="1:8" x14ac:dyDescent="0.25">
      <c r="B21" s="44" t="s">
        <v>122</v>
      </c>
      <c r="F21" s="2">
        <v>55000</v>
      </c>
    </row>
    <row r="24" spans="1:8" x14ac:dyDescent="0.25">
      <c r="B24" s="44" t="s">
        <v>123</v>
      </c>
    </row>
    <row r="25" spans="1:8" x14ac:dyDescent="0.25">
      <c r="B25" s="44" t="s">
        <v>124</v>
      </c>
    </row>
    <row r="26" spans="1:8" x14ac:dyDescent="0.25">
      <c r="B26" s="44" t="s">
        <v>125</v>
      </c>
    </row>
    <row r="28" spans="1:8" x14ac:dyDescent="0.25">
      <c r="A28" s="44" t="s">
        <v>9</v>
      </c>
      <c r="B28" s="45" t="s">
        <v>126</v>
      </c>
    </row>
    <row r="29" spans="1:8" x14ac:dyDescent="0.25">
      <c r="B29" s="6"/>
      <c r="C29" s="4"/>
      <c r="D29" s="67"/>
      <c r="E29" s="144">
        <v>1440</v>
      </c>
      <c r="F29" s="145"/>
      <c r="G29" s="144" t="s">
        <v>237</v>
      </c>
      <c r="H29" s="145"/>
    </row>
    <row r="30" spans="1:8" x14ac:dyDescent="0.25">
      <c r="B30" s="7"/>
      <c r="C30" s="5"/>
      <c r="D30" s="33"/>
      <c r="E30" s="142" t="s">
        <v>25</v>
      </c>
      <c r="F30" s="143"/>
      <c r="G30" s="142" t="s">
        <v>238</v>
      </c>
      <c r="H30" s="143"/>
    </row>
    <row r="31" spans="1:8" x14ac:dyDescent="0.25">
      <c r="B31" s="17" t="s">
        <v>115</v>
      </c>
      <c r="C31" s="8" t="s">
        <v>116</v>
      </c>
      <c r="D31" s="9"/>
      <c r="E31" s="40">
        <v>100000</v>
      </c>
      <c r="F31" s="106"/>
      <c r="G31" s="40"/>
      <c r="H31" s="106"/>
    </row>
    <row r="32" spans="1:8" x14ac:dyDescent="0.25">
      <c r="B32" s="36"/>
      <c r="C32" s="66" t="s">
        <v>117</v>
      </c>
      <c r="D32" s="104"/>
      <c r="E32" s="43">
        <v>40000</v>
      </c>
      <c r="F32" s="107"/>
      <c r="G32" s="43"/>
      <c r="H32" s="107">
        <v>40000</v>
      </c>
    </row>
    <row r="33" spans="2:8" x14ac:dyDescent="0.25">
      <c r="B33" s="36"/>
      <c r="C33" s="66"/>
      <c r="D33" s="104"/>
      <c r="E33" s="43"/>
      <c r="F33" s="107"/>
      <c r="G33" s="43"/>
      <c r="H33" s="107"/>
    </row>
    <row r="34" spans="2:8" x14ac:dyDescent="0.25">
      <c r="B34" s="12"/>
      <c r="C34" s="13"/>
      <c r="D34" s="14"/>
      <c r="E34" s="42"/>
      <c r="F34" s="108"/>
      <c r="G34" s="42"/>
      <c r="H34" s="108"/>
    </row>
    <row r="36" spans="2:8" x14ac:dyDescent="0.25">
      <c r="B36" s="44" t="s">
        <v>127</v>
      </c>
    </row>
    <row r="37" spans="2:8" x14ac:dyDescent="0.25">
      <c r="B37" s="44" t="s">
        <v>128</v>
      </c>
    </row>
    <row r="38" spans="2:8" x14ac:dyDescent="0.25">
      <c r="B38" s="44" t="s">
        <v>129</v>
      </c>
    </row>
    <row r="40" spans="2:8" x14ac:dyDescent="0.25">
      <c r="B40" s="45" t="s">
        <v>120</v>
      </c>
      <c r="F40" s="50" t="s">
        <v>11</v>
      </c>
      <c r="G40" s="50" t="s">
        <v>10</v>
      </c>
    </row>
    <row r="42" spans="2:8" x14ac:dyDescent="0.25">
      <c r="B42" s="44" t="s">
        <v>121</v>
      </c>
      <c r="F42" s="2">
        <v>195000</v>
      </c>
      <c r="G42" s="2">
        <v>140000</v>
      </c>
    </row>
    <row r="45" spans="2:8" x14ac:dyDescent="0.25">
      <c r="B45" s="45" t="s">
        <v>17</v>
      </c>
      <c r="F45" s="50" t="s">
        <v>11</v>
      </c>
    </row>
    <row r="47" spans="2:8" x14ac:dyDescent="0.25">
      <c r="B47" s="44" t="s">
        <v>122</v>
      </c>
      <c r="F47" s="2">
        <v>55000</v>
      </c>
    </row>
    <row r="48" spans="2:8" x14ac:dyDescent="0.25">
      <c r="B48" s="44" t="s">
        <v>239</v>
      </c>
      <c r="F48" s="2">
        <v>40000</v>
      </c>
    </row>
    <row r="50" spans="2:2" x14ac:dyDescent="0.25">
      <c r="B50" s="44" t="s">
        <v>240</v>
      </c>
    </row>
    <row r="51" spans="2:2" x14ac:dyDescent="0.25">
      <c r="B51" s="44" t="s">
        <v>241</v>
      </c>
    </row>
    <row r="52" spans="2:2" x14ac:dyDescent="0.25">
      <c r="B52" s="44" t="s">
        <v>242</v>
      </c>
    </row>
    <row r="53" spans="2:2" x14ac:dyDescent="0.25">
      <c r="B53" s="44" t="s">
        <v>244</v>
      </c>
    </row>
    <row r="54" spans="2:2" x14ac:dyDescent="0.25">
      <c r="B54" s="44" t="s">
        <v>243</v>
      </c>
    </row>
    <row r="56" spans="2:2" x14ac:dyDescent="0.25">
      <c r="B56" s="44" t="s">
        <v>130</v>
      </c>
    </row>
    <row r="57" spans="2:2" x14ac:dyDescent="0.25">
      <c r="B57" s="44" t="s">
        <v>131</v>
      </c>
    </row>
  </sheetData>
  <mergeCells count="10">
    <mergeCell ref="E30:F30"/>
    <mergeCell ref="G30:H30"/>
    <mergeCell ref="E4:F4"/>
    <mergeCell ref="G4:H4"/>
    <mergeCell ref="I4:J4"/>
    <mergeCell ref="E5:F5"/>
    <mergeCell ref="G5:H5"/>
    <mergeCell ref="I5:J5"/>
    <mergeCell ref="E29:F29"/>
    <mergeCell ref="G29:H2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E791-D7CF-492A-B3A3-C3FF4B730024}">
  <dimension ref="A1:T70"/>
  <sheetViews>
    <sheetView showGridLines="0" showZeros="0" topLeftCell="A31" workbookViewId="0">
      <selection activeCell="D50" sqref="D50"/>
    </sheetView>
  </sheetViews>
  <sheetFormatPr baseColWidth="10" defaultRowHeight="12.75" x14ac:dyDescent="0.2"/>
  <cols>
    <col min="1" max="1" width="4.85546875" style="120" customWidth="1"/>
    <col min="2" max="2" width="33.5703125" style="120" bestFit="1" customWidth="1"/>
    <col min="3" max="10" width="11" style="121" customWidth="1"/>
    <col min="11" max="11" width="4.85546875" style="119" customWidth="1"/>
    <col min="12" max="12" width="3.5703125" style="119" customWidth="1"/>
    <col min="13" max="13" width="37.28515625" style="120" bestFit="1" customWidth="1"/>
    <col min="14" max="14" width="11.42578125" style="121"/>
    <col min="15" max="15" width="3.28515625" style="121" customWidth="1"/>
    <col min="16" max="20" width="11.42578125" style="121"/>
    <col min="21" max="16384" width="11.42578125" style="120"/>
  </cols>
  <sheetData>
    <row r="1" spans="1:20" s="113" customFormat="1" ht="15.75" x14ac:dyDescent="0.25">
      <c r="A1" s="109" t="s">
        <v>18</v>
      </c>
      <c r="B1" s="110" t="s">
        <v>19</v>
      </c>
      <c r="C1" s="149" t="s">
        <v>20</v>
      </c>
      <c r="D1" s="150"/>
      <c r="E1" s="149" t="s">
        <v>21</v>
      </c>
      <c r="F1" s="150"/>
      <c r="G1" s="149" t="s">
        <v>22</v>
      </c>
      <c r="H1" s="150"/>
      <c r="I1" s="149" t="s">
        <v>23</v>
      </c>
      <c r="J1" s="150"/>
      <c r="K1" s="111" t="s">
        <v>132</v>
      </c>
      <c r="L1" s="112"/>
      <c r="N1" s="114"/>
      <c r="O1" s="114"/>
      <c r="P1" s="115" t="s">
        <v>133</v>
      </c>
      <c r="Q1" s="114"/>
      <c r="R1" s="114"/>
      <c r="S1" s="114"/>
      <c r="T1" s="114"/>
    </row>
    <row r="2" spans="1:20" x14ac:dyDescent="0.2">
      <c r="A2" s="116">
        <v>1110</v>
      </c>
      <c r="B2" s="116" t="s">
        <v>134</v>
      </c>
      <c r="C2" s="117">
        <v>4800000</v>
      </c>
      <c r="D2" s="118"/>
      <c r="E2" s="117"/>
      <c r="F2" s="118">
        <f>N4</f>
        <v>240000</v>
      </c>
      <c r="G2" s="117"/>
      <c r="H2" s="118"/>
      <c r="I2" s="117">
        <f>C2-F2</f>
        <v>4560000</v>
      </c>
      <c r="J2" s="118"/>
    </row>
    <row r="3" spans="1:20" x14ac:dyDescent="0.2">
      <c r="A3" s="122"/>
      <c r="B3" s="122" t="s">
        <v>135</v>
      </c>
      <c r="C3" s="123">
        <v>3175000</v>
      </c>
      <c r="D3" s="124"/>
      <c r="E3" s="123"/>
      <c r="F3" s="124">
        <f>N19+N14</f>
        <v>561500</v>
      </c>
      <c r="G3" s="123"/>
      <c r="H3" s="124"/>
      <c r="I3" s="123">
        <f>C3+E3-F3</f>
        <v>2613500</v>
      </c>
      <c r="J3" s="124"/>
      <c r="K3" s="119">
        <v>1</v>
      </c>
      <c r="L3" s="125" t="s">
        <v>136</v>
      </c>
    </row>
    <row r="4" spans="1:20" x14ac:dyDescent="0.2">
      <c r="A4" s="122">
        <v>1239</v>
      </c>
      <c r="B4" s="122" t="s">
        <v>3</v>
      </c>
      <c r="C4" s="123"/>
      <c r="D4" s="124">
        <v>52000</v>
      </c>
      <c r="E4" s="123">
        <f>D4</f>
        <v>52000</v>
      </c>
      <c r="F4" s="124"/>
      <c r="G4" s="123"/>
      <c r="H4" s="124"/>
      <c r="I4" s="123"/>
      <c r="J4" s="124"/>
      <c r="L4" s="119" t="s">
        <v>137</v>
      </c>
      <c r="M4" s="120" t="s">
        <v>138</v>
      </c>
      <c r="N4" s="121">
        <f>6000000*0.04</f>
        <v>240000</v>
      </c>
    </row>
    <row r="5" spans="1:20" x14ac:dyDescent="0.2">
      <c r="A5" s="122">
        <v>1350</v>
      </c>
      <c r="B5" s="122" t="s">
        <v>139</v>
      </c>
      <c r="C5" s="123">
        <v>200000</v>
      </c>
      <c r="D5" s="124"/>
      <c r="E5" s="123"/>
      <c r="F5" s="124"/>
      <c r="G5" s="123"/>
      <c r="H5" s="124"/>
      <c r="I5" s="123">
        <f t="shared" ref="I5:I12" si="0">C5+E5-F5</f>
        <v>200000</v>
      </c>
      <c r="J5" s="124"/>
    </row>
    <row r="6" spans="1:20" x14ac:dyDescent="0.2">
      <c r="A6" s="122">
        <v>1400</v>
      </c>
      <c r="B6" s="122" t="s">
        <v>140</v>
      </c>
      <c r="C6" s="123">
        <v>1050000</v>
      </c>
      <c r="D6" s="124"/>
      <c r="E6" s="123"/>
      <c r="F6" s="124">
        <v>190000</v>
      </c>
      <c r="G6" s="123"/>
      <c r="H6" s="124"/>
      <c r="I6" s="123">
        <f t="shared" si="0"/>
        <v>860000</v>
      </c>
      <c r="J6" s="124"/>
      <c r="L6" s="119" t="s">
        <v>141</v>
      </c>
      <c r="M6" s="120" t="s">
        <v>142</v>
      </c>
      <c r="N6" s="121">
        <f>(3600000-400000)*0.125</f>
        <v>400000</v>
      </c>
    </row>
    <row r="7" spans="1:20" x14ac:dyDescent="0.2">
      <c r="A7" s="122">
        <v>1440</v>
      </c>
      <c r="B7" s="122" t="s">
        <v>121</v>
      </c>
      <c r="C7" s="123">
        <v>1100000</v>
      </c>
      <c r="D7" s="124"/>
      <c r="E7" s="123">
        <v>150000</v>
      </c>
      <c r="F7" s="124"/>
      <c r="G7" s="123"/>
      <c r="H7" s="124"/>
      <c r="I7" s="123">
        <f t="shared" si="0"/>
        <v>1250000</v>
      </c>
      <c r="J7" s="124"/>
    </row>
    <row r="8" spans="1:20" x14ac:dyDescent="0.2">
      <c r="A8" s="122">
        <v>1500</v>
      </c>
      <c r="B8" s="122" t="s">
        <v>2</v>
      </c>
      <c r="C8" s="123">
        <v>5060050</v>
      </c>
      <c r="D8" s="124"/>
      <c r="E8" s="123">
        <v>3000</v>
      </c>
      <c r="F8" s="124"/>
      <c r="G8" s="123"/>
      <c r="H8" s="124"/>
      <c r="I8" s="123">
        <f t="shared" si="0"/>
        <v>5063050</v>
      </c>
      <c r="J8" s="124"/>
      <c r="L8" s="119" t="s">
        <v>143</v>
      </c>
      <c r="M8" s="120" t="s">
        <v>144</v>
      </c>
      <c r="N8" s="121">
        <f>200000*0.15*4/12</f>
        <v>10000</v>
      </c>
    </row>
    <row r="9" spans="1:20" x14ac:dyDescent="0.2">
      <c r="A9" s="122">
        <v>1580</v>
      </c>
      <c r="B9" s="122" t="s">
        <v>26</v>
      </c>
      <c r="C9" s="123"/>
      <c r="D9" s="124">
        <v>80000</v>
      </c>
      <c r="E9" s="123"/>
      <c r="F9" s="124">
        <v>20000</v>
      </c>
      <c r="G9" s="123"/>
      <c r="H9" s="124"/>
      <c r="I9" s="123"/>
      <c r="J9" s="124">
        <f>D9+F9</f>
        <v>100000</v>
      </c>
      <c r="M9" s="120" t="s">
        <v>145</v>
      </c>
      <c r="N9" s="121">
        <f>275000*0.15*8/12</f>
        <v>27500</v>
      </c>
    </row>
    <row r="10" spans="1:20" x14ac:dyDescent="0.2">
      <c r="A10" s="122">
        <v>1810</v>
      </c>
      <c r="B10" s="122" t="s">
        <v>146</v>
      </c>
      <c r="C10" s="123">
        <v>407000</v>
      </c>
      <c r="D10" s="124"/>
      <c r="E10" s="123">
        <v>33000</v>
      </c>
      <c r="F10" s="124"/>
      <c r="G10" s="123"/>
      <c r="H10" s="124"/>
      <c r="I10" s="123">
        <f t="shared" si="0"/>
        <v>440000</v>
      </c>
      <c r="J10" s="124"/>
      <c r="M10" s="120" t="s">
        <v>147</v>
      </c>
      <c r="N10" s="121">
        <f>(600000-200000)*0.15</f>
        <v>60000</v>
      </c>
    </row>
    <row r="11" spans="1:20" x14ac:dyDescent="0.2">
      <c r="A11" s="122">
        <v>1920</v>
      </c>
      <c r="B11" s="122" t="s">
        <v>148</v>
      </c>
      <c r="C11" s="123">
        <v>5420430</v>
      </c>
      <c r="D11" s="124"/>
      <c r="E11" s="123"/>
      <c r="F11" s="124"/>
      <c r="G11" s="123"/>
      <c r="H11" s="124"/>
      <c r="I11" s="123">
        <f t="shared" si="0"/>
        <v>5420430</v>
      </c>
      <c r="J11" s="124"/>
      <c r="M11" s="120" t="s">
        <v>14</v>
      </c>
      <c r="N11" s="126">
        <f>SUM(N8:N10)</f>
        <v>97500</v>
      </c>
    </row>
    <row r="12" spans="1:20" x14ac:dyDescent="0.2">
      <c r="A12" s="122">
        <v>1950</v>
      </c>
      <c r="B12" s="122" t="s">
        <v>149</v>
      </c>
      <c r="C12" s="123">
        <v>912500</v>
      </c>
      <c r="D12" s="124"/>
      <c r="E12" s="123"/>
      <c r="F12" s="124"/>
      <c r="G12" s="123"/>
      <c r="H12" s="124"/>
      <c r="I12" s="123">
        <f t="shared" si="0"/>
        <v>912500</v>
      </c>
      <c r="J12" s="124"/>
    </row>
    <row r="13" spans="1:20" x14ac:dyDescent="0.2">
      <c r="A13" s="122">
        <v>2000</v>
      </c>
      <c r="B13" s="122" t="s">
        <v>150</v>
      </c>
      <c r="C13" s="123"/>
      <c r="D13" s="124">
        <v>5000000</v>
      </c>
      <c r="E13" s="123"/>
      <c r="F13" s="124"/>
      <c r="G13" s="123"/>
      <c r="H13" s="124"/>
      <c r="I13" s="123"/>
      <c r="J13" s="124">
        <f>D13-E13+F13</f>
        <v>5000000</v>
      </c>
      <c r="M13" s="120" t="s">
        <v>151</v>
      </c>
      <c r="N13" s="121">
        <v>52000</v>
      </c>
      <c r="P13" s="121" t="s">
        <v>152</v>
      </c>
    </row>
    <row r="14" spans="1:20" x14ac:dyDescent="0.2">
      <c r="A14" s="122">
        <v>2050</v>
      </c>
      <c r="B14" s="122" t="s">
        <v>114</v>
      </c>
      <c r="C14" s="123"/>
      <c r="D14" s="124">
        <v>1753000</v>
      </c>
      <c r="E14" s="123"/>
      <c r="F14" s="124">
        <f>E42</f>
        <v>323210</v>
      </c>
      <c r="G14" s="123"/>
      <c r="H14" s="124"/>
      <c r="I14" s="123"/>
      <c r="J14" s="124">
        <f t="shared" ref="J14:J24" si="1">D14-E14+F14</f>
        <v>2076210</v>
      </c>
      <c r="L14" s="127" t="s">
        <v>1</v>
      </c>
      <c r="M14" s="120" t="s">
        <v>153</v>
      </c>
      <c r="N14" s="121">
        <v>40000</v>
      </c>
      <c r="P14" s="121" t="s">
        <v>236</v>
      </c>
    </row>
    <row r="15" spans="1:20" x14ac:dyDescent="0.2">
      <c r="A15" s="122">
        <v>2120</v>
      </c>
      <c r="B15" s="122" t="s">
        <v>113</v>
      </c>
      <c r="C15" s="123"/>
      <c r="D15" s="124">
        <v>165000</v>
      </c>
      <c r="E15" s="123">
        <v>17000</v>
      </c>
      <c r="F15" s="124"/>
      <c r="G15" s="123"/>
      <c r="H15" s="124"/>
      <c r="I15" s="123"/>
      <c r="J15" s="124">
        <f t="shared" si="1"/>
        <v>148000</v>
      </c>
      <c r="L15" s="128" t="s">
        <v>0</v>
      </c>
      <c r="M15" s="120" t="s">
        <v>30</v>
      </c>
      <c r="N15" s="126">
        <f>N13-N14</f>
        <v>12000</v>
      </c>
      <c r="P15" s="121" t="s">
        <v>154</v>
      </c>
    </row>
    <row r="16" spans="1:20" x14ac:dyDescent="0.2">
      <c r="A16" s="122">
        <v>2240</v>
      </c>
      <c r="B16" s="122" t="s">
        <v>155</v>
      </c>
      <c r="C16" s="123"/>
      <c r="D16" s="124">
        <v>3510000</v>
      </c>
      <c r="E16" s="123"/>
      <c r="F16" s="124"/>
      <c r="G16" s="123"/>
      <c r="H16" s="124"/>
      <c r="I16" s="123"/>
      <c r="J16" s="124">
        <f t="shared" si="1"/>
        <v>3510000</v>
      </c>
      <c r="P16" s="129" t="s">
        <v>156</v>
      </c>
    </row>
    <row r="17" spans="1:16" x14ac:dyDescent="0.2">
      <c r="A17" s="122">
        <v>2400</v>
      </c>
      <c r="B17" s="122" t="s">
        <v>42</v>
      </c>
      <c r="C17" s="123"/>
      <c r="D17" s="124">
        <v>2689700</v>
      </c>
      <c r="E17" s="123"/>
      <c r="F17" s="124">
        <v>7000</v>
      </c>
      <c r="G17" s="123"/>
      <c r="H17" s="124"/>
      <c r="I17" s="123"/>
      <c r="J17" s="124">
        <f t="shared" si="1"/>
        <v>2696700</v>
      </c>
      <c r="L17" s="119" t="s">
        <v>157</v>
      </c>
      <c r="M17" s="120" t="s">
        <v>158</v>
      </c>
      <c r="N17" s="121">
        <f>240000*0.1</f>
        <v>24000</v>
      </c>
    </row>
    <row r="18" spans="1:16" x14ac:dyDescent="0.2">
      <c r="A18" s="122">
        <v>2500</v>
      </c>
      <c r="B18" s="122" t="s">
        <v>159</v>
      </c>
      <c r="C18" s="123"/>
      <c r="D18" s="124">
        <v>150</v>
      </c>
      <c r="E18" s="123"/>
      <c r="F18" s="124">
        <v>101850</v>
      </c>
      <c r="G18" s="123"/>
      <c r="H18" s="124"/>
      <c r="I18" s="123"/>
      <c r="J18" s="124">
        <f t="shared" si="1"/>
        <v>102000</v>
      </c>
    </row>
    <row r="19" spans="1:16" x14ac:dyDescent="0.2">
      <c r="A19" s="122">
        <v>2600</v>
      </c>
      <c r="B19" s="122" t="s">
        <v>160</v>
      </c>
      <c r="C19" s="123"/>
      <c r="D19" s="124">
        <v>912500</v>
      </c>
      <c r="E19" s="123"/>
      <c r="F19" s="124"/>
      <c r="G19" s="123"/>
      <c r="H19" s="124"/>
      <c r="I19" s="123"/>
      <c r="J19" s="124">
        <f t="shared" si="1"/>
        <v>912500</v>
      </c>
      <c r="M19" s="120" t="s">
        <v>161</v>
      </c>
      <c r="N19" s="121">
        <f>N6+N11+N17</f>
        <v>521500</v>
      </c>
      <c r="P19" s="121" t="s">
        <v>162</v>
      </c>
    </row>
    <row r="20" spans="1:16" x14ac:dyDescent="0.2">
      <c r="A20" s="122">
        <v>2740</v>
      </c>
      <c r="B20" s="122" t="s">
        <v>163</v>
      </c>
      <c r="C20" s="123"/>
      <c r="D20" s="124">
        <v>1256400</v>
      </c>
      <c r="E20" s="123"/>
      <c r="F20" s="124"/>
      <c r="G20" s="123"/>
      <c r="H20" s="124"/>
      <c r="I20" s="123"/>
      <c r="J20" s="124">
        <f t="shared" si="1"/>
        <v>1256400</v>
      </c>
      <c r="P20" s="121" t="s">
        <v>164</v>
      </c>
    </row>
    <row r="21" spans="1:16" x14ac:dyDescent="0.2">
      <c r="A21" s="122">
        <v>2770</v>
      </c>
      <c r="B21" s="122" t="s">
        <v>165</v>
      </c>
      <c r="C21" s="123"/>
      <c r="D21" s="124">
        <v>679815</v>
      </c>
      <c r="E21" s="123"/>
      <c r="F21" s="124"/>
      <c r="G21" s="123"/>
      <c r="H21" s="124"/>
      <c r="I21" s="123"/>
      <c r="J21" s="124">
        <f t="shared" si="1"/>
        <v>679815</v>
      </c>
      <c r="M21" s="120" t="s">
        <v>166</v>
      </c>
    </row>
    <row r="22" spans="1:16" x14ac:dyDescent="0.2">
      <c r="A22" s="122">
        <v>2780</v>
      </c>
      <c r="B22" s="122" t="s">
        <v>167</v>
      </c>
      <c r="C22" s="123"/>
      <c r="D22" s="124">
        <v>412355</v>
      </c>
      <c r="E22" s="123"/>
      <c r="F22" s="124"/>
      <c r="G22" s="123"/>
      <c r="H22" s="124"/>
      <c r="I22" s="123"/>
      <c r="J22" s="124">
        <f t="shared" si="1"/>
        <v>412355</v>
      </c>
      <c r="M22" s="120" t="s">
        <v>168</v>
      </c>
      <c r="N22" s="121">
        <v>761500</v>
      </c>
    </row>
    <row r="23" spans="1:16" x14ac:dyDescent="0.2">
      <c r="A23" s="122">
        <v>2940</v>
      </c>
      <c r="B23" s="122" t="s">
        <v>169</v>
      </c>
      <c r="C23" s="123"/>
      <c r="D23" s="124">
        <v>2924500</v>
      </c>
      <c r="E23" s="123"/>
      <c r="F23" s="124"/>
      <c r="G23" s="123"/>
      <c r="H23" s="124"/>
      <c r="I23" s="123"/>
      <c r="J23" s="124">
        <f t="shared" si="1"/>
        <v>2924500</v>
      </c>
    </row>
    <row r="24" spans="1:16" x14ac:dyDescent="0.2">
      <c r="A24" s="122">
        <v>2971</v>
      </c>
      <c r="B24" s="122" t="s">
        <v>100</v>
      </c>
      <c r="C24" s="123"/>
      <c r="D24" s="124">
        <v>1460000</v>
      </c>
      <c r="E24" s="123"/>
      <c r="F24" s="124">
        <v>41000</v>
      </c>
      <c r="G24" s="123"/>
      <c r="H24" s="124"/>
      <c r="I24" s="123"/>
      <c r="J24" s="124">
        <f t="shared" si="1"/>
        <v>1501000</v>
      </c>
      <c r="K24" s="119">
        <v>2</v>
      </c>
      <c r="L24" s="130" t="s">
        <v>170</v>
      </c>
    </row>
    <row r="25" spans="1:16" x14ac:dyDescent="0.2">
      <c r="A25" s="122">
        <v>3000</v>
      </c>
      <c r="B25" s="122" t="s">
        <v>171</v>
      </c>
      <c r="C25" s="123"/>
      <c r="D25" s="124">
        <v>75040850</v>
      </c>
      <c r="E25" s="123"/>
      <c r="F25" s="124"/>
      <c r="G25" s="123"/>
      <c r="H25" s="124">
        <f>D25</f>
        <v>75040850</v>
      </c>
      <c r="I25" s="123"/>
      <c r="J25" s="124"/>
      <c r="L25" s="130"/>
    </row>
    <row r="26" spans="1:16" x14ac:dyDescent="0.2">
      <c r="A26" s="122">
        <v>3800</v>
      </c>
      <c r="B26" s="122" t="s">
        <v>172</v>
      </c>
      <c r="C26" s="123"/>
      <c r="D26" s="124"/>
      <c r="E26" s="123">
        <f>N14</f>
        <v>40000</v>
      </c>
      <c r="F26" s="124">
        <f>E4</f>
        <v>52000</v>
      </c>
      <c r="G26" s="123"/>
      <c r="H26" s="124">
        <f>D26+F26-E26</f>
        <v>12000</v>
      </c>
      <c r="I26" s="123"/>
      <c r="J26" s="124"/>
      <c r="K26" s="119">
        <v>3</v>
      </c>
      <c r="L26" s="119" t="s">
        <v>137</v>
      </c>
      <c r="M26" s="120" t="s">
        <v>173</v>
      </c>
      <c r="N26" s="121">
        <v>860000</v>
      </c>
      <c r="P26" s="121" t="s">
        <v>174</v>
      </c>
    </row>
    <row r="27" spans="1:16" x14ac:dyDescent="0.2">
      <c r="A27" s="122">
        <v>4010</v>
      </c>
      <c r="B27" s="122" t="s">
        <v>175</v>
      </c>
      <c r="C27" s="123">
        <v>33539000</v>
      </c>
      <c r="D27" s="124"/>
      <c r="E27" s="123">
        <v>190000</v>
      </c>
      <c r="F27" s="124"/>
      <c r="G27" s="123">
        <f>C27+E27</f>
        <v>33729000</v>
      </c>
      <c r="H27" s="124"/>
      <c r="I27" s="123"/>
      <c r="J27" s="124"/>
      <c r="P27" s="121" t="s">
        <v>176</v>
      </c>
    </row>
    <row r="28" spans="1:16" x14ac:dyDescent="0.2">
      <c r="A28" s="122">
        <v>4290</v>
      </c>
      <c r="B28" s="122" t="s">
        <v>177</v>
      </c>
      <c r="C28" s="123"/>
      <c r="D28" s="124"/>
      <c r="E28" s="123"/>
      <c r="F28" s="124">
        <v>150000</v>
      </c>
      <c r="G28" s="123"/>
      <c r="H28" s="124">
        <f>F28</f>
        <v>150000</v>
      </c>
      <c r="I28" s="123"/>
      <c r="J28" s="124"/>
      <c r="P28" s="121" t="s">
        <v>178</v>
      </c>
    </row>
    <row r="29" spans="1:16" x14ac:dyDescent="0.2">
      <c r="A29" s="122"/>
      <c r="B29" s="122" t="s">
        <v>179</v>
      </c>
      <c r="C29" s="123">
        <v>33095200</v>
      </c>
      <c r="D29" s="124"/>
      <c r="E29" s="123"/>
      <c r="F29" s="124"/>
      <c r="G29" s="123">
        <f>C29+E29-F29</f>
        <v>33095200</v>
      </c>
      <c r="H29" s="124"/>
      <c r="I29" s="123"/>
      <c r="J29" s="124"/>
      <c r="P29" s="121" t="s">
        <v>180</v>
      </c>
    </row>
    <row r="30" spans="1:16" x14ac:dyDescent="0.2">
      <c r="A30" s="122">
        <v>6000</v>
      </c>
      <c r="B30" s="122" t="s">
        <v>105</v>
      </c>
      <c r="C30" s="123"/>
      <c r="D30" s="124"/>
      <c r="E30" s="123">
        <f>N19+N4</f>
        <v>761500</v>
      </c>
      <c r="F30" s="124"/>
      <c r="G30" s="123">
        <f>C30+E30-F30</f>
        <v>761500</v>
      </c>
      <c r="H30" s="124"/>
      <c r="I30" s="123"/>
      <c r="J30" s="124"/>
    </row>
    <row r="31" spans="1:16" x14ac:dyDescent="0.2">
      <c r="A31" s="122">
        <v>7550</v>
      </c>
      <c r="B31" s="122" t="s">
        <v>101</v>
      </c>
      <c r="C31" s="123">
        <v>2102540</v>
      </c>
      <c r="D31" s="124"/>
      <c r="E31" s="123">
        <v>41000</v>
      </c>
      <c r="F31" s="124"/>
      <c r="G31" s="123">
        <f t="shared" ref="G31:G33" si="2">C31+E31-F31</f>
        <v>2143540</v>
      </c>
      <c r="H31" s="124"/>
      <c r="I31" s="123"/>
      <c r="J31" s="124"/>
      <c r="K31" s="131"/>
      <c r="L31" s="119" t="s">
        <v>141</v>
      </c>
      <c r="M31" s="120" t="s">
        <v>181</v>
      </c>
      <c r="N31" s="121">
        <v>1250000</v>
      </c>
      <c r="P31" s="121" t="s">
        <v>182</v>
      </c>
    </row>
    <row r="32" spans="1:16" x14ac:dyDescent="0.2">
      <c r="A32" s="122">
        <v>7790</v>
      </c>
      <c r="B32" s="122" t="s">
        <v>183</v>
      </c>
      <c r="C32" s="123">
        <v>4850000</v>
      </c>
      <c r="D32" s="124"/>
      <c r="E32" s="123"/>
      <c r="F32" s="124"/>
      <c r="G32" s="123">
        <f t="shared" si="2"/>
        <v>4850000</v>
      </c>
      <c r="H32" s="124"/>
      <c r="I32" s="123"/>
      <c r="J32" s="124"/>
      <c r="P32" s="121" t="s">
        <v>184</v>
      </c>
    </row>
    <row r="33" spans="1:20" x14ac:dyDescent="0.2">
      <c r="A33" s="122">
        <v>7830</v>
      </c>
      <c r="B33" s="122" t="s">
        <v>27</v>
      </c>
      <c r="C33" s="123">
        <v>170000</v>
      </c>
      <c r="D33" s="124"/>
      <c r="E33" s="123">
        <v>20000</v>
      </c>
      <c r="F33" s="124"/>
      <c r="G33" s="123">
        <f t="shared" si="2"/>
        <v>190000</v>
      </c>
      <c r="H33" s="124"/>
      <c r="I33" s="123"/>
      <c r="J33" s="124"/>
    </row>
    <row r="34" spans="1:20" x14ac:dyDescent="0.2">
      <c r="A34" s="122">
        <v>8050</v>
      </c>
      <c r="B34" s="122" t="s">
        <v>185</v>
      </c>
      <c r="C34" s="123"/>
      <c r="D34" s="124">
        <v>109140</v>
      </c>
      <c r="E34" s="123"/>
      <c r="F34" s="124"/>
      <c r="G34" s="123"/>
      <c r="H34" s="124">
        <f>D34+F34</f>
        <v>109140</v>
      </c>
      <c r="I34" s="123"/>
      <c r="J34" s="124"/>
      <c r="K34" s="119">
        <v>4</v>
      </c>
      <c r="L34" s="130" t="s">
        <v>186</v>
      </c>
      <c r="N34" s="121">
        <f>125000*100/125</f>
        <v>100000</v>
      </c>
      <c r="P34" s="121" t="s">
        <v>187</v>
      </c>
    </row>
    <row r="35" spans="1:20" x14ac:dyDescent="0.2">
      <c r="A35" s="122">
        <v>8060</v>
      </c>
      <c r="B35" s="122" t="s">
        <v>188</v>
      </c>
      <c r="C35" s="123"/>
      <c r="D35" s="124">
        <v>5050</v>
      </c>
      <c r="E35" s="123"/>
      <c r="F35" s="124">
        <v>3000</v>
      </c>
      <c r="G35" s="123"/>
      <c r="H35" s="124">
        <f>D35+F35</f>
        <v>8050</v>
      </c>
      <c r="I35" s="123"/>
      <c r="J35" s="124"/>
      <c r="L35" s="130" t="s">
        <v>189</v>
      </c>
      <c r="P35" s="121" t="s">
        <v>190</v>
      </c>
    </row>
    <row r="36" spans="1:20" x14ac:dyDescent="0.2">
      <c r="A36" s="122">
        <v>8080</v>
      </c>
      <c r="B36" s="122" t="s">
        <v>31</v>
      </c>
      <c r="C36" s="123"/>
      <c r="D36" s="124"/>
      <c r="E36" s="123"/>
      <c r="F36" s="124">
        <v>33000</v>
      </c>
      <c r="G36" s="123"/>
      <c r="H36" s="124">
        <f>D36+F36</f>
        <v>33000</v>
      </c>
      <c r="I36" s="123"/>
      <c r="J36" s="124"/>
      <c r="P36" s="121" t="s">
        <v>191</v>
      </c>
    </row>
    <row r="37" spans="1:20" x14ac:dyDescent="0.2">
      <c r="A37" s="122">
        <v>8100</v>
      </c>
      <c r="B37" s="122" t="s">
        <v>192</v>
      </c>
      <c r="C37" s="123"/>
      <c r="D37" s="124"/>
      <c r="E37" s="123"/>
      <c r="F37" s="124"/>
      <c r="G37" s="123"/>
      <c r="H37" s="124"/>
      <c r="I37" s="123"/>
      <c r="J37" s="124"/>
      <c r="P37" s="129" t="s">
        <v>193</v>
      </c>
    </row>
    <row r="38" spans="1:20" x14ac:dyDescent="0.2">
      <c r="A38" s="122">
        <v>8150</v>
      </c>
      <c r="B38" s="122" t="s">
        <v>54</v>
      </c>
      <c r="C38" s="123">
        <v>164500</v>
      </c>
      <c r="D38" s="124"/>
      <c r="E38" s="123"/>
      <c r="F38" s="124"/>
      <c r="G38" s="123">
        <f>C38+E38</f>
        <v>164500</v>
      </c>
      <c r="H38" s="124"/>
      <c r="I38" s="123"/>
      <c r="J38" s="124"/>
    </row>
    <row r="39" spans="1:20" x14ac:dyDescent="0.2">
      <c r="A39" s="122">
        <v>8160</v>
      </c>
      <c r="B39" s="122" t="s">
        <v>194</v>
      </c>
      <c r="C39" s="123">
        <v>4240</v>
      </c>
      <c r="D39" s="124"/>
      <c r="E39" s="123">
        <v>7000</v>
      </c>
      <c r="F39" s="124"/>
      <c r="G39" s="123">
        <f>C39+E39</f>
        <v>11240</v>
      </c>
      <c r="H39" s="124"/>
      <c r="I39" s="123"/>
      <c r="J39" s="124"/>
      <c r="K39" s="119">
        <v>5</v>
      </c>
      <c r="L39" s="130" t="s">
        <v>195</v>
      </c>
      <c r="N39" s="121">
        <f>50000*10</f>
        <v>500000</v>
      </c>
      <c r="P39" s="130" t="s">
        <v>196</v>
      </c>
    </row>
    <row r="40" spans="1:20" x14ac:dyDescent="0.2">
      <c r="A40" s="122">
        <v>8300</v>
      </c>
      <c r="B40" s="122" t="s">
        <v>159</v>
      </c>
      <c r="C40" s="123"/>
      <c r="D40" s="124"/>
      <c r="E40" s="123">
        <v>101850</v>
      </c>
      <c r="F40" s="124"/>
      <c r="G40" s="123">
        <f>E40</f>
        <v>101850</v>
      </c>
      <c r="H40" s="124"/>
      <c r="I40" s="123"/>
      <c r="J40" s="124"/>
      <c r="L40" s="130"/>
      <c r="P40" s="121" t="s">
        <v>197</v>
      </c>
    </row>
    <row r="41" spans="1:20" x14ac:dyDescent="0.2">
      <c r="A41" s="122">
        <v>8320</v>
      </c>
      <c r="B41" s="122" t="s">
        <v>198</v>
      </c>
      <c r="C41" s="123"/>
      <c r="D41" s="124"/>
      <c r="E41" s="123"/>
      <c r="F41" s="124">
        <v>17000</v>
      </c>
      <c r="G41" s="123"/>
      <c r="H41" s="124">
        <f>F41</f>
        <v>17000</v>
      </c>
      <c r="I41" s="123"/>
      <c r="J41" s="124"/>
      <c r="P41" s="121" t="s">
        <v>199</v>
      </c>
    </row>
    <row r="42" spans="1:20" x14ac:dyDescent="0.2">
      <c r="A42" s="132">
        <v>8960</v>
      </c>
      <c r="B42" s="132" t="s">
        <v>200</v>
      </c>
      <c r="C42" s="133"/>
      <c r="D42" s="134"/>
      <c r="E42" s="133">
        <f>SUM(H25:H41)-G27-G29-G30-G31-G32-G33-G38-G39-G40</f>
        <v>323210</v>
      </c>
      <c r="F42" s="134"/>
      <c r="G42" s="133">
        <f>E42</f>
        <v>323210</v>
      </c>
      <c r="H42" s="124"/>
      <c r="I42" s="133"/>
      <c r="J42" s="134"/>
    </row>
    <row r="43" spans="1:20" s="139" customFormat="1" ht="18.75" x14ac:dyDescent="0.3">
      <c r="A43" s="135"/>
      <c r="B43" s="135"/>
      <c r="C43" s="136">
        <f t="shared" ref="C43:J43" si="3">SUM(C2:C42)</f>
        <v>96050460</v>
      </c>
      <c r="D43" s="137">
        <f t="shared" si="3"/>
        <v>96050460</v>
      </c>
      <c r="E43" s="136">
        <f t="shared" si="3"/>
        <v>1739560</v>
      </c>
      <c r="F43" s="137">
        <f t="shared" si="3"/>
        <v>1739560</v>
      </c>
      <c r="G43" s="136">
        <f t="shared" si="3"/>
        <v>75370040</v>
      </c>
      <c r="H43" s="137">
        <f t="shared" si="3"/>
        <v>75370040</v>
      </c>
      <c r="I43" s="136">
        <f t="shared" si="3"/>
        <v>21319480</v>
      </c>
      <c r="J43" s="137">
        <f t="shared" si="3"/>
        <v>21319480</v>
      </c>
      <c r="K43" s="119">
        <v>6</v>
      </c>
      <c r="L43" s="130" t="s">
        <v>201</v>
      </c>
      <c r="M43" s="120"/>
      <c r="N43" s="121">
        <v>440000</v>
      </c>
      <c r="O43" s="121"/>
      <c r="P43" s="121" t="s">
        <v>202</v>
      </c>
      <c r="Q43" s="138"/>
      <c r="R43" s="138"/>
      <c r="S43" s="138"/>
      <c r="T43" s="138"/>
    </row>
    <row r="44" spans="1:20" x14ac:dyDescent="0.2">
      <c r="P44" s="121" t="s">
        <v>203</v>
      </c>
    </row>
    <row r="45" spans="1:20" x14ac:dyDescent="0.2">
      <c r="I45" s="121">
        <f>J43-I43</f>
        <v>0</v>
      </c>
    </row>
    <row r="46" spans="1:20" x14ac:dyDescent="0.2">
      <c r="K46" s="119">
        <v>7</v>
      </c>
      <c r="M46" s="130" t="s">
        <v>204</v>
      </c>
      <c r="N46" s="121">
        <f>26000*10</f>
        <v>260000</v>
      </c>
      <c r="P46" s="121" t="s">
        <v>205</v>
      </c>
    </row>
    <row r="47" spans="1:20" x14ac:dyDescent="0.2">
      <c r="M47" s="130" t="s">
        <v>206</v>
      </c>
      <c r="N47" s="121">
        <f>36000*8.3</f>
        <v>298800</v>
      </c>
      <c r="P47" s="121" t="s">
        <v>207</v>
      </c>
    </row>
    <row r="48" spans="1:20" x14ac:dyDescent="0.2">
      <c r="M48" s="130" t="s">
        <v>14</v>
      </c>
      <c r="N48" s="140">
        <f>SUM(N46:N47)</f>
        <v>558800</v>
      </c>
      <c r="P48" s="121" t="s">
        <v>208</v>
      </c>
    </row>
    <row r="49" spans="11:16" x14ac:dyDescent="0.2">
      <c r="L49" s="127" t="s">
        <v>1</v>
      </c>
      <c r="M49" s="130" t="s">
        <v>209</v>
      </c>
      <c r="N49" s="121">
        <f>254800+297000</f>
        <v>551800</v>
      </c>
    </row>
    <row r="50" spans="11:16" x14ac:dyDescent="0.2">
      <c r="L50" s="128" t="s">
        <v>0</v>
      </c>
      <c r="M50" s="120" t="s">
        <v>194</v>
      </c>
      <c r="N50" s="126">
        <f>N48-N49</f>
        <v>7000</v>
      </c>
    </row>
    <row r="52" spans="11:16" x14ac:dyDescent="0.2">
      <c r="K52" s="119">
        <v>8</v>
      </c>
      <c r="L52" s="130" t="s">
        <v>210</v>
      </c>
      <c r="N52" s="121">
        <f>75040850*0.02</f>
        <v>1500817</v>
      </c>
      <c r="P52" s="121" t="s">
        <v>211</v>
      </c>
    </row>
    <row r="53" spans="11:16" x14ac:dyDescent="0.2">
      <c r="M53" s="120" t="s">
        <v>212</v>
      </c>
      <c r="N53" s="121">
        <v>1501000</v>
      </c>
      <c r="P53" s="121" t="s">
        <v>213</v>
      </c>
    </row>
    <row r="54" spans="11:16" x14ac:dyDescent="0.2">
      <c r="P54" s="129" t="s">
        <v>214</v>
      </c>
    </row>
    <row r="56" spans="11:16" x14ac:dyDescent="0.2">
      <c r="K56" s="119">
        <v>9</v>
      </c>
      <c r="L56" s="130" t="s">
        <v>215</v>
      </c>
      <c r="N56" s="121">
        <v>102000</v>
      </c>
      <c r="P56" s="121" t="s">
        <v>216</v>
      </c>
    </row>
    <row r="57" spans="11:16" x14ac:dyDescent="0.2">
      <c r="L57" s="130" t="s">
        <v>217</v>
      </c>
      <c r="N57" s="121">
        <v>17000</v>
      </c>
      <c r="P57" s="121" t="s">
        <v>218</v>
      </c>
    </row>
    <row r="58" spans="11:16" x14ac:dyDescent="0.2">
      <c r="P58" s="121" t="s">
        <v>219</v>
      </c>
    </row>
    <row r="59" spans="11:16" x14ac:dyDescent="0.2">
      <c r="P59" s="121" t="s">
        <v>220</v>
      </c>
    </row>
    <row r="60" spans="11:16" x14ac:dyDescent="0.2">
      <c r="P60" s="121" t="s">
        <v>221</v>
      </c>
    </row>
    <row r="62" spans="11:16" x14ac:dyDescent="0.2">
      <c r="K62" s="119">
        <v>10</v>
      </c>
      <c r="L62" s="130" t="s">
        <v>222</v>
      </c>
      <c r="N62" s="121">
        <f>SUM(H25:H36)</f>
        <v>75353040</v>
      </c>
    </row>
    <row r="63" spans="11:16" x14ac:dyDescent="0.2">
      <c r="L63" s="130" t="s">
        <v>223</v>
      </c>
    </row>
    <row r="64" spans="11:16" x14ac:dyDescent="0.2">
      <c r="L64" s="130"/>
      <c r="M64" s="120" t="s">
        <v>224</v>
      </c>
      <c r="N64" s="141">
        <f>SUM(G27:G39)</f>
        <v>74944980</v>
      </c>
    </row>
    <row r="65" spans="12:16" x14ac:dyDescent="0.2">
      <c r="L65" s="130" t="s">
        <v>225</v>
      </c>
      <c r="N65" s="121">
        <f>N62-N64</f>
        <v>408060</v>
      </c>
    </row>
    <row r="67" spans="12:16" x14ac:dyDescent="0.2">
      <c r="L67" s="130" t="s">
        <v>226</v>
      </c>
      <c r="N67" s="121">
        <f>G40-H41</f>
        <v>84850</v>
      </c>
    </row>
    <row r="69" spans="12:16" x14ac:dyDescent="0.2">
      <c r="L69" s="130" t="s">
        <v>200</v>
      </c>
      <c r="N69" s="121">
        <f>N65-N67</f>
        <v>323210</v>
      </c>
      <c r="P69" s="121" t="s">
        <v>227</v>
      </c>
    </row>
    <row r="70" spans="12:16" x14ac:dyDescent="0.2">
      <c r="P70" s="129" t="s">
        <v>228</v>
      </c>
    </row>
  </sheetData>
  <mergeCells count="4">
    <mergeCell ref="C1:D1"/>
    <mergeCell ref="E1:F1"/>
    <mergeCell ref="G1:H1"/>
    <mergeCell ref="I1:J1"/>
  </mergeCells>
  <pageMargins left="0.70866141732283472" right="0.70866141732283472" top="0.59055118110236227" bottom="0.19685039370078741" header="0.31496062992125984" footer="0.31496062992125984"/>
  <pageSetup paperSize="9" orientation="landscape" horizontalDpi="4294967293" r:id="rId1"/>
  <headerFooter>
    <oddHeader>&amp;COppgave 3.48&amp;RSide &amp;P av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Oppgave 3.42-3.46</vt:lpstr>
      <vt:lpstr>Oppgave 3.47</vt:lpstr>
      <vt:lpstr>Oppgave 3.48</vt:lpstr>
      <vt:lpstr>'Oppgave 3.48'!Utskriftsområde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2022-01-09T17:47:06Z</dcterms:modified>
</cp:coreProperties>
</file>