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trondwinther/Google Drive/Revisjon 2017/Kap 9/"/>
    </mc:Choice>
  </mc:AlternateContent>
  <xr:revisionPtr revIDLastSave="0" documentId="8_{4BD5FCAD-40A1-8542-9E45-F2341FF1FF43}" xr6:coauthVersionLast="45" xr6:coauthVersionMax="45" xr10:uidLastSave="{00000000-0000-0000-0000-000000000000}"/>
  <bookViews>
    <workbookView xWindow="0" yWindow="460" windowWidth="29040" windowHeight="15840" activeTab="7" xr2:uid="{00000000-000D-0000-FFFF-FFFF00000000}"/>
  </bookViews>
  <sheets>
    <sheet name="9.1" sheetId="1" r:id="rId1"/>
    <sheet name="9.2" sheetId="2" r:id="rId2"/>
    <sheet name="9.3" sheetId="3" r:id="rId3"/>
    <sheet name="9.4" sheetId="4" r:id="rId4"/>
    <sheet name="9.5" sheetId="7" r:id="rId5"/>
    <sheet name="9.6" sheetId="5" r:id="rId6"/>
    <sheet name="9.7" sheetId="6" r:id="rId7"/>
    <sheet name="9.8" sheetId="8" r:id="rId8"/>
    <sheet name="9.9" sheetId="11" r:id="rId9"/>
    <sheet name="9.10" sheetId="12" r:id="rId10"/>
    <sheet name="9.11" sheetId="9" r:id="rId11"/>
    <sheet name="9.12" sheetId="10" r:id="rId12"/>
    <sheet name="9.13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" i="8" l="1"/>
  <c r="I8" i="8"/>
  <c r="E46" i="8"/>
  <c r="E45" i="8"/>
  <c r="E47" i="8"/>
  <c r="C22" i="11" l="1"/>
  <c r="C24" i="11" s="1"/>
  <c r="C12" i="11"/>
  <c r="F43" i="9" l="1"/>
  <c r="F52" i="6"/>
  <c r="F53" i="6" s="1"/>
  <c r="D8" i="2"/>
  <c r="E17" i="2" s="1"/>
  <c r="E18" i="2"/>
  <c r="E19" i="2"/>
  <c r="E7" i="3"/>
  <c r="E38" i="3"/>
  <c r="E41" i="3" s="1"/>
  <c r="E39" i="3"/>
  <c r="E40" i="3"/>
  <c r="E12" i="4"/>
  <c r="F12" i="4"/>
  <c r="G12" i="4"/>
  <c r="E20" i="4"/>
  <c r="F20" i="4"/>
  <c r="F21" i="4" s="1"/>
  <c r="G20" i="4"/>
  <c r="G21" i="4" s="1"/>
  <c r="E21" i="4"/>
  <c r="G11" i="6"/>
  <c r="G12" i="6"/>
  <c r="G13" i="6" s="1"/>
  <c r="G24" i="6"/>
  <c r="G25" i="6"/>
  <c r="G26" i="6"/>
  <c r="G34" i="6"/>
  <c r="G35" i="6" s="1"/>
  <c r="G36" i="6" s="1"/>
  <c r="E60" i="6" s="1"/>
  <c r="F10" i="7"/>
  <c r="F12" i="7"/>
  <c r="D45" i="7" s="1"/>
  <c r="G21" i="7"/>
  <c r="G25" i="7"/>
  <c r="G30" i="7"/>
  <c r="G34" i="7" s="1"/>
  <c r="F9" i="8"/>
  <c r="H9" i="8"/>
  <c r="H11" i="8" s="1"/>
  <c r="H14" i="8" s="1"/>
  <c r="D40" i="8" s="1"/>
  <c r="E48" i="8" s="1"/>
  <c r="F11" i="8"/>
  <c r="F14" i="8" s="1"/>
  <c r="D24" i="8"/>
  <c r="F58" i="8"/>
  <c r="F59" i="8" s="1"/>
  <c r="F81" i="8"/>
  <c r="F83" i="8" s="1"/>
  <c r="F10" i="9"/>
  <c r="C14" i="9"/>
  <c r="E75" i="9" s="1"/>
  <c r="E81" i="9" s="1"/>
  <c r="F52" i="9"/>
  <c r="E77" i="9" s="1"/>
  <c r="F56" i="9"/>
  <c r="F57" i="9"/>
  <c r="F62" i="9"/>
  <c r="E79" i="9" s="1"/>
  <c r="F66" i="9"/>
  <c r="F67" i="9"/>
  <c r="E80" i="9" s="1"/>
  <c r="E14" i="10"/>
  <c r="G27" i="6" l="1"/>
  <c r="E20" i="2"/>
  <c r="G37" i="7"/>
  <c r="F72" i="8"/>
  <c r="D88" i="8" s="1"/>
  <c r="E103" i="8"/>
  <c r="E62" i="7"/>
</calcChain>
</file>

<file path=xl/sharedStrings.xml><?xml version="1.0" encoding="utf-8"?>
<sst xmlns="http://schemas.openxmlformats.org/spreadsheetml/2006/main" count="409" uniqueCount="335">
  <si>
    <t xml:space="preserve">Husleie utgjør nå kr 1,25 millioner fordi dette er </t>
    <phoneticPr fontId="3" type="noConversion"/>
  </si>
  <si>
    <t xml:space="preserve">en alternativkost – dette taper vi hvert år </t>
    <phoneticPr fontId="3" type="noConversion"/>
  </si>
  <si>
    <t>ved å fortsette driften. Per enhet</t>
    <phoneticPr fontId="3" type="noConversion"/>
  </si>
  <si>
    <t>1 250 000 / 40 000 =</t>
    <phoneticPr fontId="3" type="noConversion"/>
  </si>
  <si>
    <t>Fast lønn bortfaller med 60 %, og dermed</t>
    <phoneticPr fontId="3" type="noConversion"/>
  </si>
  <si>
    <t>Per enhet blir dette 2 100 000 / 40 000</t>
    <phoneticPr fontId="3" type="noConversion"/>
  </si>
  <si>
    <t>Den minste prisen som bedriften kan godta, er kr 626.</t>
    <phoneticPr fontId="3" type="noConversion"/>
  </si>
  <si>
    <t>er variable kostnader.</t>
    <phoneticPr fontId="3" type="noConversion"/>
  </si>
  <si>
    <t xml:space="preserve">av merkostnader, som i dette tilfellet </t>
    <phoneticPr fontId="3" type="noConversion"/>
  </si>
  <si>
    <t>En pris på kr 125 vil tvinge B til å kjøpe internt, og det</t>
    <phoneticPr fontId="3" type="noConversion"/>
  </si>
  <si>
    <t>Renter og avskrivn. 5 % · 10 000 000 =</t>
    <phoneticPr fontId="3" type="noConversion"/>
  </si>
  <si>
    <t>Husleie 10 % av 10 000 000 =</t>
    <phoneticPr fontId="3" type="noConversion"/>
  </si>
  <si>
    <t>Fast lønn 35 % av 10 000 000 =</t>
    <phoneticPr fontId="3" type="noConversion"/>
  </si>
  <si>
    <t>Er disse relevante for å vurdere videre drift av avdelingen? Nei,</t>
    <phoneticPr fontId="3" type="noConversion"/>
  </si>
  <si>
    <t>per enhet</t>
    <phoneticPr fontId="3" type="noConversion"/>
  </si>
  <si>
    <r>
      <rPr>
        <b/>
        <sz val="11"/>
        <color indexed="8"/>
        <rFont val="Calibri"/>
        <family val="2"/>
      </rPr>
      <t>Avskrivninger</t>
    </r>
    <r>
      <rPr>
        <sz val="11"/>
        <color theme="1"/>
        <rFont val="Calibri"/>
        <family val="2"/>
        <scheme val="minor"/>
      </rPr>
      <t>: Her er virkelig verditap = 100 000 per år</t>
    </r>
    <phoneticPr fontId="3" type="noConversion"/>
  </si>
  <si>
    <t xml:space="preserve">Dette betyr 100 000 / 40 000 enheter = </t>
    <phoneticPr fontId="3" type="noConversion"/>
  </si>
  <si>
    <t>og fått 15 % rente på dette. Det tilsvarer</t>
    <phoneticPr fontId="3" type="noConversion"/>
  </si>
  <si>
    <t>Dette gir per enhet 75 000 / 40 000 =</t>
    <phoneticPr fontId="3" type="noConversion"/>
  </si>
  <si>
    <t>1 000 – 263 = 737 enheter på to måneder.</t>
    <phoneticPr fontId="3" type="noConversion"/>
  </si>
  <si>
    <t xml:space="preserve">Oppstartskostnader = </t>
    <phoneticPr fontId="3" type="noConversion"/>
  </si>
  <si>
    <t xml:space="preserve">Dette gir en ekstern pris på 200 / 0,9 = </t>
    <phoneticPr fontId="3" type="noConversion"/>
  </si>
  <si>
    <t>Ekstern pris gir et dekningsbidrag på 20 %, som vil si</t>
    <phoneticPr fontId="3" type="noConversion"/>
  </si>
  <si>
    <t>Siden leverende avdeling driver under ledig</t>
    <phoneticPr fontId="3" type="noConversion"/>
  </si>
  <si>
    <t>kapasitet, er riktig internpris 177,78.</t>
    <phoneticPr fontId="3" type="noConversion"/>
  </si>
  <si>
    <t xml:space="preserve">Det som er problemstillingen her, er å finne de </t>
    <phoneticPr fontId="3" type="noConversion"/>
  </si>
  <si>
    <t>nedleggelse, blir dermed de relevante kostnadene.</t>
    <phoneticPr fontId="3" type="noConversion"/>
  </si>
  <si>
    <t>Halvfabrikata K2 settes inn i kalkylen med 177,78.</t>
    <phoneticPr fontId="3" type="noConversion"/>
  </si>
  <si>
    <t>Kalkylen frem til i dag er basert på 50 000 enheter.</t>
    <phoneticPr fontId="3" type="noConversion"/>
  </si>
  <si>
    <t xml:space="preserve">100 · 50 000 = 5 000 000 </t>
    <phoneticPr fontId="3" type="noConversion"/>
  </si>
  <si>
    <t xml:space="preserve">(Halvparten av de indirekte kostnadene er variable, </t>
    <phoneticPr fontId="3" type="noConversion"/>
  </si>
  <si>
    <t>og halvparten er faste.)</t>
    <phoneticPr fontId="3" type="noConversion"/>
  </si>
  <si>
    <t>Vi har nå 2 500 timer · 1 250 timer til rådighet når vi produserer Rapp.</t>
    <phoneticPr fontId="3" type="noConversion"/>
  </si>
  <si>
    <t>Optimal produktmiks blir etter dette 500 Kjeft og 312,5 Rapp.</t>
    <phoneticPr fontId="3" type="noConversion"/>
  </si>
  <si>
    <t>Tilvirkningsavdeling I produserer under full kapasitet.</t>
    <phoneticPr fontId="3" type="noConversion"/>
  </si>
  <si>
    <t>Ved intern levering vil det være naturlig at det minst</t>
    <phoneticPr fontId="3" type="noConversion"/>
  </si>
  <si>
    <t>lønnsome produktet i tilvilvirkningsavdeling I blir fortrengt, det vil</t>
    <phoneticPr fontId="3" type="noConversion"/>
  </si>
  <si>
    <t>i dekningsbidrag per time.</t>
    <phoneticPr fontId="3" type="noConversion"/>
  </si>
  <si>
    <t>(En halvtime fortrenges per enhet.)</t>
    <phoneticPr fontId="3" type="noConversion"/>
  </si>
  <si>
    <t>Internpris er kr 1 864 under de gjeldende omstendigheter, og</t>
    <phoneticPr fontId="3" type="noConversion"/>
  </si>
  <si>
    <t>1 000 · 500 =</t>
    <phoneticPr fontId="3" type="noConversion"/>
  </si>
  <si>
    <t>Totale faste kostnader for én måned:</t>
    <phoneticPr fontId="3" type="noConversion"/>
  </si>
  <si>
    <t>for å unngå midlertidig nedleggelse i to måneder?</t>
    <phoneticPr fontId="3" type="noConversion"/>
  </si>
  <si>
    <t>500 000 / 1 900</t>
    <phoneticPr fontId="3" type="noConversion"/>
  </si>
  <si>
    <t>d)</t>
    <phoneticPr fontId="3" type="noConversion"/>
  </si>
  <si>
    <t>(Driftsavhengige faste kostnader – oppstartskostnader) / DB</t>
    <phoneticPr fontId="3" type="noConversion"/>
  </si>
  <si>
    <t xml:space="preserve">(500 000 – 50 000) / 1 900 = </t>
    <phoneticPr fontId="3" type="noConversion"/>
  </si>
  <si>
    <t>100 000 : 400</t>
    <phoneticPr fontId="3" type="noConversion"/>
  </si>
  <si>
    <t>per måned, det vil si 500 enheter i to måneder</t>
    <phoneticPr fontId="3" type="noConversion"/>
  </si>
  <si>
    <t>på 50 000?</t>
    <phoneticPr fontId="3" type="noConversion"/>
  </si>
  <si>
    <t>Hvordan påvirkes svaret i A når det oppstår oppstartskostnader</t>
    <phoneticPr fontId="3" type="noConversion"/>
  </si>
  <si>
    <t>Sum driftsavhengige faste kostnader per måned:</t>
    <phoneticPr fontId="3" type="noConversion"/>
  </si>
  <si>
    <t>(Driftsavhengige faste kostnader – oppstartskostnader) : dekningsbidrag</t>
    <phoneticPr fontId="3" type="noConversion"/>
  </si>
  <si>
    <t>Vi må nå gjøre denne beregningen for to måneder. Oppstartskostnadene</t>
    <phoneticPr fontId="3" type="noConversion"/>
  </si>
  <si>
    <t>oppstår bare en gang, og det betyr at vi ikke kan multiplisere svaret for en måned</t>
    <phoneticPr fontId="3" type="noConversion"/>
  </si>
  <si>
    <t>med antall måneder som det er aktuelt å legge ned.</t>
    <phoneticPr fontId="3" type="noConversion"/>
  </si>
  <si>
    <t>(200 000 – 50 000) : 400 =</t>
    <phoneticPr fontId="3" type="noConversion"/>
  </si>
  <si>
    <t>Vi må nå finne dekningsbidrag per enhet:</t>
    <phoneticPr fontId="3" type="noConversion"/>
  </si>
  <si>
    <t>4 120 / 2,5</t>
    <phoneticPr fontId="3" type="noConversion"/>
  </si>
  <si>
    <t>6 272 / 4</t>
    <phoneticPr fontId="3" type="noConversion"/>
  </si>
  <si>
    <t>Dekningsbidrag per knapp faktor:</t>
    <phoneticPr fontId="3" type="noConversion"/>
  </si>
  <si>
    <t>Det mest lønnsomme produktet er Kjeft.</t>
    <phoneticPr fontId="3" type="noConversion"/>
  </si>
  <si>
    <t>Vi satser på å få produsert så mange Kjeft som mulig.</t>
    <phoneticPr fontId="3" type="noConversion"/>
  </si>
  <si>
    <t xml:space="preserve">500 · 2,5 timer= </t>
    <phoneticPr fontId="3" type="noConversion"/>
  </si>
  <si>
    <t>indirekte variable kostnader.</t>
    <phoneticPr fontId="3" type="noConversion"/>
  </si>
  <si>
    <t>I dette tilfellet blir merkostnadene ved produksjon summen av direkte kostnader og</t>
    <phoneticPr fontId="3" type="noConversion"/>
  </si>
  <si>
    <t>Midlertidig nedleggelse</t>
    <phoneticPr fontId="3" type="noConversion"/>
  </si>
  <si>
    <t>Vi må først ta stilling til hva som er driftsavhengige kostnader.</t>
    <phoneticPr fontId="3" type="noConversion"/>
  </si>
  <si>
    <t>midlertidig nedleggelse, og det betyr at disse må dekkes inn</t>
    <phoneticPr fontId="3" type="noConversion"/>
  </si>
  <si>
    <t>Vi trenger nå å vite dekningsbidrag per enhet:</t>
    <phoneticPr fontId="3" type="noConversion"/>
  </si>
  <si>
    <t>Faste driftsavhengige kostnader : dekningsbidrag per enhet</t>
    <phoneticPr fontId="3" type="noConversion"/>
  </si>
  <si>
    <t>Totale indirekte faste tilvirkningskostnader:</t>
    <phoneticPr fontId="3" type="noConversion"/>
  </si>
  <si>
    <t>15 000 · 150 =</t>
    <phoneticPr fontId="3" type="noConversion"/>
  </si>
  <si>
    <t>Halvparten av 2 250 000 =</t>
    <phoneticPr fontId="3" type="noConversion"/>
  </si>
  <si>
    <t xml:space="preserve">15 000 · 50 = </t>
    <phoneticPr fontId="3" type="noConversion"/>
  </si>
  <si>
    <t>per år</t>
    <phoneticPr fontId="3" type="noConversion"/>
  </si>
  <si>
    <t>per måned</t>
    <phoneticPr fontId="3" type="noConversion"/>
  </si>
  <si>
    <t>Driftsavhengige faste kostnader : dekningsbidrag</t>
    <phoneticPr fontId="3" type="noConversion"/>
  </si>
  <si>
    <t>det viktig å trekke inn alternativkost – det vil si</t>
    <phoneticPr fontId="3" type="noConversion"/>
  </si>
  <si>
    <t xml:space="preserve">Dersom bedriften jobber under full kapasitetsutnyttelse, er </t>
    <phoneticPr fontId="3" type="noConversion"/>
  </si>
  <si>
    <t xml:space="preserve">det bedriften taper på å fortrenge den produksjonen som </t>
    <phoneticPr fontId="3" type="noConversion"/>
  </si>
  <si>
    <t>allerede eksisterer.</t>
    <phoneticPr fontId="3" type="noConversion"/>
  </si>
  <si>
    <t>– Opprettholde markedsandeler</t>
    <phoneticPr fontId="3" type="noConversion"/>
  </si>
  <si>
    <t>– Opprettholde sysselsetting</t>
    <phoneticPr fontId="3" type="noConversion"/>
  </si>
  <si>
    <t>– «Prototypvirkning» av spesialordre</t>
    <phoneticPr fontId="3" type="noConversion"/>
  </si>
  <si>
    <t>senere</t>
    <phoneticPr fontId="3" type="noConversion"/>
  </si>
  <si>
    <t>– Reklamemessige virkninger av å akseptere ordren</t>
    <phoneticPr fontId="3" type="noConversion"/>
  </si>
  <si>
    <t>dekningsbidrag per knapp faktor.</t>
    <phoneticPr fontId="3" type="noConversion"/>
  </si>
  <si>
    <t>Dekningsbidrag per knapp faktor</t>
    <phoneticPr fontId="3" type="noConversion"/>
  </si>
  <si>
    <t>dekningsbidrag per kilogram råstoff:</t>
    <phoneticPr fontId="3" type="noConversion"/>
  </si>
  <si>
    <t>Dersom B vil kjøpe X fra A når de kan levere dette</t>
    <phoneticPr fontId="3" type="noConversion"/>
  </si>
  <si>
    <t>til eksterne kunder,  vil normal internpris være</t>
    <phoneticPr fontId="3" type="noConversion"/>
  </si>
  <si>
    <t>kr 330 som de andre kundene må betale.</t>
    <phoneticPr fontId="3" type="noConversion"/>
  </si>
  <si>
    <t>Det kan forsvares å ta noe lavere pris fordi det kan være</t>
    <phoneticPr fontId="3" type="noConversion"/>
  </si>
  <si>
    <t>kr 330 som er riktig pris.</t>
    <phoneticPr fontId="3" type="noConversion"/>
  </si>
  <si>
    <t>Det er mest lønnsomt med eksternt kjøp av X.</t>
    <phoneticPr fontId="3" type="noConversion"/>
  </si>
  <si>
    <t>sum relevante kostnader.</t>
    <phoneticPr fontId="3" type="noConversion"/>
  </si>
  <si>
    <t>på å fortrenge allerede eksisterende produksjon.</t>
    <phoneticPr fontId="3" type="noConversion"/>
  </si>
  <si>
    <t xml:space="preserve">De indirekte kostnadene inneholder elementer </t>
    <phoneticPr fontId="3" type="noConversion"/>
  </si>
  <si>
    <t>er forårsaket av ordren, er ikke relevante.</t>
    <phoneticPr fontId="3" type="noConversion"/>
  </si>
  <si>
    <t>Hva ligger til grunn for tilleggssatsen på kr 187,50?</t>
    <phoneticPr fontId="3" type="noConversion"/>
  </si>
  <si>
    <t>tilleggssats for variable kostnader på:</t>
    <phoneticPr fontId="3" type="noConversion"/>
  </si>
  <si>
    <t>totale indirekte kostnader på kr 12,5 millioner.</t>
    <phoneticPr fontId="3" type="noConversion"/>
  </si>
  <si>
    <t>Totalt er denne tilleggsatsen beregnet ut fra</t>
    <phoneticPr fontId="3" type="noConversion"/>
  </si>
  <si>
    <t>Av disse er kr 7,5 millioner faste kostnader og skal ikke trekkes inn.</t>
    <phoneticPr fontId="3" type="noConversion"/>
  </si>
  <si>
    <t xml:space="preserve">Resterende (kr 5 millioner) er variable. Det vil si at </t>
    <phoneticPr fontId="3" type="noConversion"/>
  </si>
  <si>
    <t xml:space="preserve">kr 5 millioner av kr 12,5 millioner er 40 %. Da er 40 % av </t>
    <phoneticPr fontId="3" type="noConversion"/>
  </si>
  <si>
    <t xml:space="preserve">40 % · 187,50 = </t>
    <phoneticPr fontId="3" type="noConversion"/>
  </si>
  <si>
    <t>Ut fra dette vil ordren være lønnsom til en pris</t>
    <phoneticPr fontId="3" type="noConversion"/>
  </si>
  <si>
    <t>på kr 450 000.</t>
    <phoneticPr fontId="3" type="noConversion"/>
  </si>
  <si>
    <t>knyttet noe mindre leveransekostnader og risiko til en intern</t>
  </si>
  <si>
    <t>Hva utgjør de ulike faste kostnadene totalt?</t>
  </si>
  <si>
    <t>Antall enheter</t>
  </si>
  <si>
    <t>A/S Vestprod</t>
  </si>
  <si>
    <t>A/S Jern og metall</t>
  </si>
  <si>
    <t>A/S Nord</t>
  </si>
  <si>
    <t>A/S Proto</t>
  </si>
  <si>
    <t>PROX A/S</t>
  </si>
  <si>
    <t>A/S Rappkjeft</t>
  </si>
  <si>
    <t>a)</t>
  </si>
  <si>
    <t>b)</t>
  </si>
  <si>
    <t>c)</t>
  </si>
  <si>
    <t>I kalkyle I er både merkostnader og allerede eksisterende</t>
    <phoneticPr fontId="3" type="noConversion"/>
  </si>
  <si>
    <t>per enhet er 800.</t>
    <phoneticPr fontId="3" type="noConversion"/>
  </si>
  <si>
    <t>820 skal vurderes. Ut fra dette bør bedriften si ja fordi merkostnaden</t>
    <phoneticPr fontId="3" type="noConversion"/>
  </si>
  <si>
    <t>A/S White</t>
    <phoneticPr fontId="3" type="noConversion"/>
  </si>
  <si>
    <t>Avskrivning per år</t>
    <phoneticPr fontId="3" type="noConversion"/>
  </si>
  <si>
    <t>Alternativkost i produksjonen</t>
    <phoneticPr fontId="3" type="noConversion"/>
  </si>
  <si>
    <t>Sum variable kostnader</t>
    <phoneticPr fontId="3" type="noConversion"/>
  </si>
  <si>
    <t>Avskrivning per enhet</t>
    <phoneticPr fontId="3" type="noConversion"/>
  </si>
  <si>
    <t>1) Alternativkost uttrykker det bedriften taper</t>
    <phoneticPr fontId="3" type="noConversion"/>
  </si>
  <si>
    <t xml:space="preserve">2) Minste akseptable pris er det samme som </t>
    <phoneticPr fontId="3" type="noConversion"/>
  </si>
  <si>
    <t>Vi fordeler kostnadene på 40 000 enheter for å få frem</t>
  </si>
  <si>
    <t>riktig kalkyle.</t>
  </si>
  <si>
    <t>De direkte kostnadene blir som tidligere.</t>
  </si>
  <si>
    <t>Halvfabrikata K1 settes inn i kalkyle som før.</t>
  </si>
  <si>
    <t xml:space="preserve">De indirekte kostnadene blir gjenstand for </t>
  </si>
  <si>
    <t>en ny vurdering.</t>
  </si>
  <si>
    <t>Dermed blir de totale faste tilvirkningskostnadene</t>
  </si>
  <si>
    <t>15 % av 500 000 (første året) =</t>
  </si>
  <si>
    <r>
      <t>Renter</t>
    </r>
    <r>
      <rPr>
        <sz val="11"/>
        <color theme="1"/>
        <rFont val="Calibri"/>
        <family val="2"/>
        <scheme val="minor"/>
      </rPr>
      <t>: Bedriften kunne ha solgt anlegget nå</t>
    </r>
  </si>
  <si>
    <t xml:space="preserve">er denne andelen relevant. </t>
  </si>
  <si>
    <t xml:space="preserve">Dette utgjør </t>
  </si>
  <si>
    <t>Renter</t>
  </si>
  <si>
    <t>Husleie</t>
  </si>
  <si>
    <t>Fast lønn</t>
  </si>
  <si>
    <t>Halvfabrikata K1</t>
  </si>
  <si>
    <t>Avskrivninger</t>
  </si>
  <si>
    <t>Halvfabrikata K2</t>
  </si>
  <si>
    <t>Minste pris ved fortsatt drift</t>
  </si>
  <si>
    <t>disse må revurderes:</t>
  </si>
  <si>
    <t>i to måneder</t>
  </si>
  <si>
    <t>Leverende enhet har ledig kapasitet.</t>
  </si>
  <si>
    <t xml:space="preserve">Det betyr at riktig internpris er sum </t>
  </si>
  <si>
    <t>Kalkyle for merkostnader:</t>
  </si>
  <si>
    <t>Indirekte  variable tilvirkningskostnader</t>
  </si>
  <si>
    <t>er det gunstigste for foretaket som helhet.</t>
  </si>
  <si>
    <t>Dette belaster tidsbruken totalt med:</t>
  </si>
  <si>
    <t xml:space="preserve">Dette gir 1 250 / 4 = </t>
  </si>
  <si>
    <t>312,5 Rapp.</t>
  </si>
  <si>
    <t xml:space="preserve">Dermed er det viktig at en internpris for komponent X </t>
  </si>
  <si>
    <t>inneholder alternativkost.</t>
  </si>
  <si>
    <t>si Rapp.</t>
  </si>
  <si>
    <t xml:space="preserve">En Rapp gir </t>
  </si>
  <si>
    <t>Kalkyle for Komponent X ved intern leveranse:</t>
  </si>
  <si>
    <t>Sum</t>
  </si>
  <si>
    <t>det vil lønne seg å kjøpe eksternt.</t>
  </si>
  <si>
    <t>Indirekte faste tilvirkningskostnader:</t>
  </si>
  <si>
    <t>Halvparten bortfaller</t>
  </si>
  <si>
    <t>Sum driftsavhengige kostnader</t>
  </si>
  <si>
    <t>Dekningsbidrag for SYNO:</t>
  </si>
  <si>
    <t>Hvor mange enheter må avdelingen selge</t>
  </si>
  <si>
    <t xml:space="preserve">Det vil si at avdelingen tåler en reduksjon i salget på </t>
  </si>
  <si>
    <t>Salgskostnader</t>
  </si>
  <si>
    <t>driftsavhengige</t>
  </si>
  <si>
    <t>Ny beregning:</t>
  </si>
  <si>
    <t>A/S Synergi</t>
  </si>
  <si>
    <t>Nåværende internpris er 200.</t>
  </si>
  <si>
    <t>Internprisen er 10 % lavere enn ved eksternt salg.</t>
  </si>
  <si>
    <t>at variabel kostnad knyttet til K2 er 80 % av 222,22.</t>
  </si>
  <si>
    <t xml:space="preserve">Det vil si </t>
  </si>
  <si>
    <t xml:space="preserve">relevante kostnadene for en fortsatt drift av </t>
  </si>
  <si>
    <t xml:space="preserve">avdelingen. Kostnader som bortfaller ved </t>
  </si>
  <si>
    <t>Halvparten av disse er driftsavhengig:</t>
  </si>
  <si>
    <t>ved fortsatt drift.</t>
  </si>
  <si>
    <t xml:space="preserve">De faste driftsavhengige kostnadene kan bortfalle ved en </t>
  </si>
  <si>
    <t>Komponent X</t>
  </si>
  <si>
    <t>Variable indirekte tilvirkningskostnader</t>
  </si>
  <si>
    <t>Vi bruker nå formelen:</t>
  </si>
  <si>
    <t>enheter må minst produseres</t>
  </si>
  <si>
    <t>Oppgave 9.7</t>
  </si>
  <si>
    <t>Bidragskalkyle for Smart</t>
  </si>
  <si>
    <t>Sum variable tilvirkningskostnader</t>
  </si>
  <si>
    <t xml:space="preserve">Vi må nå finne de driftsavhengige faste kostnadene. Disse </t>
  </si>
  <si>
    <t>må dekkes inn ved fortsatt drift.</t>
  </si>
  <si>
    <t>Faste driftsavhengige tilvirkningskostnader:</t>
  </si>
  <si>
    <t>Totale faste salgs- og administrasjonskostnader:</t>
  </si>
  <si>
    <t>Faste driftsavhengige salgs- og adm.kostnader:</t>
  </si>
  <si>
    <t>10 % av 750 000=</t>
  </si>
  <si>
    <t>Sum driftsavhengige faste kostnader:</t>
  </si>
  <si>
    <t>Vi bruker nå følgende formel for å beregne hvor mange</t>
  </si>
  <si>
    <t>enheter kunden må kjøpe:</t>
  </si>
  <si>
    <t>Vi må bruke formelen:</t>
  </si>
  <si>
    <t>enheter i to måneder</t>
  </si>
  <si>
    <t>Hvor mange enheter må kundene kjøpe nå for å opprettholde produksjonen?</t>
  </si>
  <si>
    <t>Oppgave 9.8</t>
  </si>
  <si>
    <t>Kjeft</t>
  </si>
  <si>
    <t>Rapp</t>
  </si>
  <si>
    <t>Optimal produktkombinasjon:</t>
  </si>
  <si>
    <t>Aktuelle punkter:</t>
  </si>
  <si>
    <t xml:space="preserve">som kan danne utgangspunkt for serieproduksjon </t>
  </si>
  <si>
    <t>Oppgave 9.4</t>
  </si>
  <si>
    <t>Her er det viktig å finne det produktet som gir høyest</t>
  </si>
  <si>
    <t>Dekningsbidrag</t>
  </si>
  <si>
    <t>Diesel</t>
  </si>
  <si>
    <t>GTI</t>
  </si>
  <si>
    <t>Turbo</t>
  </si>
  <si>
    <t>Forbruk av knapp faktor (antall kg)</t>
  </si>
  <si>
    <t>GTI gir helt tydelig høyest dekningsbidrag pr knapp faktor.</t>
  </si>
  <si>
    <t>Riktig prissetting etter dette må basere seg på at alle gir samme</t>
  </si>
  <si>
    <t>Variable kostnader</t>
  </si>
  <si>
    <t>Pris basert på beste produkt</t>
  </si>
  <si>
    <t>Oppgave 9.5</t>
  </si>
  <si>
    <t>leveranse. I utgangspunktet er det uansett</t>
  </si>
  <si>
    <t xml:space="preserve">Ved ledig kapasitet vil riktig internpris være </t>
  </si>
  <si>
    <t xml:space="preserve">sum variable kostnader. I dette tilfellet er det </t>
  </si>
  <si>
    <t>200.</t>
  </si>
  <si>
    <t>Oppgave 9.6</t>
  </si>
  <si>
    <t>Levere internt eller kjøpe eksternt?</t>
  </si>
  <si>
    <t>Kalkyle for komponent X ved intern produksjon:</t>
  </si>
  <si>
    <t>Direkte material:</t>
  </si>
  <si>
    <t>Indirekte variable tilvirkningskostnader</t>
  </si>
  <si>
    <t>Alternativkost</t>
  </si>
  <si>
    <t>Minste internpris under foruts om full kap.utnytt.</t>
  </si>
  <si>
    <t>Ledig kapasitet i leverende avdeling:</t>
  </si>
  <si>
    <t>Internpris = merkostnader ved produksjon</t>
  </si>
  <si>
    <t>Direkte lønn:</t>
  </si>
  <si>
    <t>Internpris ved ledig kapasitet</t>
  </si>
  <si>
    <t xml:space="preserve">Indirekte tilvirkningskostnader totalt: </t>
  </si>
  <si>
    <t>Normaltall for kalkylen:</t>
  </si>
  <si>
    <t>enheter</t>
  </si>
  <si>
    <t>Herav faste kostnader</t>
  </si>
  <si>
    <t>Oppgave 9.1</t>
  </si>
  <si>
    <t xml:space="preserve">I denne kalkylen er det viktig at de relevante kostnadene </t>
  </si>
  <si>
    <t xml:space="preserve">for tilleggsordren kommer til uttrykk. </t>
  </si>
  <si>
    <t xml:space="preserve">kostnader trukket inn. </t>
  </si>
  <si>
    <t>I kalkyle II er bare de relevante kostnadene for tilleggsordren</t>
  </si>
  <si>
    <t>trukket inn. Denne bør derfor legges til grunn når prisen på</t>
  </si>
  <si>
    <t>Oppgave 9.2</t>
  </si>
  <si>
    <t>Direkte material</t>
  </si>
  <si>
    <t>Direkte lønn</t>
  </si>
  <si>
    <t>Indirekte variable kostnader</t>
  </si>
  <si>
    <t>Sum variable kostnader</t>
  </si>
  <si>
    <t>1 time</t>
  </si>
  <si>
    <t>Minste akseptable pris:</t>
  </si>
  <si>
    <t>Alternativkost 1)</t>
  </si>
  <si>
    <t>Minste akseptable pris 2)</t>
  </si>
  <si>
    <t>Oppgave 9.3</t>
  </si>
  <si>
    <t>Indirekte kostnader</t>
  </si>
  <si>
    <t>Fortjeneste</t>
  </si>
  <si>
    <t>Pris</t>
  </si>
  <si>
    <t>Kunden vil bare betale 450 000.</t>
  </si>
  <si>
    <t>Kan bedriften akseptere dette.</t>
  </si>
  <si>
    <t>Vi må nå finne de relevante kostnadene:</t>
  </si>
  <si>
    <t>Alle direkte kostnader regnes som relevante</t>
  </si>
  <si>
    <t>som ikke er relevante. Spørsmålet er hvilke indirekte</t>
  </si>
  <si>
    <t>kostnader som er relevante. Faste kostnader som ikke</t>
  </si>
  <si>
    <t xml:space="preserve">tilleggssatsen relatert til variable indirekte </t>
  </si>
  <si>
    <t xml:space="preserve">kostnader.  Det betyr at vi skal bruke en </t>
  </si>
  <si>
    <t>Kalkyle for relevante kostnader:</t>
  </si>
  <si>
    <t>timer</t>
  </si>
  <si>
    <t>Sum relevante kostnader</t>
  </si>
  <si>
    <t xml:space="preserve"> </t>
  </si>
  <si>
    <t>250 000 : 950=</t>
  </si>
  <si>
    <t>Internprisen for K2.</t>
  </si>
  <si>
    <t>Oppgave 9.11</t>
  </si>
  <si>
    <t>Alternativkost er tapt dekningsbidrag på eksisterende produksjon som blir fortrengt når produksjon for intern levering foregår.</t>
  </si>
  <si>
    <r>
      <t>2)</t>
    </r>
    <r>
      <rPr>
        <sz val="11"/>
        <color theme="1"/>
        <rFont val="Calibri"/>
        <family val="2"/>
        <scheme val="minor"/>
      </rPr>
      <t xml:space="preserve"> Dekningsbidrag fremkommer slik:</t>
    </r>
  </si>
  <si>
    <t>Indirekte variable kostnader (60 % av 1 400)</t>
  </si>
  <si>
    <t>Tilvirkningsmerkost</t>
  </si>
  <si>
    <t>3  640</t>
  </si>
  <si>
    <t>Løsning 9.9</t>
  </si>
  <si>
    <t>Eksternt kjøp  komponent</t>
  </si>
  <si>
    <t>Kalkyle ved intern produksjon:</t>
  </si>
  <si>
    <t>Indirekte tilv.kostnader</t>
  </si>
  <si>
    <t>Tilv kost</t>
  </si>
  <si>
    <t>Foreslått internpris er kr 825. Dette blir feil da kalkylen innehold</t>
  </si>
  <si>
    <t xml:space="preserve">faste kostnader. </t>
  </si>
  <si>
    <t>Riktig internpris:</t>
  </si>
  <si>
    <t>Indirekte tilv. Kostnader</t>
  </si>
  <si>
    <t>Her er bare de variable indirekte med i kalklyen</t>
  </si>
  <si>
    <t xml:space="preserve">Optimal internpris: </t>
  </si>
  <si>
    <t>A.</t>
  </si>
  <si>
    <t>B.</t>
  </si>
  <si>
    <t xml:space="preserve">Her vil jo alternativkost være viktig å få kartlagt. I tillegg er det relevant å kartlegge </t>
  </si>
  <si>
    <t xml:space="preserve">eventuelle besparelser som et internt salg bidrar med i forhold til et eksternt salg. Dette kan være </t>
  </si>
  <si>
    <t>fraktkostnader, salgskostnader etc som ikke påløper ved intern leveranse.</t>
  </si>
  <si>
    <t>C.</t>
  </si>
  <si>
    <t xml:space="preserve">Her er det viktig å kartlegge hvor høye driftsavhengige faste kostnader er. </t>
  </si>
  <si>
    <t xml:space="preserve">Driftsavhengige faste kostnader er kostnader som blir borte dersom det foretas midlertidig </t>
  </si>
  <si>
    <t xml:space="preserve">nedleggelse. Disse må derfor dekkes inn ved fortsatt drift. Dermed blir kritisk verdi for mengde ved </t>
  </si>
  <si>
    <t>nedleggelse:</t>
  </si>
  <si>
    <r>
      <t xml:space="preserve">420 000 </t>
    </r>
    <r>
      <rPr>
        <vertAlign val="superscript"/>
        <sz val="11"/>
        <color theme="1"/>
        <rFont val="Calibri"/>
        <family val="2"/>
        <scheme val="minor"/>
      </rPr>
      <t>1)</t>
    </r>
    <r>
      <rPr>
        <sz val="11"/>
        <color theme="1"/>
        <rFont val="Calibri"/>
        <family val="2"/>
        <scheme val="minor"/>
      </rPr>
      <t xml:space="preserve"> / 3 860 </t>
    </r>
    <r>
      <rPr>
        <vertAlign val="superscript"/>
        <sz val="11"/>
        <color theme="1"/>
        <rFont val="Calibri"/>
        <family val="2"/>
        <scheme val="minor"/>
      </rPr>
      <t>2)</t>
    </r>
    <r>
      <rPr>
        <sz val="11"/>
        <color theme="1"/>
        <rFont val="Calibri"/>
        <family val="2"/>
        <scheme val="minor"/>
      </rPr>
      <t xml:space="preserve"> = 108,81  det vil si 109 enheter pr måned. For to måneder blir dette 2* 109 = 218 </t>
    </r>
  </si>
  <si>
    <t xml:space="preserve">enheter.  Hvis antall solgte enheter går under 218 på to måneder så vil det lønne seg å legge ned </t>
  </si>
  <si>
    <t>midlertidig. Det vil si en reduksjon på 2782 enheter fra normaltallet på 3000 enheter i to måneder.</t>
  </si>
  <si>
    <r>
      <t>1)</t>
    </r>
    <r>
      <rPr>
        <sz val="11"/>
        <color theme="1"/>
        <rFont val="Calibri"/>
        <family val="2"/>
        <scheme val="minor"/>
      </rPr>
      <t xml:space="preserve">420 000 = driftsavhengige faste kostnader er fremkommet slik: (1 500 enheter *1 400 * 0,4)/2 = </t>
    </r>
  </si>
  <si>
    <t>420 000 Dette gjelder per måned.</t>
  </si>
  <si>
    <t>Løsning oppgave 9.10</t>
  </si>
  <si>
    <t xml:space="preserve">For det første vil den gitte internprisen på kr 2 650 føre til eksternt kjøp uansett. Det vil bli billigere for den mottakende avdeling men uoptimalt for foretaket som helhet så lenge de har ledig kapasitet i </t>
  </si>
  <si>
    <t>produksjon. De faste forutsettes å påløpe uansett produksjon eller ikke.</t>
  </si>
  <si>
    <t xml:space="preserve">Maritim 2. Riktig internpris under ledig kapasitet er: Tilvirkningskost – faste kostnader: 2 650 – 1200 = 1 450.  Dette er utelukkende de variable kostnadene (differansekostnadene) som påløper ved </t>
  </si>
  <si>
    <t xml:space="preserve">Her må det legges til alternativkost, det vil si tapt dekningsbidrag på den delen av produksjonen som blir fortrengt som følge av produksjon til intern leveranse. Det enkleste er å ta utgangspunkt i </t>
  </si>
  <si>
    <t>merkost for en enhet:</t>
  </si>
  <si>
    <t>Direkte lønn (0.5 timer)</t>
  </si>
  <si>
    <t>Indirekte tilvirkningskostnader (60 % er faste kostnader)</t>
  </si>
  <si>
    <t>Tilvirkningskost</t>
  </si>
  <si>
    <t>Deretter må det legges til alternativkost (tapt dekningsbidrag). Det betyr at leverende avdeling ikke vil tape på å selge internt.</t>
  </si>
  <si>
    <t xml:space="preserve">Her er det viktig å få frem hva som er driftsavhengige og driftsavhengige faste kostnader. Det er også viktig å få frem hvorvidt det er oppstartkostnader eller ikke. Videre må driftsavhengige faste </t>
  </si>
  <si>
    <t xml:space="preserve">kostnader inn i  en nullpunktformel (driftsavhengige faste kostnader/db pr enhet) for å kunne svare på lønnsomhet eller ikke ved nedleggelse. Dersom det er oppstartkostnader må disse trekkes i </t>
  </si>
  <si>
    <t>telleren. Dersom nullpunktet i enheter er lavere enn det som er mulig å selge i den aktuelle perioden vil det lønne seg å legge ned midlertidig.</t>
  </si>
  <si>
    <t>Oppgave 9.12</t>
  </si>
  <si>
    <t>Løsning oppgave 9.13</t>
  </si>
  <si>
    <t xml:space="preserve">Her må kandidaten drøfte hvorvidt mekanikerlønnen er fast eller variabel. Hvis den er fast vil en mer riktig internpris være kr 100 ut fra formelen for teoretisk riktig internpris: Relevante </t>
  </si>
  <si>
    <t xml:space="preserve">betalbare kostnader (100) + alternativkost (0) = 100. Hvis mekanikerlønnen bortfaller med en gang det oppstår ledig tid vil regnestykket se slik ut: Relevante betalbare kostnader (500 + </t>
  </si>
  <si>
    <t>100) + alternativkost (0) = 600. Her vil rett og slett mekanikerlønnen bli betraktet som en ren variabel kostnad.</t>
  </si>
  <si>
    <t xml:space="preserve">Maksimal pris her vil være den teoretisk riktige internprisen. Her må det igjen forutsettes hvorvidt mekanikerlønnen er fast eller variabel. Under forutsetning av at mekanikerlønnen er </t>
  </si>
  <si>
    <t xml:space="preserve">fast så vil riktig internpris bli: Relevante betalbare kostnader (100) + alternativkost (tapt DB) 1100 = 1200. </t>
  </si>
  <si>
    <t>Dersom mekanikerlønnen er variabel vil for så vidt svaret fremdeles bli 1200 da regnestykket vil se slik ut: Relevante kostnader (500 + 100) + tapt dekningsbidrag (600) = 1 200</t>
  </si>
  <si>
    <t xml:space="preserve">Betaler man mer enn 1200 i denne situasjonen vil foretaket tape på dette. Det kan allikevel være andre gode grunner til å betale mer enn 1200 for disse tjenestene – det kan f.eks. gå på </t>
  </si>
  <si>
    <t xml:space="preserve">å opprettholde en god verkstedberedskap for kundene slik at uforutsette problemer med kundenes biler kan repareres med en gang. Da kan det være lite effektivt å benytte </t>
  </si>
  <si>
    <t>mekanikerne til å drive med bilklargjøring.</t>
  </si>
  <si>
    <t>Direkte lønn (0,5 time)</t>
  </si>
  <si>
    <t>Indirekte varialble tilv kostnad (0,5 time)</t>
  </si>
  <si>
    <t>(4t)</t>
  </si>
  <si>
    <t>(2,5t)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</si>
</sst>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Verdana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quotePrefix="1" applyAlignment="1">
      <alignment horizontal="left"/>
    </xf>
    <xf numFmtId="3" fontId="0" fillId="0" borderId="0" xfId="0" applyNumberFormat="1"/>
    <xf numFmtId="0" fontId="0" fillId="0" borderId="0" xfId="0" applyAlignment="1">
      <alignment horizontal="left"/>
    </xf>
    <xf numFmtId="0" fontId="0" fillId="0" borderId="0" xfId="0" quotePrefix="1" applyAlignment="1">
      <alignment horizontal="right"/>
    </xf>
    <xf numFmtId="0" fontId="2" fillId="0" borderId="0" xfId="0" applyFont="1"/>
    <xf numFmtId="3" fontId="2" fillId="0" borderId="0" xfId="0" applyNumberFormat="1" applyFont="1"/>
    <xf numFmtId="1" fontId="0" fillId="0" borderId="0" xfId="0" applyNumberFormat="1"/>
    <xf numFmtId="16" fontId="0" fillId="0" borderId="0" xfId="0" applyNumberFormat="1"/>
    <xf numFmtId="1" fontId="2" fillId="0" borderId="0" xfId="0" applyNumberFormat="1" applyFont="1"/>
    <xf numFmtId="0" fontId="2" fillId="0" borderId="0" xfId="0" quotePrefix="1" applyFont="1" applyAlignment="1">
      <alignment horizontal="left"/>
    </xf>
    <xf numFmtId="2" fontId="0" fillId="0" borderId="0" xfId="0" applyNumberFormat="1"/>
    <xf numFmtId="4" fontId="0" fillId="0" borderId="0" xfId="0" applyNumberFormat="1"/>
    <xf numFmtId="2" fontId="2" fillId="0" borderId="0" xfId="0" applyNumberFormat="1" applyFont="1"/>
    <xf numFmtId="3" fontId="0" fillId="0" borderId="0" xfId="0" quotePrefix="1" applyNumberFormat="1" applyAlignment="1">
      <alignment horizontal="left"/>
    </xf>
    <xf numFmtId="0" fontId="2" fillId="0" borderId="1" xfId="0" applyFont="1" applyBorder="1"/>
    <xf numFmtId="0" fontId="0" fillId="0" borderId="1" xfId="0" applyBorder="1"/>
    <xf numFmtId="3" fontId="2" fillId="0" borderId="1" xfId="0" applyNumberFormat="1" applyFont="1" applyBorder="1"/>
    <xf numFmtId="3" fontId="0" fillId="0" borderId="1" xfId="0" applyNumberFormat="1" applyBorder="1"/>
    <xf numFmtId="0" fontId="0" fillId="0" borderId="0" xfId="0" applyAlignment="1">
      <alignment horizontal="center"/>
    </xf>
    <xf numFmtId="0" fontId="4" fillId="0" borderId="0" xfId="0" quotePrefix="1" applyFont="1" applyAlignment="1">
      <alignment horizontal="left"/>
    </xf>
    <xf numFmtId="0" fontId="5" fillId="0" borderId="0" xfId="0" applyFont="1"/>
    <xf numFmtId="16" fontId="0" fillId="0" borderId="0" xfId="0" quotePrefix="1" applyNumberFormat="1" applyAlignment="1">
      <alignment horizontal="left"/>
    </xf>
    <xf numFmtId="0" fontId="0" fillId="0" borderId="0" xfId="0" applyAlignment="1">
      <alignment vertic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0" fillId="0" borderId="2" xfId="0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3" fontId="6" fillId="0" borderId="3" xfId="0" applyNumberFormat="1" applyFont="1" applyBorder="1" applyAlignment="1">
      <alignment horizontal="right" vertical="center" wrapText="1"/>
    </xf>
    <xf numFmtId="0" fontId="0" fillId="0" borderId="4" xfId="0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0" fillId="0" borderId="5" xfId="0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3" fontId="6" fillId="0" borderId="5" xfId="0" applyNumberFormat="1" applyFont="1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4"/>
  <sheetViews>
    <sheetView workbookViewId="0">
      <selection activeCell="H12" sqref="H12"/>
    </sheetView>
  </sheetViews>
  <sheetFormatPr baseColWidth="10" defaultColWidth="9.1640625" defaultRowHeight="15" x14ac:dyDescent="0.2"/>
  <sheetData>
    <row r="1" spans="1:4" x14ac:dyDescent="0.2">
      <c r="A1" t="s">
        <v>242</v>
      </c>
      <c r="D1" s="21">
        <v>27062011</v>
      </c>
    </row>
    <row r="3" spans="1:4" x14ac:dyDescent="0.2">
      <c r="A3" t="s">
        <v>113</v>
      </c>
    </row>
    <row r="5" spans="1:4" x14ac:dyDescent="0.2">
      <c r="A5" t="s">
        <v>243</v>
      </c>
    </row>
    <row r="6" spans="1:4" x14ac:dyDescent="0.2">
      <c r="A6" t="s">
        <v>244</v>
      </c>
    </row>
    <row r="8" spans="1:4" x14ac:dyDescent="0.2">
      <c r="A8" s="1" t="s">
        <v>122</v>
      </c>
    </row>
    <row r="9" spans="1:4" x14ac:dyDescent="0.2">
      <c r="A9" t="s">
        <v>245</v>
      </c>
    </row>
    <row r="11" spans="1:4" x14ac:dyDescent="0.2">
      <c r="A11" t="s">
        <v>246</v>
      </c>
    </row>
    <row r="12" spans="1:4" x14ac:dyDescent="0.2">
      <c r="A12" t="s">
        <v>247</v>
      </c>
    </row>
    <row r="13" spans="1:4" x14ac:dyDescent="0.2">
      <c r="A13" s="1" t="s">
        <v>124</v>
      </c>
    </row>
    <row r="14" spans="1:4" x14ac:dyDescent="0.2">
      <c r="A14" t="s">
        <v>123</v>
      </c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27"/>
  <sheetViews>
    <sheetView topLeftCell="A13" workbookViewId="0">
      <selection activeCell="I27" sqref="I27"/>
    </sheetView>
  </sheetViews>
  <sheetFormatPr baseColWidth="10" defaultRowHeight="15" x14ac:dyDescent="0.2"/>
  <cols>
    <col min="1" max="1" width="20.1640625" customWidth="1"/>
    <col min="2" max="2" width="30.5" customWidth="1"/>
  </cols>
  <sheetData>
    <row r="1" spans="1:2" x14ac:dyDescent="0.2">
      <c r="A1" t="s">
        <v>307</v>
      </c>
    </row>
    <row r="3" spans="1:2" x14ac:dyDescent="0.2">
      <c r="A3" t="s">
        <v>292</v>
      </c>
    </row>
    <row r="4" spans="1:2" x14ac:dyDescent="0.2">
      <c r="A4" t="s">
        <v>308</v>
      </c>
    </row>
    <row r="5" spans="1:2" x14ac:dyDescent="0.2">
      <c r="A5" s="1" t="s">
        <v>310</v>
      </c>
    </row>
    <row r="6" spans="1:2" x14ac:dyDescent="0.2">
      <c r="A6" s="23" t="s">
        <v>309</v>
      </c>
    </row>
    <row r="9" spans="1:2" x14ac:dyDescent="0.2">
      <c r="A9" t="s">
        <v>293</v>
      </c>
    </row>
    <row r="11" spans="1:2" x14ac:dyDescent="0.2">
      <c r="A11" t="s">
        <v>311</v>
      </c>
    </row>
    <row r="12" spans="1:2" x14ac:dyDescent="0.2">
      <c r="A12" s="23" t="s">
        <v>312</v>
      </c>
    </row>
    <row r="14" spans="1:2" ht="16" thickBot="1" x14ac:dyDescent="0.25">
      <c r="A14" s="23"/>
    </row>
    <row r="15" spans="1:2" ht="17" thickBot="1" x14ac:dyDescent="0.25">
      <c r="A15" s="26" t="s">
        <v>249</v>
      </c>
      <c r="B15" s="34">
        <v>300</v>
      </c>
    </row>
    <row r="16" spans="1:2" ht="17" thickBot="1" x14ac:dyDescent="0.25">
      <c r="A16" s="29" t="s">
        <v>313</v>
      </c>
      <c r="B16" s="31">
        <v>350</v>
      </c>
    </row>
    <row r="17" spans="1:2" ht="49" thickBot="1" x14ac:dyDescent="0.25">
      <c r="A17" s="29" t="s">
        <v>314</v>
      </c>
      <c r="B17" s="31">
        <v>800</v>
      </c>
    </row>
    <row r="18" spans="1:2" ht="17" thickBot="1" x14ac:dyDescent="0.25">
      <c r="A18" s="29" t="s">
        <v>315</v>
      </c>
      <c r="B18" s="31">
        <v>1450</v>
      </c>
    </row>
    <row r="20" spans="1:2" x14ac:dyDescent="0.2">
      <c r="A20" s="23" t="s">
        <v>316</v>
      </c>
    </row>
    <row r="23" spans="1:2" x14ac:dyDescent="0.2">
      <c r="A23" t="s">
        <v>297</v>
      </c>
    </row>
    <row r="25" spans="1:2" x14ac:dyDescent="0.2">
      <c r="A25" t="s">
        <v>317</v>
      </c>
    </row>
    <row r="26" spans="1:2" x14ac:dyDescent="0.2">
      <c r="A26" t="s">
        <v>318</v>
      </c>
    </row>
    <row r="27" spans="1:2" x14ac:dyDescent="0.2">
      <c r="A27" s="23" t="s">
        <v>319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83"/>
  <sheetViews>
    <sheetView zoomScale="125" workbookViewId="0">
      <selection activeCell="H13" sqref="H13"/>
    </sheetView>
  </sheetViews>
  <sheetFormatPr baseColWidth="10" defaultColWidth="9.1640625" defaultRowHeight="15" x14ac:dyDescent="0.2"/>
  <cols>
    <col min="1" max="1" width="3.33203125" customWidth="1"/>
    <col min="5" max="5" width="10" bestFit="1" customWidth="1"/>
  </cols>
  <sheetData>
    <row r="1" spans="1:6" x14ac:dyDescent="0.2">
      <c r="A1" s="1" t="s">
        <v>275</v>
      </c>
    </row>
    <row r="2" spans="1:6" x14ac:dyDescent="0.2">
      <c r="B2" t="s">
        <v>176</v>
      </c>
    </row>
    <row r="4" spans="1:6" x14ac:dyDescent="0.2">
      <c r="A4" t="s">
        <v>119</v>
      </c>
      <c r="B4" t="s">
        <v>274</v>
      </c>
    </row>
    <row r="6" spans="1:6" x14ac:dyDescent="0.2">
      <c r="B6" t="s">
        <v>177</v>
      </c>
    </row>
    <row r="8" spans="1:6" x14ac:dyDescent="0.2">
      <c r="B8" t="s">
        <v>178</v>
      </c>
    </row>
    <row r="10" spans="1:6" x14ac:dyDescent="0.2">
      <c r="B10" t="s">
        <v>21</v>
      </c>
      <c r="F10" s="11">
        <f>200/0.9</f>
        <v>222.22222222222223</v>
      </c>
    </row>
    <row r="12" spans="1:6" x14ac:dyDescent="0.2">
      <c r="B12" t="s">
        <v>22</v>
      </c>
    </row>
    <row r="13" spans="1:6" x14ac:dyDescent="0.2">
      <c r="B13" t="s">
        <v>179</v>
      </c>
    </row>
    <row r="14" spans="1:6" x14ac:dyDescent="0.2">
      <c r="B14" t="s">
        <v>180</v>
      </c>
      <c r="C14" s="11">
        <f>222.22*0.8</f>
        <v>177.77600000000001</v>
      </c>
    </row>
    <row r="16" spans="1:6" x14ac:dyDescent="0.2">
      <c r="B16" t="s">
        <v>23</v>
      </c>
    </row>
    <row r="17" spans="1:2" x14ac:dyDescent="0.2">
      <c r="B17" t="s">
        <v>24</v>
      </c>
    </row>
    <row r="20" spans="1:2" x14ac:dyDescent="0.2">
      <c r="A20" t="s">
        <v>120</v>
      </c>
      <c r="B20" t="s">
        <v>25</v>
      </c>
    </row>
    <row r="21" spans="1:2" x14ac:dyDescent="0.2">
      <c r="B21" t="s">
        <v>181</v>
      </c>
    </row>
    <row r="22" spans="1:2" x14ac:dyDescent="0.2">
      <c r="B22" t="s">
        <v>182</v>
      </c>
    </row>
    <row r="23" spans="1:2" x14ac:dyDescent="0.2">
      <c r="B23" t="s">
        <v>26</v>
      </c>
    </row>
    <row r="24" spans="1:2" x14ac:dyDescent="0.2">
      <c r="B24" t="s">
        <v>132</v>
      </c>
    </row>
    <row r="25" spans="1:2" x14ac:dyDescent="0.2">
      <c r="B25" t="s">
        <v>133</v>
      </c>
    </row>
    <row r="27" spans="1:2" x14ac:dyDescent="0.2">
      <c r="B27" t="s">
        <v>134</v>
      </c>
    </row>
    <row r="28" spans="1:2" x14ac:dyDescent="0.2">
      <c r="B28" t="s">
        <v>135</v>
      </c>
    </row>
    <row r="29" spans="1:2" x14ac:dyDescent="0.2">
      <c r="B29" t="s">
        <v>27</v>
      </c>
    </row>
    <row r="32" spans="1:2" x14ac:dyDescent="0.2">
      <c r="B32" t="s">
        <v>136</v>
      </c>
    </row>
    <row r="33" spans="2:6" x14ac:dyDescent="0.2">
      <c r="B33" t="s">
        <v>137</v>
      </c>
    </row>
    <row r="35" spans="2:6" x14ac:dyDescent="0.2">
      <c r="B35" t="s">
        <v>28</v>
      </c>
    </row>
    <row r="36" spans="2:6" x14ac:dyDescent="0.2">
      <c r="B36" s="1" t="s">
        <v>138</v>
      </c>
    </row>
    <row r="37" spans="2:6" x14ac:dyDescent="0.2">
      <c r="B37" s="1" t="s">
        <v>29</v>
      </c>
    </row>
    <row r="38" spans="2:6" x14ac:dyDescent="0.2">
      <c r="B38" t="s">
        <v>30</v>
      </c>
    </row>
    <row r="39" spans="2:6" x14ac:dyDescent="0.2">
      <c r="B39" t="s">
        <v>31</v>
      </c>
    </row>
    <row r="41" spans="2:6" x14ac:dyDescent="0.2">
      <c r="B41" s="3" t="s">
        <v>111</v>
      </c>
    </row>
    <row r="43" spans="2:6" x14ac:dyDescent="0.2">
      <c r="B43" s="1" t="s">
        <v>10</v>
      </c>
      <c r="F43" s="2">
        <f>10000000*5%</f>
        <v>500000</v>
      </c>
    </row>
    <row r="44" spans="2:6" x14ac:dyDescent="0.2">
      <c r="B44" s="1" t="s">
        <v>11</v>
      </c>
      <c r="F44" s="2">
        <v>1000000</v>
      </c>
    </row>
    <row r="45" spans="2:6" x14ac:dyDescent="0.2">
      <c r="B45" s="1" t="s">
        <v>12</v>
      </c>
      <c r="F45" s="2">
        <v>3500000</v>
      </c>
    </row>
    <row r="46" spans="2:6" x14ac:dyDescent="0.2">
      <c r="E46" s="12"/>
    </row>
    <row r="47" spans="2:6" x14ac:dyDescent="0.2">
      <c r="B47" s="1" t="s">
        <v>13</v>
      </c>
    </row>
    <row r="48" spans="2:6" x14ac:dyDescent="0.2">
      <c r="B48" s="3" t="s">
        <v>150</v>
      </c>
    </row>
    <row r="51" spans="2:7" x14ac:dyDescent="0.2">
      <c r="B51" s="20" t="s">
        <v>15</v>
      </c>
      <c r="G51" t="s">
        <v>14</v>
      </c>
    </row>
    <row r="52" spans="2:7" x14ac:dyDescent="0.2">
      <c r="B52" t="s">
        <v>16</v>
      </c>
      <c r="F52" s="5">
        <f>100000/40000</f>
        <v>2.5</v>
      </c>
    </row>
    <row r="54" spans="2:7" x14ac:dyDescent="0.2">
      <c r="B54" s="10" t="s">
        <v>140</v>
      </c>
    </row>
    <row r="55" spans="2:7" x14ac:dyDescent="0.2">
      <c r="B55" t="s">
        <v>17</v>
      </c>
    </row>
    <row r="56" spans="2:7" x14ac:dyDescent="0.2">
      <c r="B56" t="s">
        <v>139</v>
      </c>
      <c r="F56" s="2">
        <f>500000*15%</f>
        <v>75000</v>
      </c>
    </row>
    <row r="57" spans="2:7" x14ac:dyDescent="0.2">
      <c r="B57" t="s">
        <v>18</v>
      </c>
      <c r="F57" s="13">
        <f>75000/40000</f>
        <v>1.875</v>
      </c>
    </row>
    <row r="59" spans="2:7" x14ac:dyDescent="0.2">
      <c r="B59" t="s">
        <v>0</v>
      </c>
    </row>
    <row r="60" spans="2:7" x14ac:dyDescent="0.2">
      <c r="B60" t="s">
        <v>1</v>
      </c>
    </row>
    <row r="61" spans="2:7" x14ac:dyDescent="0.2">
      <c r="B61" t="s">
        <v>2</v>
      </c>
    </row>
    <row r="62" spans="2:7" x14ac:dyDescent="0.2">
      <c r="B62" t="s">
        <v>3</v>
      </c>
      <c r="F62" s="5">
        <f>1250000/40000</f>
        <v>31.25</v>
      </c>
    </row>
    <row r="64" spans="2:7" x14ac:dyDescent="0.2">
      <c r="B64" t="s">
        <v>4</v>
      </c>
    </row>
    <row r="65" spans="2:6" x14ac:dyDescent="0.2">
      <c r="B65" t="s">
        <v>141</v>
      </c>
    </row>
    <row r="66" spans="2:6" x14ac:dyDescent="0.2">
      <c r="B66" t="s">
        <v>142</v>
      </c>
      <c r="F66" s="2">
        <f>0.6*F45</f>
        <v>2100000</v>
      </c>
    </row>
    <row r="67" spans="2:6" x14ac:dyDescent="0.2">
      <c r="B67" s="1" t="s">
        <v>5</v>
      </c>
      <c r="F67" s="6">
        <f>F66/40000</f>
        <v>52.5</v>
      </c>
    </row>
    <row r="70" spans="2:6" x14ac:dyDescent="0.2">
      <c r="B70" t="s">
        <v>269</v>
      </c>
    </row>
    <row r="72" spans="2:6" x14ac:dyDescent="0.2">
      <c r="B72" t="s">
        <v>249</v>
      </c>
      <c r="E72">
        <v>50</v>
      </c>
    </row>
    <row r="73" spans="2:6" x14ac:dyDescent="0.2">
      <c r="B73" t="s">
        <v>250</v>
      </c>
      <c r="E73">
        <v>60</v>
      </c>
    </row>
    <row r="74" spans="2:6" x14ac:dyDescent="0.2">
      <c r="B74" t="s">
        <v>146</v>
      </c>
      <c r="E74">
        <v>150</v>
      </c>
    </row>
    <row r="75" spans="2:6" x14ac:dyDescent="0.2">
      <c r="B75" t="s">
        <v>148</v>
      </c>
      <c r="E75" s="11">
        <f>C14</f>
        <v>177.77600000000001</v>
      </c>
    </row>
    <row r="76" spans="2:6" x14ac:dyDescent="0.2">
      <c r="B76" t="s">
        <v>251</v>
      </c>
      <c r="E76" s="11">
        <v>100</v>
      </c>
    </row>
    <row r="77" spans="2:6" x14ac:dyDescent="0.2">
      <c r="B77" s="1" t="s">
        <v>147</v>
      </c>
      <c r="E77">
        <f>F52</f>
        <v>2.5</v>
      </c>
    </row>
    <row r="78" spans="2:6" x14ac:dyDescent="0.2">
      <c r="B78" t="s">
        <v>143</v>
      </c>
      <c r="E78">
        <v>1.88</v>
      </c>
    </row>
    <row r="79" spans="2:6" x14ac:dyDescent="0.2">
      <c r="B79" t="s">
        <v>144</v>
      </c>
      <c r="E79">
        <f>F62</f>
        <v>31.25</v>
      </c>
    </row>
    <row r="80" spans="2:6" x14ac:dyDescent="0.2">
      <c r="B80" t="s">
        <v>145</v>
      </c>
      <c r="E80" s="2">
        <f>F67</f>
        <v>52.5</v>
      </c>
    </row>
    <row r="81" spans="2:5" x14ac:dyDescent="0.2">
      <c r="B81" t="s">
        <v>149</v>
      </c>
      <c r="E81" s="7">
        <f>SUM(E72:E80)</f>
        <v>625.90600000000006</v>
      </c>
    </row>
    <row r="83" spans="2:5" x14ac:dyDescent="0.2">
      <c r="B83" s="1" t="s">
        <v>6</v>
      </c>
    </row>
  </sheetData>
  <phoneticPr fontId="3" type="noConversion"/>
  <pageMargins left="0.7" right="0.7" top="0.75" bottom="0.75" header="0.3" footer="0.3"/>
  <pageSetup paperSize="9" orientation="portrait" horizontalDpi="4294967293" verticalDpi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7"/>
  <sheetViews>
    <sheetView workbookViewId="0">
      <selection activeCell="H17" sqref="H17"/>
    </sheetView>
  </sheetViews>
  <sheetFormatPr baseColWidth="10" defaultColWidth="9.1640625" defaultRowHeight="15" x14ac:dyDescent="0.2"/>
  <sheetData>
    <row r="1" spans="1:5" x14ac:dyDescent="0.2">
      <c r="A1" s="22" t="s">
        <v>320</v>
      </c>
    </row>
    <row r="3" spans="1:5" x14ac:dyDescent="0.2">
      <c r="A3" t="s">
        <v>152</v>
      </c>
    </row>
    <row r="5" spans="1:5" x14ac:dyDescent="0.2">
      <c r="A5" t="s">
        <v>153</v>
      </c>
    </row>
    <row r="6" spans="1:5" x14ac:dyDescent="0.2">
      <c r="A6" t="s">
        <v>8</v>
      </c>
    </row>
    <row r="7" spans="1:5" x14ac:dyDescent="0.2">
      <c r="A7" t="s">
        <v>7</v>
      </c>
    </row>
    <row r="9" spans="1:5" x14ac:dyDescent="0.2">
      <c r="A9" t="s">
        <v>154</v>
      </c>
    </row>
    <row r="11" spans="1:5" x14ac:dyDescent="0.2">
      <c r="A11" t="s">
        <v>249</v>
      </c>
      <c r="E11">
        <v>25</v>
      </c>
    </row>
    <row r="12" spans="1:5" x14ac:dyDescent="0.2">
      <c r="A12" t="s">
        <v>250</v>
      </c>
      <c r="E12">
        <v>50</v>
      </c>
    </row>
    <row r="13" spans="1:5" x14ac:dyDescent="0.2">
      <c r="A13" s="1" t="s">
        <v>155</v>
      </c>
      <c r="E13">
        <v>50</v>
      </c>
    </row>
    <row r="14" spans="1:5" x14ac:dyDescent="0.2">
      <c r="A14" s="16" t="s">
        <v>165</v>
      </c>
      <c r="B14" s="16"/>
      <c r="C14" s="16"/>
      <c r="D14" s="16"/>
      <c r="E14" s="16">
        <f>SUM(E11:E13)</f>
        <v>125</v>
      </c>
    </row>
    <row r="16" spans="1:5" x14ac:dyDescent="0.2">
      <c r="A16" t="s">
        <v>9</v>
      </c>
    </row>
    <row r="17" spans="1:1" x14ac:dyDescent="0.2">
      <c r="A17" t="s">
        <v>156</v>
      </c>
    </row>
  </sheetData>
  <phoneticPr fontId="3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18"/>
  <sheetViews>
    <sheetView workbookViewId="0">
      <selection activeCell="M28" sqref="M28"/>
    </sheetView>
  </sheetViews>
  <sheetFormatPr baseColWidth="10" defaultRowHeight="15" x14ac:dyDescent="0.2"/>
  <sheetData>
    <row r="1" spans="1:1" x14ac:dyDescent="0.2">
      <c r="A1" t="s">
        <v>321</v>
      </c>
    </row>
    <row r="3" spans="1:1" x14ac:dyDescent="0.2">
      <c r="A3" t="s">
        <v>292</v>
      </c>
    </row>
    <row r="5" spans="1:1" x14ac:dyDescent="0.2">
      <c r="A5" s="1" t="s">
        <v>322</v>
      </c>
    </row>
    <row r="6" spans="1:1" x14ac:dyDescent="0.2">
      <c r="A6" t="s">
        <v>323</v>
      </c>
    </row>
    <row r="7" spans="1:1" x14ac:dyDescent="0.2">
      <c r="A7" t="s">
        <v>324</v>
      </c>
    </row>
    <row r="9" spans="1:1" x14ac:dyDescent="0.2">
      <c r="A9" t="s">
        <v>293</v>
      </c>
    </row>
    <row r="11" spans="1:1" x14ac:dyDescent="0.2">
      <c r="A11" t="s">
        <v>325</v>
      </c>
    </row>
    <row r="12" spans="1:1" x14ac:dyDescent="0.2">
      <c r="A12" t="s">
        <v>326</v>
      </c>
    </row>
    <row r="14" spans="1:1" x14ac:dyDescent="0.2">
      <c r="A14" t="s">
        <v>327</v>
      </c>
    </row>
    <row r="16" spans="1:1" x14ac:dyDescent="0.2">
      <c r="A16" t="s">
        <v>328</v>
      </c>
    </row>
    <row r="17" spans="1:1" x14ac:dyDescent="0.2">
      <c r="A17" t="s">
        <v>329</v>
      </c>
    </row>
    <row r="18" spans="1:1" x14ac:dyDescent="0.2">
      <c r="A18" t="s">
        <v>330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6"/>
  <sheetViews>
    <sheetView topLeftCell="A4" workbookViewId="0">
      <selection activeCell="C36" sqref="C36:C37"/>
    </sheetView>
  </sheetViews>
  <sheetFormatPr baseColWidth="10" defaultColWidth="9.1640625" defaultRowHeight="15" x14ac:dyDescent="0.2"/>
  <sheetData>
    <row r="1" spans="1:5" x14ac:dyDescent="0.2">
      <c r="A1" t="s">
        <v>248</v>
      </c>
    </row>
    <row r="3" spans="1:5" x14ac:dyDescent="0.2">
      <c r="A3" t="s">
        <v>125</v>
      </c>
    </row>
    <row r="5" spans="1:5" x14ac:dyDescent="0.2">
      <c r="A5" t="s">
        <v>249</v>
      </c>
      <c r="D5" s="2">
        <v>500</v>
      </c>
      <c r="E5" s="2"/>
    </row>
    <row r="6" spans="1:5" x14ac:dyDescent="0.2">
      <c r="A6" t="s">
        <v>250</v>
      </c>
      <c r="D6" s="2">
        <v>400</v>
      </c>
      <c r="E6" s="2" t="s">
        <v>253</v>
      </c>
    </row>
    <row r="7" spans="1:5" x14ac:dyDescent="0.2">
      <c r="A7" t="s">
        <v>251</v>
      </c>
      <c r="D7" s="2">
        <v>200</v>
      </c>
      <c r="E7" s="2"/>
    </row>
    <row r="8" spans="1:5" x14ac:dyDescent="0.2">
      <c r="A8" t="s">
        <v>252</v>
      </c>
      <c r="D8" s="2">
        <f>SUM(D5:D7)</f>
        <v>1100</v>
      </c>
      <c r="E8" s="2"/>
    </row>
    <row r="9" spans="1:5" x14ac:dyDescent="0.2">
      <c r="D9" s="2"/>
      <c r="E9" s="2"/>
    </row>
    <row r="10" spans="1:5" x14ac:dyDescent="0.2">
      <c r="A10" t="s">
        <v>112</v>
      </c>
      <c r="D10" s="2">
        <v>10000</v>
      </c>
      <c r="E10" s="2"/>
    </row>
    <row r="11" spans="1:5" x14ac:dyDescent="0.2">
      <c r="A11" t="s">
        <v>127</v>
      </c>
      <c r="D11" s="2">
        <v>1500</v>
      </c>
      <c r="E11" s="2"/>
    </row>
    <row r="12" spans="1:5" x14ac:dyDescent="0.2">
      <c r="D12" s="2"/>
      <c r="E12" s="2"/>
    </row>
    <row r="13" spans="1:5" x14ac:dyDescent="0.2">
      <c r="A13" t="s">
        <v>126</v>
      </c>
      <c r="D13" s="2">
        <v>500000</v>
      </c>
      <c r="E13" s="2"/>
    </row>
    <row r="14" spans="1:5" x14ac:dyDescent="0.2">
      <c r="D14" s="2"/>
      <c r="E14" s="2"/>
    </row>
    <row r="15" spans="1:5" x14ac:dyDescent="0.2">
      <c r="A15" t="s">
        <v>254</v>
      </c>
      <c r="D15" s="2"/>
      <c r="E15" s="2"/>
    </row>
    <row r="16" spans="1:5" x14ac:dyDescent="0.2">
      <c r="D16" s="2"/>
      <c r="E16" s="2"/>
    </row>
    <row r="17" spans="1:5" x14ac:dyDescent="0.2">
      <c r="A17" s="1" t="s">
        <v>128</v>
      </c>
      <c r="D17" s="2"/>
      <c r="E17" s="2">
        <f>D8</f>
        <v>1100</v>
      </c>
    </row>
    <row r="18" spans="1:5" x14ac:dyDescent="0.2">
      <c r="A18" s="1" t="s">
        <v>255</v>
      </c>
      <c r="D18" s="2"/>
      <c r="E18" s="2">
        <f>D11</f>
        <v>1500</v>
      </c>
    </row>
    <row r="19" spans="1:5" x14ac:dyDescent="0.2">
      <c r="A19" t="s">
        <v>129</v>
      </c>
      <c r="D19" s="2"/>
      <c r="E19" s="2">
        <f>D13/D10</f>
        <v>50</v>
      </c>
    </row>
    <row r="20" spans="1:5" x14ac:dyDescent="0.2">
      <c r="A20" s="1" t="s">
        <v>256</v>
      </c>
      <c r="D20" s="2"/>
      <c r="E20" s="2">
        <f>SUM(E17:E19)</f>
        <v>2650</v>
      </c>
    </row>
    <row r="22" spans="1:5" x14ac:dyDescent="0.2">
      <c r="A22" s="1" t="s">
        <v>130</v>
      </c>
    </row>
    <row r="23" spans="1:5" x14ac:dyDescent="0.2">
      <c r="A23" t="s">
        <v>97</v>
      </c>
    </row>
    <row r="25" spans="1:5" x14ac:dyDescent="0.2">
      <c r="A25" t="s">
        <v>131</v>
      </c>
    </row>
    <row r="26" spans="1:5" x14ac:dyDescent="0.2">
      <c r="A26" t="s">
        <v>96</v>
      </c>
    </row>
  </sheetData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0"/>
  <sheetViews>
    <sheetView workbookViewId="0">
      <selection activeCell="B61" sqref="B61"/>
    </sheetView>
  </sheetViews>
  <sheetFormatPr baseColWidth="10" defaultColWidth="9.1640625" defaultRowHeight="15" x14ac:dyDescent="0.2"/>
  <cols>
    <col min="1" max="1" width="3.83203125" customWidth="1"/>
  </cols>
  <sheetData>
    <row r="1" spans="1:7" x14ac:dyDescent="0.2">
      <c r="A1" t="s">
        <v>257</v>
      </c>
    </row>
    <row r="3" spans="1:7" x14ac:dyDescent="0.2">
      <c r="A3" t="s">
        <v>119</v>
      </c>
      <c r="B3" t="s">
        <v>249</v>
      </c>
      <c r="E3" s="2">
        <v>170000</v>
      </c>
    </row>
    <row r="4" spans="1:7" x14ac:dyDescent="0.2">
      <c r="B4" t="s">
        <v>250</v>
      </c>
      <c r="E4" s="2">
        <v>200000</v>
      </c>
      <c r="F4">
        <v>800</v>
      </c>
      <c r="G4" t="s">
        <v>270</v>
      </c>
    </row>
    <row r="5" spans="1:7" x14ac:dyDescent="0.2">
      <c r="B5" t="s">
        <v>258</v>
      </c>
      <c r="E5" s="2">
        <v>150000</v>
      </c>
    </row>
    <row r="6" spans="1:7" x14ac:dyDescent="0.2">
      <c r="B6" t="s">
        <v>259</v>
      </c>
      <c r="E6" s="2">
        <v>52000</v>
      </c>
    </row>
    <row r="7" spans="1:7" x14ac:dyDescent="0.2">
      <c r="B7" t="s">
        <v>260</v>
      </c>
      <c r="E7" s="2">
        <f>SUM(E3:E6)</f>
        <v>572000</v>
      </c>
    </row>
    <row r="10" spans="1:7" x14ac:dyDescent="0.2">
      <c r="B10" t="s">
        <v>261</v>
      </c>
    </row>
    <row r="12" spans="1:7" x14ac:dyDescent="0.2">
      <c r="B12" t="s">
        <v>262</v>
      </c>
    </row>
    <row r="14" spans="1:7" x14ac:dyDescent="0.2">
      <c r="B14" t="s">
        <v>263</v>
      </c>
    </row>
    <row r="16" spans="1:7" x14ac:dyDescent="0.2">
      <c r="B16" t="s">
        <v>264</v>
      </c>
    </row>
    <row r="18" spans="2:2" x14ac:dyDescent="0.2">
      <c r="B18" t="s">
        <v>98</v>
      </c>
    </row>
    <row r="19" spans="2:2" x14ac:dyDescent="0.2">
      <c r="B19" t="s">
        <v>265</v>
      </c>
    </row>
    <row r="20" spans="2:2" x14ac:dyDescent="0.2">
      <c r="B20" t="s">
        <v>266</v>
      </c>
    </row>
    <row r="21" spans="2:2" x14ac:dyDescent="0.2">
      <c r="B21" t="s">
        <v>99</v>
      </c>
    </row>
    <row r="23" spans="2:2" x14ac:dyDescent="0.2">
      <c r="B23" t="s">
        <v>100</v>
      </c>
    </row>
    <row r="25" spans="2:2" x14ac:dyDescent="0.2">
      <c r="B25" s="1" t="s">
        <v>103</v>
      </c>
    </row>
    <row r="26" spans="2:2" x14ac:dyDescent="0.2">
      <c r="B26" s="1" t="s">
        <v>102</v>
      </c>
    </row>
    <row r="27" spans="2:2" x14ac:dyDescent="0.2">
      <c r="B27" t="s">
        <v>104</v>
      </c>
    </row>
    <row r="28" spans="2:2" x14ac:dyDescent="0.2">
      <c r="B28" t="s">
        <v>105</v>
      </c>
    </row>
    <row r="29" spans="2:2" x14ac:dyDescent="0.2">
      <c r="B29" s="3" t="s">
        <v>106</v>
      </c>
    </row>
    <row r="30" spans="2:2" x14ac:dyDescent="0.2">
      <c r="B30" s="3" t="s">
        <v>267</v>
      </c>
    </row>
    <row r="31" spans="2:2" x14ac:dyDescent="0.2">
      <c r="B31" t="s">
        <v>268</v>
      </c>
    </row>
    <row r="32" spans="2:2" x14ac:dyDescent="0.2">
      <c r="B32" s="1" t="s">
        <v>101</v>
      </c>
    </row>
    <row r="34" spans="1:5" x14ac:dyDescent="0.2">
      <c r="B34" s="1" t="s">
        <v>107</v>
      </c>
      <c r="D34">
        <v>75</v>
      </c>
    </row>
    <row r="36" spans="1:5" x14ac:dyDescent="0.2">
      <c r="B36" t="s">
        <v>269</v>
      </c>
    </row>
    <row r="38" spans="1:5" x14ac:dyDescent="0.2">
      <c r="B38" t="s">
        <v>249</v>
      </c>
      <c r="E38" s="2">
        <f>E3</f>
        <v>170000</v>
      </c>
    </row>
    <row r="39" spans="1:5" x14ac:dyDescent="0.2">
      <c r="B39" t="s">
        <v>250</v>
      </c>
      <c r="E39" s="2">
        <f>E4</f>
        <v>200000</v>
      </c>
    </row>
    <row r="40" spans="1:5" x14ac:dyDescent="0.2">
      <c r="B40" t="s">
        <v>251</v>
      </c>
      <c r="E40" s="2">
        <f>F4*D34</f>
        <v>60000</v>
      </c>
    </row>
    <row r="41" spans="1:5" x14ac:dyDescent="0.2">
      <c r="B41" t="s">
        <v>271</v>
      </c>
      <c r="E41" s="2">
        <f>SUM(E38:E40)</f>
        <v>430000</v>
      </c>
    </row>
    <row r="43" spans="1:5" x14ac:dyDescent="0.2">
      <c r="B43" t="s">
        <v>108</v>
      </c>
    </row>
    <row r="44" spans="1:5" x14ac:dyDescent="0.2">
      <c r="B44" t="s">
        <v>109</v>
      </c>
    </row>
    <row r="47" spans="1:5" x14ac:dyDescent="0.2">
      <c r="A47" t="s">
        <v>120</v>
      </c>
      <c r="B47" s="1" t="s">
        <v>79</v>
      </c>
    </row>
    <row r="48" spans="1:5" x14ac:dyDescent="0.2">
      <c r="B48" s="1" t="s">
        <v>78</v>
      </c>
    </row>
    <row r="49" spans="1:5" x14ac:dyDescent="0.2">
      <c r="B49" t="s">
        <v>80</v>
      </c>
    </row>
    <row r="50" spans="1:5" x14ac:dyDescent="0.2">
      <c r="B50" t="s">
        <v>81</v>
      </c>
      <c r="E50" t="s">
        <v>272</v>
      </c>
    </row>
    <row r="53" spans="1:5" x14ac:dyDescent="0.2">
      <c r="A53" t="s">
        <v>121</v>
      </c>
      <c r="B53" t="s">
        <v>209</v>
      </c>
    </row>
    <row r="55" spans="1:5" x14ac:dyDescent="0.2">
      <c r="B55" t="s">
        <v>82</v>
      </c>
    </row>
    <row r="56" spans="1:5" x14ac:dyDescent="0.2">
      <c r="B56" t="s">
        <v>83</v>
      </c>
    </row>
    <row r="57" spans="1:5" x14ac:dyDescent="0.2">
      <c r="B57" t="s">
        <v>84</v>
      </c>
    </row>
    <row r="58" spans="1:5" x14ac:dyDescent="0.2">
      <c r="B58" t="s">
        <v>210</v>
      </c>
    </row>
    <row r="59" spans="1:5" x14ac:dyDescent="0.2">
      <c r="B59" t="s">
        <v>85</v>
      </c>
    </row>
    <row r="60" spans="1:5" x14ac:dyDescent="0.2">
      <c r="B60" t="s">
        <v>86</v>
      </c>
    </row>
  </sheetData>
  <phoneticPr fontId="3" type="noConversion"/>
  <pageMargins left="0.7" right="0.7" top="0.75" bottom="0.75" header="0.3" footer="0.3"/>
  <pageSetup paperSize="9" orientation="portrait" horizontalDpi="4294967293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1"/>
  <sheetViews>
    <sheetView workbookViewId="0">
      <selection activeCell="D36" sqref="D36"/>
    </sheetView>
  </sheetViews>
  <sheetFormatPr baseColWidth="10" defaultColWidth="9.1640625" defaultRowHeight="15" x14ac:dyDescent="0.2"/>
  <sheetData>
    <row r="1" spans="1:7" x14ac:dyDescent="0.2">
      <c r="A1" t="s">
        <v>211</v>
      </c>
    </row>
    <row r="3" spans="1:7" x14ac:dyDescent="0.2">
      <c r="A3" t="s">
        <v>114</v>
      </c>
    </row>
    <row r="5" spans="1:7" x14ac:dyDescent="0.2">
      <c r="A5" s="1" t="s">
        <v>212</v>
      </c>
    </row>
    <row r="6" spans="1:7" x14ac:dyDescent="0.2">
      <c r="A6" t="s">
        <v>87</v>
      </c>
    </row>
    <row r="7" spans="1:7" x14ac:dyDescent="0.2">
      <c r="C7" s="1"/>
    </row>
    <row r="8" spans="1:7" x14ac:dyDescent="0.2">
      <c r="E8" s="19" t="s">
        <v>214</v>
      </c>
      <c r="F8" s="19" t="s">
        <v>215</v>
      </c>
      <c r="G8" s="19" t="s">
        <v>216</v>
      </c>
    </row>
    <row r="9" spans="1:7" x14ac:dyDescent="0.2">
      <c r="A9" t="s">
        <v>213</v>
      </c>
      <c r="E9">
        <v>450</v>
      </c>
      <c r="F9">
        <v>645</v>
      </c>
      <c r="G9">
        <v>620</v>
      </c>
    </row>
    <row r="10" spans="1:7" x14ac:dyDescent="0.2">
      <c r="A10" s="1" t="s">
        <v>217</v>
      </c>
      <c r="E10">
        <v>1</v>
      </c>
      <c r="F10">
        <v>0.5</v>
      </c>
      <c r="G10">
        <v>2</v>
      </c>
    </row>
    <row r="12" spans="1:7" x14ac:dyDescent="0.2">
      <c r="A12" t="s">
        <v>88</v>
      </c>
      <c r="E12">
        <f>E9/E10</f>
        <v>450</v>
      </c>
      <c r="F12">
        <f>F9/F10</f>
        <v>1290</v>
      </c>
      <c r="G12">
        <f>G9/G10</f>
        <v>310</v>
      </c>
    </row>
    <row r="14" spans="1:7" x14ac:dyDescent="0.2">
      <c r="A14" t="s">
        <v>218</v>
      </c>
    </row>
    <row r="16" spans="1:7" x14ac:dyDescent="0.2">
      <c r="A16" t="s">
        <v>219</v>
      </c>
    </row>
    <row r="17" spans="1:7" x14ac:dyDescent="0.2">
      <c r="A17" t="s">
        <v>89</v>
      </c>
    </row>
    <row r="18" spans="1:7" x14ac:dyDescent="0.2">
      <c r="E18" s="19" t="s">
        <v>214</v>
      </c>
      <c r="F18" s="19" t="s">
        <v>215</v>
      </c>
      <c r="G18" s="19" t="s">
        <v>216</v>
      </c>
    </row>
    <row r="19" spans="1:7" x14ac:dyDescent="0.2">
      <c r="A19" t="s">
        <v>220</v>
      </c>
      <c r="E19" s="2">
        <v>2250</v>
      </c>
      <c r="F19" s="2">
        <v>3225</v>
      </c>
      <c r="G19" s="2">
        <v>3100</v>
      </c>
    </row>
    <row r="20" spans="1:7" x14ac:dyDescent="0.2">
      <c r="A20" t="s">
        <v>213</v>
      </c>
      <c r="E20" s="2">
        <f>F12*E10</f>
        <v>1290</v>
      </c>
      <c r="F20" s="2">
        <f>F12*F10</f>
        <v>645</v>
      </c>
      <c r="G20" s="2">
        <f>F12*G10</f>
        <v>2580</v>
      </c>
    </row>
    <row r="21" spans="1:7" x14ac:dyDescent="0.2">
      <c r="A21" t="s">
        <v>221</v>
      </c>
      <c r="E21" s="2">
        <f>SUM(E19:E20)</f>
        <v>3540</v>
      </c>
      <c r="F21" s="2">
        <f>SUM(F19:F20)</f>
        <v>3870</v>
      </c>
      <c r="G21" s="2">
        <f>SUM(G19:G20)</f>
        <v>5680</v>
      </c>
    </row>
  </sheetData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62"/>
  <sheetViews>
    <sheetView zoomScale="125" workbookViewId="0">
      <selection activeCell="H20" sqref="H20"/>
    </sheetView>
  </sheetViews>
  <sheetFormatPr baseColWidth="10" defaultColWidth="9.1640625" defaultRowHeight="15" x14ac:dyDescent="0.2"/>
  <cols>
    <col min="1" max="1" width="3.5" customWidth="1"/>
  </cols>
  <sheetData>
    <row r="1" spans="1:6" x14ac:dyDescent="0.2">
      <c r="A1" s="22" t="s">
        <v>222</v>
      </c>
    </row>
    <row r="2" spans="1:6" x14ac:dyDescent="0.2">
      <c r="B2" s="8"/>
    </row>
    <row r="3" spans="1:6" x14ac:dyDescent="0.2">
      <c r="B3" t="s">
        <v>117</v>
      </c>
    </row>
    <row r="5" spans="1:6" x14ac:dyDescent="0.2">
      <c r="B5" t="s">
        <v>191</v>
      </c>
    </row>
    <row r="7" spans="1:6" x14ac:dyDescent="0.2">
      <c r="B7" t="s">
        <v>249</v>
      </c>
      <c r="F7">
        <v>150</v>
      </c>
    </row>
    <row r="8" spans="1:6" x14ac:dyDescent="0.2">
      <c r="B8" t="s">
        <v>250</v>
      </c>
      <c r="F8">
        <v>75</v>
      </c>
    </row>
    <row r="9" spans="1:6" x14ac:dyDescent="0.2">
      <c r="B9" t="s">
        <v>231</v>
      </c>
      <c r="F9">
        <v>150</v>
      </c>
    </row>
    <row r="10" spans="1:6" x14ac:dyDescent="0.2">
      <c r="B10" t="s">
        <v>192</v>
      </c>
      <c r="F10">
        <f>SUM(F7:F9)</f>
        <v>375</v>
      </c>
    </row>
    <row r="11" spans="1:6" x14ac:dyDescent="0.2">
      <c r="B11" t="s">
        <v>260</v>
      </c>
      <c r="F11">
        <v>775</v>
      </c>
    </row>
    <row r="12" spans="1:6" x14ac:dyDescent="0.2">
      <c r="B12" t="s">
        <v>213</v>
      </c>
      <c r="F12">
        <f>F11-F10</f>
        <v>400</v>
      </c>
    </row>
    <row r="14" spans="1:6" x14ac:dyDescent="0.2">
      <c r="A14" t="s">
        <v>119</v>
      </c>
      <c r="B14" t="s">
        <v>193</v>
      </c>
    </row>
    <row r="15" spans="1:6" x14ac:dyDescent="0.2">
      <c r="B15" t="s">
        <v>194</v>
      </c>
    </row>
    <row r="19" spans="2:7" x14ac:dyDescent="0.2">
      <c r="B19" t="s">
        <v>71</v>
      </c>
    </row>
    <row r="21" spans="2:7" x14ac:dyDescent="0.2">
      <c r="B21" t="s">
        <v>72</v>
      </c>
      <c r="G21" s="2">
        <f>15000*150</f>
        <v>2250000</v>
      </c>
    </row>
    <row r="22" spans="2:7" x14ac:dyDescent="0.2">
      <c r="G22" s="2"/>
    </row>
    <row r="23" spans="2:7" x14ac:dyDescent="0.2">
      <c r="B23" t="s">
        <v>195</v>
      </c>
      <c r="G23" s="2"/>
    </row>
    <row r="24" spans="2:7" x14ac:dyDescent="0.2">
      <c r="G24" s="2"/>
    </row>
    <row r="25" spans="2:7" x14ac:dyDescent="0.2">
      <c r="B25" s="1" t="s">
        <v>73</v>
      </c>
      <c r="G25" s="2">
        <f>G21/2</f>
        <v>1125000</v>
      </c>
    </row>
    <row r="26" spans="2:7" x14ac:dyDescent="0.2">
      <c r="G26" s="2"/>
    </row>
    <row r="27" spans="2:7" x14ac:dyDescent="0.2">
      <c r="G27" s="2"/>
    </row>
    <row r="28" spans="2:7" x14ac:dyDescent="0.2">
      <c r="B28" t="s">
        <v>196</v>
      </c>
      <c r="G28" s="2"/>
    </row>
    <row r="29" spans="2:7" x14ac:dyDescent="0.2">
      <c r="G29" s="2"/>
    </row>
    <row r="30" spans="2:7" x14ac:dyDescent="0.2">
      <c r="B30" t="s">
        <v>74</v>
      </c>
      <c r="G30" s="2">
        <f>15000*50</f>
        <v>750000</v>
      </c>
    </row>
    <row r="31" spans="2:7" x14ac:dyDescent="0.2">
      <c r="G31" s="2"/>
    </row>
    <row r="32" spans="2:7" x14ac:dyDescent="0.2">
      <c r="B32" t="s">
        <v>197</v>
      </c>
      <c r="G32" s="2"/>
    </row>
    <row r="33" spans="1:8" x14ac:dyDescent="0.2">
      <c r="G33" s="2"/>
    </row>
    <row r="34" spans="1:8" x14ac:dyDescent="0.2">
      <c r="B34" t="s">
        <v>198</v>
      </c>
      <c r="G34" s="2">
        <f>G30*10%</f>
        <v>75000</v>
      </c>
    </row>
    <row r="35" spans="1:8" x14ac:dyDescent="0.2">
      <c r="G35" s="2"/>
    </row>
    <row r="36" spans="1:8" x14ac:dyDescent="0.2">
      <c r="G36" s="2"/>
    </row>
    <row r="37" spans="1:8" x14ac:dyDescent="0.2">
      <c r="B37" t="s">
        <v>199</v>
      </c>
      <c r="G37" s="2">
        <f>G25+G34</f>
        <v>1200000</v>
      </c>
      <c r="H37" t="s">
        <v>75</v>
      </c>
    </row>
    <row r="38" spans="1:8" x14ac:dyDescent="0.2">
      <c r="B38" t="s">
        <v>51</v>
      </c>
      <c r="G38" s="2">
        <v>100000</v>
      </c>
      <c r="H38" t="s">
        <v>76</v>
      </c>
    </row>
    <row r="40" spans="1:8" x14ac:dyDescent="0.2">
      <c r="B40" s="1" t="s">
        <v>200</v>
      </c>
    </row>
    <row r="41" spans="1:8" x14ac:dyDescent="0.2">
      <c r="B41" t="s">
        <v>201</v>
      </c>
    </row>
    <row r="43" spans="1:8" x14ac:dyDescent="0.2">
      <c r="B43" t="s">
        <v>77</v>
      </c>
    </row>
    <row r="45" spans="1:8" x14ac:dyDescent="0.2">
      <c r="B45" s="1" t="s">
        <v>47</v>
      </c>
      <c r="D45" s="9">
        <f>G38/F12</f>
        <v>250</v>
      </c>
      <c r="E45" s="10" t="s">
        <v>48</v>
      </c>
    </row>
    <row r="48" spans="1:8" x14ac:dyDescent="0.2">
      <c r="A48" t="s">
        <v>120</v>
      </c>
      <c r="B48" t="s">
        <v>50</v>
      </c>
    </row>
    <row r="49" spans="2:6" x14ac:dyDescent="0.2">
      <c r="B49" t="s">
        <v>49</v>
      </c>
    </row>
    <row r="52" spans="2:6" x14ac:dyDescent="0.2">
      <c r="B52" t="s">
        <v>202</v>
      </c>
    </row>
    <row r="54" spans="2:6" x14ac:dyDescent="0.2">
      <c r="B54" t="s">
        <v>52</v>
      </c>
    </row>
    <row r="56" spans="2:6" x14ac:dyDescent="0.2">
      <c r="B56" t="s">
        <v>53</v>
      </c>
    </row>
    <row r="57" spans="2:6" x14ac:dyDescent="0.2">
      <c r="B57" t="s">
        <v>54</v>
      </c>
    </row>
    <row r="58" spans="2:6" x14ac:dyDescent="0.2">
      <c r="B58" t="s">
        <v>55</v>
      </c>
    </row>
    <row r="60" spans="2:6" x14ac:dyDescent="0.2">
      <c r="B60" s="1" t="s">
        <v>204</v>
      </c>
    </row>
    <row r="62" spans="2:6" x14ac:dyDescent="0.2">
      <c r="B62" s="1" t="s">
        <v>56</v>
      </c>
      <c r="E62">
        <f>(G38*2-50000)/F12</f>
        <v>375</v>
      </c>
      <c r="F62" t="s">
        <v>203</v>
      </c>
    </row>
  </sheetData>
  <phoneticPr fontId="3" type="noConversion"/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6"/>
  <sheetViews>
    <sheetView workbookViewId="0">
      <selection activeCell="I8" sqref="I8"/>
    </sheetView>
  </sheetViews>
  <sheetFormatPr baseColWidth="10" defaultColWidth="9.1640625" defaultRowHeight="15" x14ac:dyDescent="0.2"/>
  <cols>
    <col min="1" max="1" width="3.6640625" customWidth="1"/>
  </cols>
  <sheetData>
    <row r="1" spans="1:2" x14ac:dyDescent="0.2">
      <c r="A1" s="1" t="s">
        <v>227</v>
      </c>
    </row>
    <row r="2" spans="1:2" x14ac:dyDescent="0.2">
      <c r="B2" t="s">
        <v>115</v>
      </c>
    </row>
    <row r="4" spans="1:2" x14ac:dyDescent="0.2">
      <c r="A4" t="s">
        <v>119</v>
      </c>
      <c r="B4" t="s">
        <v>90</v>
      </c>
    </row>
    <row r="5" spans="1:2" x14ac:dyDescent="0.2">
      <c r="B5" t="s">
        <v>91</v>
      </c>
    </row>
    <row r="6" spans="1:2" x14ac:dyDescent="0.2">
      <c r="B6" t="s">
        <v>92</v>
      </c>
    </row>
    <row r="8" spans="1:2" x14ac:dyDescent="0.2">
      <c r="B8" t="s">
        <v>93</v>
      </c>
    </row>
    <row r="9" spans="1:2" x14ac:dyDescent="0.2">
      <c r="B9" s="1" t="s">
        <v>110</v>
      </c>
    </row>
    <row r="10" spans="1:2" x14ac:dyDescent="0.2">
      <c r="B10" s="1" t="s">
        <v>223</v>
      </c>
    </row>
    <row r="11" spans="1:2" x14ac:dyDescent="0.2">
      <c r="B11" t="s">
        <v>94</v>
      </c>
    </row>
    <row r="14" spans="1:2" x14ac:dyDescent="0.2">
      <c r="A14" t="s">
        <v>120</v>
      </c>
      <c r="B14" t="s">
        <v>224</v>
      </c>
    </row>
    <row r="15" spans="1:2" x14ac:dyDescent="0.2">
      <c r="B15" t="s">
        <v>225</v>
      </c>
    </row>
    <row r="16" spans="1:2" x14ac:dyDescent="0.2">
      <c r="B16" t="s">
        <v>226</v>
      </c>
    </row>
  </sheetData>
  <phoneticPr fontId="3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61"/>
  <sheetViews>
    <sheetView workbookViewId="0">
      <selection activeCell="I33" sqref="I33"/>
    </sheetView>
  </sheetViews>
  <sheetFormatPr baseColWidth="10" defaultColWidth="9.1640625" defaultRowHeight="15" x14ac:dyDescent="0.2"/>
  <cols>
    <col min="1" max="1" width="3.6640625" customWidth="1"/>
  </cols>
  <sheetData>
    <row r="1" spans="1:7" x14ac:dyDescent="0.2">
      <c r="A1" s="1" t="s">
        <v>190</v>
      </c>
      <c r="D1" t="s">
        <v>116</v>
      </c>
    </row>
    <row r="3" spans="1:7" x14ac:dyDescent="0.2">
      <c r="A3" t="s">
        <v>119</v>
      </c>
      <c r="B3" t="s">
        <v>239</v>
      </c>
      <c r="E3">
        <v>500</v>
      </c>
      <c r="F3" t="s">
        <v>240</v>
      </c>
    </row>
    <row r="5" spans="1:7" x14ac:dyDescent="0.2">
      <c r="B5" t="s">
        <v>228</v>
      </c>
    </row>
    <row r="7" spans="1:7" x14ac:dyDescent="0.2">
      <c r="B7" t="s">
        <v>229</v>
      </c>
    </row>
    <row r="9" spans="1:7" x14ac:dyDescent="0.2">
      <c r="B9" t="s">
        <v>230</v>
      </c>
      <c r="G9">
        <v>100</v>
      </c>
    </row>
    <row r="10" spans="1:7" x14ac:dyDescent="0.2">
      <c r="B10" t="s">
        <v>250</v>
      </c>
      <c r="G10">
        <v>125</v>
      </c>
    </row>
    <row r="11" spans="1:7" x14ac:dyDescent="0.2">
      <c r="B11" t="s">
        <v>231</v>
      </c>
      <c r="G11">
        <f>G10/2</f>
        <v>62.5</v>
      </c>
    </row>
    <row r="12" spans="1:7" x14ac:dyDescent="0.2">
      <c r="B12" t="s">
        <v>232</v>
      </c>
      <c r="G12" s="4">
        <f>1200/2</f>
        <v>600</v>
      </c>
    </row>
    <row r="13" spans="1:7" x14ac:dyDescent="0.2">
      <c r="B13" t="s">
        <v>233</v>
      </c>
      <c r="G13">
        <f>SUM(G9:G12)</f>
        <v>887.5</v>
      </c>
    </row>
    <row r="15" spans="1:7" x14ac:dyDescent="0.2">
      <c r="B15" t="s">
        <v>95</v>
      </c>
    </row>
    <row r="18" spans="1:7" x14ac:dyDescent="0.2">
      <c r="A18" t="s">
        <v>120</v>
      </c>
      <c r="B18" t="s">
        <v>234</v>
      </c>
    </row>
    <row r="20" spans="1:7" x14ac:dyDescent="0.2">
      <c r="B20" t="s">
        <v>235</v>
      </c>
    </row>
    <row r="21" spans="1:7" x14ac:dyDescent="0.2">
      <c r="B21" t="s">
        <v>65</v>
      </c>
    </row>
    <row r="22" spans="1:7" x14ac:dyDescent="0.2">
      <c r="B22" t="s">
        <v>64</v>
      </c>
    </row>
    <row r="24" spans="1:7" x14ac:dyDescent="0.2">
      <c r="B24" t="s">
        <v>230</v>
      </c>
      <c r="G24">
        <f>G9</f>
        <v>100</v>
      </c>
    </row>
    <row r="25" spans="1:7" x14ac:dyDescent="0.2">
      <c r="B25" t="s">
        <v>236</v>
      </c>
      <c r="G25">
        <f>G10</f>
        <v>125</v>
      </c>
    </row>
    <row r="26" spans="1:7" x14ac:dyDescent="0.2">
      <c r="B26" t="s">
        <v>231</v>
      </c>
      <c r="G26">
        <f>G11</f>
        <v>62.5</v>
      </c>
    </row>
    <row r="27" spans="1:7" x14ac:dyDescent="0.2">
      <c r="B27" t="s">
        <v>237</v>
      </c>
      <c r="G27">
        <f>SUM(G24:G26)</f>
        <v>287.5</v>
      </c>
    </row>
    <row r="30" spans="1:7" x14ac:dyDescent="0.2">
      <c r="A30" t="s">
        <v>121</v>
      </c>
      <c r="B30" t="s">
        <v>66</v>
      </c>
    </row>
    <row r="32" spans="1:7" x14ac:dyDescent="0.2">
      <c r="B32" t="s">
        <v>67</v>
      </c>
    </row>
    <row r="34" spans="2:7" x14ac:dyDescent="0.2">
      <c r="B34" t="s">
        <v>238</v>
      </c>
      <c r="G34" s="2">
        <f>1000*E3</f>
        <v>500000</v>
      </c>
    </row>
    <row r="35" spans="2:7" x14ac:dyDescent="0.2">
      <c r="B35" s="1" t="s">
        <v>241</v>
      </c>
      <c r="G35" s="2">
        <f>G34/2</f>
        <v>250000</v>
      </c>
    </row>
    <row r="36" spans="2:7" x14ac:dyDescent="0.2">
      <c r="B36" t="s">
        <v>183</v>
      </c>
      <c r="G36" s="2">
        <f>G35/2</f>
        <v>125000</v>
      </c>
    </row>
    <row r="38" spans="2:7" x14ac:dyDescent="0.2">
      <c r="B38" s="1" t="s">
        <v>185</v>
      </c>
    </row>
    <row r="39" spans="2:7" x14ac:dyDescent="0.2">
      <c r="B39" t="s">
        <v>68</v>
      </c>
    </row>
    <row r="40" spans="2:7" x14ac:dyDescent="0.2">
      <c r="B40" t="s">
        <v>184</v>
      </c>
    </row>
    <row r="42" spans="2:7" x14ac:dyDescent="0.2">
      <c r="B42" t="s">
        <v>69</v>
      </c>
    </row>
    <row r="46" spans="2:7" x14ac:dyDescent="0.2">
      <c r="B46" s="5" t="s">
        <v>260</v>
      </c>
      <c r="C46" s="5"/>
      <c r="D46" s="5"/>
      <c r="E46" s="5"/>
      <c r="F46" s="6">
        <v>3625</v>
      </c>
    </row>
    <row r="47" spans="2:7" x14ac:dyDescent="0.2">
      <c r="B47" t="s">
        <v>249</v>
      </c>
      <c r="F47" s="2">
        <v>500</v>
      </c>
    </row>
    <row r="48" spans="2:7" x14ac:dyDescent="0.2">
      <c r="B48" t="s">
        <v>186</v>
      </c>
      <c r="F48" s="2">
        <v>850</v>
      </c>
    </row>
    <row r="49" spans="2:6" x14ac:dyDescent="0.2">
      <c r="B49" t="s">
        <v>250</v>
      </c>
      <c r="F49" s="2">
        <v>625</v>
      </c>
    </row>
    <row r="50" spans="2:6" x14ac:dyDescent="0.2">
      <c r="B50" t="s">
        <v>187</v>
      </c>
      <c r="F50" s="2">
        <v>500</v>
      </c>
    </row>
    <row r="51" spans="2:6" x14ac:dyDescent="0.2">
      <c r="B51" t="s">
        <v>173</v>
      </c>
      <c r="F51" s="2">
        <v>200</v>
      </c>
    </row>
    <row r="52" spans="2:6" x14ac:dyDescent="0.2">
      <c r="B52" s="5" t="s">
        <v>252</v>
      </c>
      <c r="C52" s="5"/>
      <c r="D52" s="5"/>
      <c r="E52" s="5"/>
      <c r="F52" s="6">
        <f>SUM(F47:F51)</f>
        <v>2675</v>
      </c>
    </row>
    <row r="53" spans="2:6" x14ac:dyDescent="0.2">
      <c r="B53" s="5" t="s">
        <v>213</v>
      </c>
      <c r="C53" s="5"/>
      <c r="D53" s="5"/>
      <c r="E53" s="5"/>
      <c r="F53" s="6">
        <f>F46-F52</f>
        <v>950</v>
      </c>
    </row>
    <row r="56" spans="2:6" x14ac:dyDescent="0.2">
      <c r="B56" s="1" t="s">
        <v>188</v>
      </c>
    </row>
    <row r="58" spans="2:6" x14ac:dyDescent="0.2">
      <c r="B58" s="1" t="s">
        <v>70</v>
      </c>
    </row>
    <row r="60" spans="2:6" x14ac:dyDescent="0.2">
      <c r="B60" s="14" t="s">
        <v>273</v>
      </c>
      <c r="E60" s="7">
        <f>G36*2/F53</f>
        <v>263.15789473684208</v>
      </c>
      <c r="F60" t="s">
        <v>189</v>
      </c>
    </row>
    <row r="61" spans="2:6" x14ac:dyDescent="0.2">
      <c r="F61" t="s">
        <v>151</v>
      </c>
    </row>
  </sheetData>
  <phoneticPr fontId="3" type="noConversion"/>
  <pageMargins left="0.7" right="0.7" top="0.75" bottom="0.75" header="0.3" footer="0.3"/>
  <pageSetup paperSize="9" orientation="portrait" horizontalDpi="4294967293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103"/>
  <sheetViews>
    <sheetView tabSelected="1" zoomScale="200" workbookViewId="0">
      <selection activeCell="F59" sqref="F59"/>
    </sheetView>
  </sheetViews>
  <sheetFormatPr baseColWidth="10" defaultColWidth="9.1640625" defaultRowHeight="15" x14ac:dyDescent="0.2"/>
  <cols>
    <col min="1" max="1" width="3.5" customWidth="1"/>
    <col min="4" max="4" width="15" customWidth="1"/>
  </cols>
  <sheetData>
    <row r="1" spans="1:9" x14ac:dyDescent="0.2">
      <c r="A1" t="s">
        <v>205</v>
      </c>
      <c r="D1" t="s">
        <v>118</v>
      </c>
    </row>
    <row r="3" spans="1:9" x14ac:dyDescent="0.2">
      <c r="A3" t="s">
        <v>119</v>
      </c>
      <c r="B3" t="s">
        <v>57</v>
      </c>
    </row>
    <row r="5" spans="1:9" x14ac:dyDescent="0.2">
      <c r="F5" t="s">
        <v>206</v>
      </c>
      <c r="H5" t="s">
        <v>207</v>
      </c>
    </row>
    <row r="6" spans="1:9" x14ac:dyDescent="0.2">
      <c r="B6" t="s">
        <v>249</v>
      </c>
      <c r="F6" s="2">
        <v>600</v>
      </c>
      <c r="G6" s="2"/>
      <c r="H6" s="2">
        <v>800</v>
      </c>
    </row>
    <row r="7" spans="1:9" x14ac:dyDescent="0.2">
      <c r="B7" t="s">
        <v>250</v>
      </c>
      <c r="F7" s="2">
        <v>1000</v>
      </c>
      <c r="G7" s="2" t="s">
        <v>334</v>
      </c>
      <c r="H7" s="2">
        <v>1600</v>
      </c>
      <c r="I7" t="s">
        <v>333</v>
      </c>
    </row>
    <row r="8" spans="1:9" x14ac:dyDescent="0.2">
      <c r="B8" t="s">
        <v>231</v>
      </c>
      <c r="F8" s="2">
        <v>3400</v>
      </c>
      <c r="G8" s="2" t="str">
        <f>G7</f>
        <v>(2,5t)</v>
      </c>
      <c r="H8" s="2">
        <v>5440</v>
      </c>
      <c r="I8" t="str">
        <f>I7</f>
        <v>(4t)</v>
      </c>
    </row>
    <row r="9" spans="1:9" x14ac:dyDescent="0.2">
      <c r="B9" s="5" t="s">
        <v>252</v>
      </c>
      <c r="F9" s="6">
        <f>SUM(F6:F8)</f>
        <v>5000</v>
      </c>
      <c r="G9" s="2"/>
      <c r="H9" s="6">
        <f>SUM(H6:H8)</f>
        <v>7840</v>
      </c>
    </row>
    <row r="10" spans="1:9" x14ac:dyDescent="0.2">
      <c r="B10" t="s">
        <v>260</v>
      </c>
      <c r="F10" s="2">
        <v>9120</v>
      </c>
      <c r="G10" s="2"/>
      <c r="H10" s="2">
        <v>14112</v>
      </c>
    </row>
    <row r="11" spans="1:9" x14ac:dyDescent="0.2">
      <c r="B11" s="15" t="s">
        <v>213</v>
      </c>
      <c r="C11" s="16"/>
      <c r="D11" s="16"/>
      <c r="E11" s="16"/>
      <c r="F11" s="17">
        <f>F10-F9</f>
        <v>4120</v>
      </c>
      <c r="G11" s="18"/>
      <c r="H11" s="17">
        <f>H10-H9</f>
        <v>6272</v>
      </c>
    </row>
    <row r="13" spans="1:9" x14ac:dyDescent="0.2">
      <c r="B13" s="5" t="s">
        <v>60</v>
      </c>
      <c r="F13" t="s">
        <v>58</v>
      </c>
      <c r="H13" t="s">
        <v>59</v>
      </c>
    </row>
    <row r="14" spans="1:9" x14ac:dyDescent="0.2">
      <c r="F14" s="2">
        <f>F11/2.5</f>
        <v>1648</v>
      </c>
      <c r="G14" s="2"/>
      <c r="H14" s="2">
        <f>H11/4</f>
        <v>1568</v>
      </c>
    </row>
    <row r="16" spans="1:9" x14ac:dyDescent="0.2">
      <c r="G16" t="s">
        <v>61</v>
      </c>
    </row>
    <row r="18" spans="1:5" x14ac:dyDescent="0.2">
      <c r="B18" t="s">
        <v>208</v>
      </c>
    </row>
    <row r="20" spans="1:5" x14ac:dyDescent="0.2">
      <c r="B20" t="s">
        <v>62</v>
      </c>
    </row>
    <row r="22" spans="1:5" x14ac:dyDescent="0.2">
      <c r="B22" t="s">
        <v>157</v>
      </c>
    </row>
    <row r="24" spans="1:5" x14ac:dyDescent="0.2">
      <c r="B24" t="s">
        <v>63</v>
      </c>
      <c r="D24" s="2">
        <f>500*2.5</f>
        <v>1250</v>
      </c>
      <c r="E24" t="s">
        <v>270</v>
      </c>
    </row>
    <row r="26" spans="1:5" x14ac:dyDescent="0.2">
      <c r="B26" t="s">
        <v>32</v>
      </c>
    </row>
    <row r="27" spans="1:5" x14ac:dyDescent="0.2">
      <c r="B27" t="s">
        <v>158</v>
      </c>
      <c r="D27" t="s">
        <v>159</v>
      </c>
    </row>
    <row r="29" spans="1:5" x14ac:dyDescent="0.2">
      <c r="B29" t="s">
        <v>33</v>
      </c>
    </row>
    <row r="32" spans="1:5" x14ac:dyDescent="0.2">
      <c r="A32" t="s">
        <v>120</v>
      </c>
      <c r="B32" t="s">
        <v>34</v>
      </c>
    </row>
    <row r="33" spans="2:6" x14ac:dyDescent="0.2">
      <c r="B33" t="s">
        <v>160</v>
      </c>
    </row>
    <row r="34" spans="2:6" x14ac:dyDescent="0.2">
      <c r="B34" t="s">
        <v>161</v>
      </c>
    </row>
    <row r="36" spans="2:6" x14ac:dyDescent="0.2">
      <c r="B36" t="s">
        <v>35</v>
      </c>
    </row>
    <row r="37" spans="2:6" x14ac:dyDescent="0.2">
      <c r="B37" t="s">
        <v>36</v>
      </c>
    </row>
    <row r="38" spans="2:6" x14ac:dyDescent="0.2">
      <c r="B38" t="s">
        <v>162</v>
      </c>
    </row>
    <row r="40" spans="2:6" x14ac:dyDescent="0.2">
      <c r="B40" t="s">
        <v>163</v>
      </c>
      <c r="D40">
        <f>H14</f>
        <v>1568</v>
      </c>
      <c r="E40" t="s">
        <v>37</v>
      </c>
    </row>
    <row r="42" spans="2:6" x14ac:dyDescent="0.2">
      <c r="B42" t="s">
        <v>164</v>
      </c>
    </row>
    <row r="44" spans="2:6" x14ac:dyDescent="0.2">
      <c r="B44" t="s">
        <v>249</v>
      </c>
      <c r="E44" s="2">
        <v>200</v>
      </c>
    </row>
    <row r="45" spans="2:6" x14ac:dyDescent="0.2">
      <c r="B45" t="s">
        <v>331</v>
      </c>
      <c r="E45" s="2">
        <f>H7/(4*2)</f>
        <v>200</v>
      </c>
    </row>
    <row r="46" spans="2:6" x14ac:dyDescent="0.2">
      <c r="B46" s="1" t="s">
        <v>332</v>
      </c>
      <c r="E46" s="2">
        <f>H8/(4*2)</f>
        <v>680</v>
      </c>
    </row>
    <row r="47" spans="2:6" x14ac:dyDescent="0.2">
      <c r="B47" t="s">
        <v>232</v>
      </c>
      <c r="E47" s="2">
        <f>D40/2</f>
        <v>784</v>
      </c>
      <c r="F47" s="1" t="s">
        <v>38</v>
      </c>
    </row>
    <row r="48" spans="2:6" x14ac:dyDescent="0.2">
      <c r="B48" s="16" t="s">
        <v>165</v>
      </c>
      <c r="C48" s="16"/>
      <c r="D48" s="16"/>
      <c r="E48" s="18">
        <f>SUM(E44:E47)</f>
        <v>1864</v>
      </c>
    </row>
    <row r="50" spans="1:7" x14ac:dyDescent="0.2">
      <c r="B50" t="s">
        <v>39</v>
      </c>
    </row>
    <row r="51" spans="1:7" x14ac:dyDescent="0.2">
      <c r="B51" t="s">
        <v>166</v>
      </c>
    </row>
    <row r="54" spans="1:7" x14ac:dyDescent="0.2">
      <c r="A54" t="s">
        <v>121</v>
      </c>
      <c r="B54" t="s">
        <v>41</v>
      </c>
    </row>
    <row r="56" spans="1:7" x14ac:dyDescent="0.2">
      <c r="B56" t="s">
        <v>167</v>
      </c>
    </row>
    <row r="58" spans="1:7" x14ac:dyDescent="0.2">
      <c r="B58" t="s">
        <v>40</v>
      </c>
      <c r="F58" s="2">
        <f>1000*500</f>
        <v>500000</v>
      </c>
    </row>
    <row r="59" spans="1:7" x14ac:dyDescent="0.2">
      <c r="B59" t="s">
        <v>168</v>
      </c>
      <c r="F59" s="2">
        <f>F58/2</f>
        <v>250000</v>
      </c>
      <c r="G59" t="s">
        <v>174</v>
      </c>
    </row>
    <row r="63" spans="1:7" x14ac:dyDescent="0.2">
      <c r="B63" s="1"/>
    </row>
    <row r="72" spans="2:7" x14ac:dyDescent="0.2">
      <c r="B72" t="s">
        <v>169</v>
      </c>
      <c r="F72" s="2">
        <f>F59</f>
        <v>250000</v>
      </c>
      <c r="G72" t="s">
        <v>76</v>
      </c>
    </row>
    <row r="74" spans="2:7" x14ac:dyDescent="0.2">
      <c r="B74" t="s">
        <v>170</v>
      </c>
    </row>
    <row r="76" spans="2:7" x14ac:dyDescent="0.2">
      <c r="B76" t="s">
        <v>249</v>
      </c>
      <c r="F76" s="2">
        <v>1000</v>
      </c>
    </row>
    <row r="77" spans="2:7" x14ac:dyDescent="0.2">
      <c r="B77" t="s">
        <v>250</v>
      </c>
      <c r="F77" s="2">
        <v>1000</v>
      </c>
    </row>
    <row r="78" spans="2:7" x14ac:dyDescent="0.2">
      <c r="B78" t="s">
        <v>186</v>
      </c>
      <c r="F78" s="2">
        <v>1700</v>
      </c>
    </row>
    <row r="79" spans="2:7" x14ac:dyDescent="0.2">
      <c r="B79" t="s">
        <v>251</v>
      </c>
      <c r="F79" s="2">
        <v>1000</v>
      </c>
    </row>
    <row r="80" spans="2:7" x14ac:dyDescent="0.2">
      <c r="B80" t="s">
        <v>173</v>
      </c>
      <c r="F80" s="2">
        <v>400</v>
      </c>
    </row>
    <row r="81" spans="1:6" x14ac:dyDescent="0.2">
      <c r="B81" s="5" t="s">
        <v>252</v>
      </c>
      <c r="F81" s="6">
        <f>SUM(F76:F80)</f>
        <v>5100</v>
      </c>
    </row>
    <row r="82" spans="1:6" x14ac:dyDescent="0.2">
      <c r="B82" s="5" t="s">
        <v>260</v>
      </c>
      <c r="C82" s="5"/>
      <c r="D82" s="5"/>
      <c r="E82" s="5"/>
      <c r="F82" s="6">
        <v>7000</v>
      </c>
    </row>
    <row r="83" spans="1:6" x14ac:dyDescent="0.2">
      <c r="B83" s="5" t="s">
        <v>213</v>
      </c>
      <c r="C83" s="5"/>
      <c r="D83" s="5"/>
      <c r="E83" s="5"/>
      <c r="F83" s="6">
        <f>F82-F81</f>
        <v>1900</v>
      </c>
    </row>
    <row r="85" spans="1:6" x14ac:dyDescent="0.2">
      <c r="B85" s="5" t="s">
        <v>171</v>
      </c>
    </row>
    <row r="86" spans="1:6" x14ac:dyDescent="0.2">
      <c r="B86" s="10" t="s">
        <v>42</v>
      </c>
    </row>
    <row r="88" spans="1:6" x14ac:dyDescent="0.2">
      <c r="B88" s="10" t="s">
        <v>43</v>
      </c>
      <c r="D88" s="7">
        <f>F72*2/F83</f>
        <v>263.15789473684208</v>
      </c>
    </row>
    <row r="90" spans="1:6" x14ac:dyDescent="0.2">
      <c r="B90" t="s">
        <v>172</v>
      </c>
    </row>
    <row r="91" spans="1:6" x14ac:dyDescent="0.2">
      <c r="B91" t="s">
        <v>19</v>
      </c>
    </row>
    <row r="94" spans="1:6" x14ac:dyDescent="0.2">
      <c r="A94" t="s">
        <v>44</v>
      </c>
    </row>
    <row r="96" spans="1:6" x14ac:dyDescent="0.2">
      <c r="B96" t="s">
        <v>20</v>
      </c>
      <c r="E96" s="2">
        <v>50000</v>
      </c>
    </row>
    <row r="99" spans="2:5" x14ac:dyDescent="0.2">
      <c r="B99" t="s">
        <v>175</v>
      </c>
    </row>
    <row r="101" spans="2:5" x14ac:dyDescent="0.2">
      <c r="B101" t="s">
        <v>45</v>
      </c>
    </row>
    <row r="103" spans="2:5" x14ac:dyDescent="0.2">
      <c r="B103" s="1" t="s">
        <v>46</v>
      </c>
      <c r="E103" s="2">
        <f>(F59*2-E96)/F83</f>
        <v>236.84210526315789</v>
      </c>
    </row>
  </sheetData>
  <phoneticPr fontId="3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53"/>
  <sheetViews>
    <sheetView workbookViewId="0">
      <selection activeCell="E47" sqref="E47"/>
    </sheetView>
  </sheetViews>
  <sheetFormatPr baseColWidth="10" defaultRowHeight="15" x14ac:dyDescent="0.2"/>
  <cols>
    <col min="1" max="1" width="16.83203125" customWidth="1"/>
    <col min="2" max="2" width="18.33203125" customWidth="1"/>
  </cols>
  <sheetData>
    <row r="1" spans="1:3" x14ac:dyDescent="0.2">
      <c r="A1" s="8" t="s">
        <v>281</v>
      </c>
    </row>
    <row r="3" spans="1:3" x14ac:dyDescent="0.2">
      <c r="A3" t="s">
        <v>292</v>
      </c>
    </row>
    <row r="4" spans="1:3" x14ac:dyDescent="0.2">
      <c r="A4" t="s">
        <v>282</v>
      </c>
      <c r="C4" s="2">
        <v>1200</v>
      </c>
    </row>
    <row r="7" spans="1:3" x14ac:dyDescent="0.2">
      <c r="A7" t="s">
        <v>283</v>
      </c>
    </row>
    <row r="9" spans="1:3" x14ac:dyDescent="0.2">
      <c r="A9" t="s">
        <v>249</v>
      </c>
      <c r="C9">
        <v>150</v>
      </c>
    </row>
    <row r="10" spans="1:3" x14ac:dyDescent="0.2">
      <c r="A10" t="s">
        <v>250</v>
      </c>
      <c r="C10">
        <v>175</v>
      </c>
    </row>
    <row r="11" spans="1:3" x14ac:dyDescent="0.2">
      <c r="A11" t="s">
        <v>284</v>
      </c>
      <c r="C11">
        <v>500</v>
      </c>
    </row>
    <row r="12" spans="1:3" x14ac:dyDescent="0.2">
      <c r="A12" t="s">
        <v>285</v>
      </c>
      <c r="C12">
        <f>SUM(C9:C11)</f>
        <v>825</v>
      </c>
    </row>
    <row r="14" spans="1:3" x14ac:dyDescent="0.2">
      <c r="A14" t="s">
        <v>286</v>
      </c>
    </row>
    <row r="15" spans="1:3" x14ac:dyDescent="0.2">
      <c r="A15" t="s">
        <v>287</v>
      </c>
    </row>
    <row r="17" spans="1:4" x14ac:dyDescent="0.2">
      <c r="A17" t="s">
        <v>288</v>
      </c>
    </row>
    <row r="19" spans="1:4" x14ac:dyDescent="0.2">
      <c r="A19" t="s">
        <v>249</v>
      </c>
      <c r="C19">
        <v>150</v>
      </c>
    </row>
    <row r="20" spans="1:4" x14ac:dyDescent="0.2">
      <c r="A20" t="s">
        <v>250</v>
      </c>
      <c r="C20">
        <v>175</v>
      </c>
    </row>
    <row r="21" spans="1:4" x14ac:dyDescent="0.2">
      <c r="A21" t="s">
        <v>289</v>
      </c>
      <c r="C21">
        <v>250</v>
      </c>
      <c r="D21" t="s">
        <v>290</v>
      </c>
    </row>
    <row r="22" spans="1:4" x14ac:dyDescent="0.2">
      <c r="A22" t="s">
        <v>271</v>
      </c>
      <c r="C22">
        <f>SUM(C19:C21)</f>
        <v>575</v>
      </c>
    </row>
    <row r="24" spans="1:4" x14ac:dyDescent="0.2">
      <c r="A24" t="s">
        <v>291</v>
      </c>
      <c r="C24">
        <f>C22</f>
        <v>575</v>
      </c>
    </row>
    <row r="26" spans="1:4" x14ac:dyDescent="0.2">
      <c r="A26" t="s">
        <v>293</v>
      </c>
    </row>
    <row r="27" spans="1:4" x14ac:dyDescent="0.2">
      <c r="A27" t="s">
        <v>294</v>
      </c>
    </row>
    <row r="28" spans="1:4" x14ac:dyDescent="0.2">
      <c r="A28" t="s">
        <v>295</v>
      </c>
    </row>
    <row r="29" spans="1:4" x14ac:dyDescent="0.2">
      <c r="A29" s="23" t="s">
        <v>296</v>
      </c>
    </row>
    <row r="31" spans="1:4" x14ac:dyDescent="0.2">
      <c r="A31" s="23" t="s">
        <v>276</v>
      </c>
    </row>
    <row r="33" spans="1:2" x14ac:dyDescent="0.2">
      <c r="A33" s="23" t="s">
        <v>297</v>
      </c>
    </row>
    <row r="34" spans="1:2" x14ac:dyDescent="0.2">
      <c r="A34" s="1" t="s">
        <v>298</v>
      </c>
    </row>
    <row r="35" spans="1:2" x14ac:dyDescent="0.2">
      <c r="A35" t="s">
        <v>299</v>
      </c>
    </row>
    <row r="36" spans="1:2" x14ac:dyDescent="0.2">
      <c r="A36" t="s">
        <v>300</v>
      </c>
    </row>
    <row r="37" spans="1:2" x14ac:dyDescent="0.2">
      <c r="A37" s="23" t="s">
        <v>301</v>
      </c>
    </row>
    <row r="39" spans="1:2" ht="17" x14ac:dyDescent="0.2">
      <c r="A39" t="s">
        <v>302</v>
      </c>
    </row>
    <row r="40" spans="1:2" x14ac:dyDescent="0.2">
      <c r="A40" t="s">
        <v>303</v>
      </c>
    </row>
    <row r="41" spans="1:2" x14ac:dyDescent="0.2">
      <c r="A41" s="23" t="s">
        <v>304</v>
      </c>
    </row>
    <row r="43" spans="1:2" ht="17" x14ac:dyDescent="0.2">
      <c r="A43" s="24" t="s">
        <v>305</v>
      </c>
    </row>
    <row r="44" spans="1:2" x14ac:dyDescent="0.2">
      <c r="A44" s="23" t="s">
        <v>306</v>
      </c>
    </row>
    <row r="46" spans="1:2" ht="17" x14ac:dyDescent="0.2">
      <c r="A46" s="25" t="s">
        <v>277</v>
      </c>
    </row>
    <row r="47" spans="1:2" ht="16" thickBot="1" x14ac:dyDescent="0.25"/>
    <row r="48" spans="1:2" ht="17" thickBot="1" x14ac:dyDescent="0.25">
      <c r="A48" s="27" t="s">
        <v>249</v>
      </c>
      <c r="B48" s="28">
        <v>2100</v>
      </c>
    </row>
    <row r="49" spans="1:2" ht="17" thickBot="1" x14ac:dyDescent="0.25">
      <c r="A49" s="30" t="s">
        <v>250</v>
      </c>
      <c r="B49" s="32">
        <v>700</v>
      </c>
    </row>
    <row r="50" spans="1:2" ht="49" thickBot="1" x14ac:dyDescent="0.25">
      <c r="A50" s="30" t="s">
        <v>278</v>
      </c>
      <c r="B50" s="32">
        <v>840</v>
      </c>
    </row>
    <row r="51" spans="1:2" ht="17" thickBot="1" x14ac:dyDescent="0.25">
      <c r="A51" s="30" t="s">
        <v>279</v>
      </c>
      <c r="B51" s="32" t="s">
        <v>280</v>
      </c>
    </row>
    <row r="52" spans="1:2" ht="17" thickBot="1" x14ac:dyDescent="0.25">
      <c r="A52" s="30" t="s">
        <v>260</v>
      </c>
      <c r="B52" s="33">
        <v>7500</v>
      </c>
    </row>
    <row r="53" spans="1:2" ht="17" thickBot="1" x14ac:dyDescent="0.25">
      <c r="A53" s="30" t="s">
        <v>213</v>
      </c>
      <c r="B53" s="33">
        <v>3860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13</vt:i4>
      </vt:variant>
    </vt:vector>
  </HeadingPairs>
  <TitlesOfParts>
    <vt:vector size="13" baseType="lpstr">
      <vt:lpstr>9.1</vt:lpstr>
      <vt:lpstr>9.2</vt:lpstr>
      <vt:lpstr>9.3</vt:lpstr>
      <vt:lpstr>9.4</vt:lpstr>
      <vt:lpstr>9.5</vt:lpstr>
      <vt:lpstr>9.6</vt:lpstr>
      <vt:lpstr>9.7</vt:lpstr>
      <vt:lpstr>9.8</vt:lpstr>
      <vt:lpstr>9.9</vt:lpstr>
      <vt:lpstr>9.10</vt:lpstr>
      <vt:lpstr>9.11</vt:lpstr>
      <vt:lpstr>9.12</vt:lpstr>
      <vt:lpstr>9.13</vt:lpstr>
    </vt:vector>
  </TitlesOfParts>
  <Company>HIBU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BjornS</dc:creator>
  <cp:lastModifiedBy>Trond Winther</cp:lastModifiedBy>
  <dcterms:created xsi:type="dcterms:W3CDTF">2010-10-20T20:38:16Z</dcterms:created>
  <dcterms:modified xsi:type="dcterms:W3CDTF">2020-04-26T19:48:14Z</dcterms:modified>
</cp:coreProperties>
</file>