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rw\Google Drive\Bokprosjekt\Driftsregnskap og budsjettering\Fasit\"/>
    </mc:Choice>
  </mc:AlternateContent>
  <xr:revisionPtr revIDLastSave="0" documentId="8_{190FD89F-E358-40D7-A881-A26E991B555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4.1" sheetId="20" r:id="rId1"/>
    <sheet name="4.2" sheetId="21" r:id="rId2"/>
    <sheet name="4.3" sheetId="3" r:id="rId3"/>
    <sheet name="4.4" sheetId="4" r:id="rId4"/>
    <sheet name="4.5" sheetId="24" r:id="rId5"/>
    <sheet name="4.6" sheetId="25" r:id="rId6"/>
    <sheet name="4.7 " sheetId="6" r:id="rId7"/>
    <sheet name="4.8" sheetId="7" r:id="rId8"/>
    <sheet name="4.9" sheetId="5" r:id="rId9"/>
    <sheet name="4.10" sheetId="8" r:id="rId10"/>
    <sheet name="4.11 med korrekt opgavetekst" sheetId="10" r:id="rId11"/>
    <sheet name="4.12" sheetId="12" r:id="rId12"/>
    <sheet name="4.13" sheetId="17" r:id="rId13"/>
    <sheet name="4.14" sheetId="18" r:id="rId14"/>
    <sheet name="4.15" sheetId="14" r:id="rId15"/>
    <sheet name="4.16" sheetId="15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9" i="5" l="1"/>
  <c r="D105" i="10" l="1"/>
  <c r="C69" i="10" l="1"/>
  <c r="G95" i="15" l="1"/>
  <c r="I95" i="15" s="1"/>
  <c r="G96" i="15"/>
  <c r="I96" i="15" s="1"/>
  <c r="G94" i="15"/>
  <c r="I94" i="15" s="1"/>
  <c r="D68" i="14"/>
  <c r="C52" i="14"/>
  <c r="C18" i="17"/>
  <c r="C152" i="12"/>
  <c r="C77" i="12"/>
  <c r="C76" i="12"/>
  <c r="C76" i="10" l="1"/>
  <c r="C70" i="10"/>
  <c r="D69" i="10"/>
  <c r="F50" i="8"/>
  <c r="F47" i="8"/>
  <c r="F46" i="8"/>
  <c r="F43" i="8"/>
  <c r="F42" i="8"/>
  <c r="C22" i="8"/>
  <c r="D22" i="8"/>
  <c r="F22" i="8" s="1"/>
  <c r="D21" i="8"/>
  <c r="F21" i="8" s="1"/>
  <c r="C20" i="8"/>
  <c r="D20" i="8" s="1"/>
  <c r="C28" i="8"/>
  <c r="C21" i="8"/>
  <c r="C19" i="8"/>
  <c r="D19" i="8" s="1"/>
  <c r="H62" i="5"/>
  <c r="H61" i="5"/>
  <c r="G62" i="5"/>
  <c r="G61" i="5"/>
  <c r="G42" i="5"/>
  <c r="G41" i="5"/>
  <c r="E16" i="5"/>
  <c r="E45" i="5" s="1"/>
  <c r="F45" i="5" s="1"/>
  <c r="D26" i="7"/>
  <c r="C17" i="7"/>
  <c r="C6" i="7"/>
  <c r="E84" i="25"/>
  <c r="E83" i="25"/>
  <c r="E82" i="25"/>
  <c r="E81" i="25"/>
  <c r="E65" i="25"/>
  <c r="E64" i="25"/>
  <c r="E63" i="25"/>
  <c r="E62" i="25"/>
  <c r="B83" i="25"/>
  <c r="B82" i="25"/>
  <c r="B89" i="25"/>
  <c r="B80" i="25"/>
  <c r="D33" i="25"/>
  <c r="D32" i="25"/>
  <c r="D31" i="25"/>
  <c r="D29" i="25"/>
  <c r="D23" i="25"/>
  <c r="C39" i="25" s="1"/>
  <c r="E39" i="25" s="1"/>
  <c r="C23" i="25"/>
  <c r="D22" i="25"/>
  <c r="C37" i="25" s="1"/>
  <c r="E37" i="25" s="1"/>
  <c r="C22" i="25"/>
  <c r="D21" i="25"/>
  <c r="C35" i="25" s="1"/>
  <c r="C62" i="25" s="1"/>
  <c r="C21" i="25"/>
  <c r="E20" i="25"/>
  <c r="D20" i="25"/>
  <c r="E14" i="25"/>
  <c r="D84" i="25" s="1"/>
  <c r="G84" i="25" s="1"/>
  <c r="B14" i="25"/>
  <c r="B24" i="25" s="1"/>
  <c r="C13" i="25"/>
  <c r="D24" i="25" s="1"/>
  <c r="E12" i="25"/>
  <c r="E23" i="25" s="1"/>
  <c r="C40" i="25" s="1"/>
  <c r="E40" i="25" s="1"/>
  <c r="B12" i="25"/>
  <c r="B23" i="25" s="1"/>
  <c r="E11" i="25"/>
  <c r="E22" i="25" s="1"/>
  <c r="C38" i="25" s="1"/>
  <c r="E38" i="25" s="1"/>
  <c r="B11" i="25"/>
  <c r="B22" i="25" s="1"/>
  <c r="E10" i="25"/>
  <c r="E21" i="25" s="1"/>
  <c r="C36" i="25" s="1"/>
  <c r="B10" i="25"/>
  <c r="B21" i="25" s="1"/>
  <c r="B9" i="25"/>
  <c r="B8" i="25"/>
  <c r="B7" i="25"/>
  <c r="B6" i="25"/>
  <c r="B81" i="24"/>
  <c r="B73" i="24"/>
  <c r="E76" i="24"/>
  <c r="E75" i="24"/>
  <c r="G75" i="24" s="1"/>
  <c r="E74" i="24"/>
  <c r="D75" i="24"/>
  <c r="D74" i="24"/>
  <c r="D27" i="24"/>
  <c r="D26" i="24"/>
  <c r="D24" i="24"/>
  <c r="E15" i="24"/>
  <c r="C32" i="24" s="1"/>
  <c r="E32" i="24" s="1"/>
  <c r="D15" i="24"/>
  <c r="C31" i="24" s="1"/>
  <c r="E31" i="24" s="1"/>
  <c r="C15" i="24"/>
  <c r="E14" i="24"/>
  <c r="C30" i="24" s="1"/>
  <c r="E30" i="24" s="1"/>
  <c r="D14" i="24"/>
  <c r="C29" i="24" s="1"/>
  <c r="C56" i="24" s="1"/>
  <c r="C14" i="24"/>
  <c r="E13" i="24"/>
  <c r="D13" i="24"/>
  <c r="E10" i="24"/>
  <c r="D76" i="24" s="1"/>
  <c r="G76" i="24" s="1"/>
  <c r="B10" i="24"/>
  <c r="B16" i="24" s="1"/>
  <c r="C9" i="24"/>
  <c r="C16" i="24" s="1"/>
  <c r="B8" i="24"/>
  <c r="B15" i="24" s="1"/>
  <c r="B7" i="24"/>
  <c r="B14" i="24" s="1"/>
  <c r="B6" i="24"/>
  <c r="B5" i="24"/>
  <c r="B4" i="24"/>
  <c r="C39" i="4"/>
  <c r="C37" i="4"/>
  <c r="D23" i="4"/>
  <c r="D22" i="4"/>
  <c r="D21" i="4"/>
  <c r="C35" i="4" s="1"/>
  <c r="D48" i="25" l="1"/>
  <c r="D40" i="24"/>
  <c r="I61" i="5"/>
  <c r="D42" i="8"/>
  <c r="F19" i="8"/>
  <c r="D43" i="8"/>
  <c r="E43" i="8" s="1"/>
  <c r="F20" i="8"/>
  <c r="E24" i="5"/>
  <c r="D47" i="8"/>
  <c r="E47" i="8" s="1"/>
  <c r="D46" i="8"/>
  <c r="G74" i="24"/>
  <c r="C83" i="25"/>
  <c r="H83" i="25" s="1"/>
  <c r="E36" i="25"/>
  <c r="C81" i="25"/>
  <c r="C64" i="25"/>
  <c r="H64" i="25" s="1"/>
  <c r="D81" i="25"/>
  <c r="G81" i="25" s="1"/>
  <c r="D83" i="25"/>
  <c r="G83" i="25" s="1"/>
  <c r="C63" i="25"/>
  <c r="D82" i="25"/>
  <c r="G82" i="25" s="1"/>
  <c r="C82" i="25"/>
  <c r="H62" i="25"/>
  <c r="E24" i="25"/>
  <c r="D62" i="25"/>
  <c r="G62" i="25" s="1"/>
  <c r="C41" i="25"/>
  <c r="C15" i="25"/>
  <c r="C24" i="25"/>
  <c r="E35" i="25"/>
  <c r="C74" i="24"/>
  <c r="C75" i="24"/>
  <c r="D56" i="24"/>
  <c r="G56" i="24" s="1"/>
  <c r="H56" i="24"/>
  <c r="C57" i="24"/>
  <c r="E29" i="24"/>
  <c r="C33" i="24"/>
  <c r="D16" i="24"/>
  <c r="E16" i="24"/>
  <c r="C11" i="24"/>
  <c r="H9" i="6"/>
  <c r="H8" i="6"/>
  <c r="D64" i="25" l="1"/>
  <c r="G64" i="25" s="1"/>
  <c r="H82" i="25"/>
  <c r="F82" i="25"/>
  <c r="H63" i="25"/>
  <c r="D63" i="25"/>
  <c r="G63" i="25" s="1"/>
  <c r="F83" i="25"/>
  <c r="F81" i="25"/>
  <c r="H81" i="25"/>
  <c r="C42" i="25"/>
  <c r="C43" i="25"/>
  <c r="F74" i="24"/>
  <c r="H74" i="24"/>
  <c r="F75" i="24"/>
  <c r="H75" i="24"/>
  <c r="H57" i="24"/>
  <c r="D57" i="24"/>
  <c r="G57" i="24" s="1"/>
  <c r="C34" i="24"/>
  <c r="C35" i="24"/>
  <c r="E37" i="4"/>
  <c r="E20" i="4"/>
  <c r="D20" i="4"/>
  <c r="E39" i="4"/>
  <c r="C22" i="4"/>
  <c r="C21" i="4"/>
  <c r="E14" i="4"/>
  <c r="E11" i="4"/>
  <c r="E22" i="4" s="1"/>
  <c r="C38" i="4" s="1"/>
  <c r="E38" i="4" s="1"/>
  <c r="E12" i="4"/>
  <c r="E23" i="4" s="1"/>
  <c r="E15" i="3"/>
  <c r="D15" i="3"/>
  <c r="E12" i="3"/>
  <c r="C17" i="3"/>
  <c r="D17" i="3"/>
  <c r="C33" i="3" s="1"/>
  <c r="E17" i="3"/>
  <c r="C34" i="3" s="1"/>
  <c r="D16" i="3"/>
  <c r="C31" i="3" s="1"/>
  <c r="E16" i="3"/>
  <c r="C32" i="3" s="1"/>
  <c r="C16" i="3"/>
  <c r="C40" i="4" l="1"/>
  <c r="E40" i="4" s="1"/>
  <c r="E42" i="25"/>
  <c r="C65" i="25"/>
  <c r="E43" i="25"/>
  <c r="E47" i="25" s="1"/>
  <c r="C47" i="25" s="1"/>
  <c r="C84" i="25"/>
  <c r="C44" i="25"/>
  <c r="C46" i="25" s="1"/>
  <c r="E35" i="24"/>
  <c r="C76" i="24"/>
  <c r="E34" i="24"/>
  <c r="C58" i="24"/>
  <c r="C36" i="24"/>
  <c r="C38" i="24" s="1"/>
  <c r="E34" i="3"/>
  <c r="E32" i="3"/>
  <c r="E33" i="3"/>
  <c r="C29" i="21"/>
  <c r="D29" i="21" s="1"/>
  <c r="F41" i="21"/>
  <c r="F40" i="21"/>
  <c r="E27" i="21"/>
  <c r="E26" i="21"/>
  <c r="E24" i="21"/>
  <c r="C17" i="21"/>
  <c r="C16" i="21"/>
  <c r="B12" i="21"/>
  <c r="B18" i="21" s="1"/>
  <c r="C11" i="21"/>
  <c r="B10" i="21"/>
  <c r="B17" i="21" s="1"/>
  <c r="B9" i="21"/>
  <c r="B16" i="21" s="1"/>
  <c r="B8" i="21"/>
  <c r="B7" i="21"/>
  <c r="B6" i="21"/>
  <c r="C54" i="20"/>
  <c r="C52" i="20"/>
  <c r="E39" i="24" l="1"/>
  <c r="C39" i="24" s="1"/>
  <c r="C48" i="25"/>
  <c r="H84" i="25"/>
  <c r="F84" i="25"/>
  <c r="H65" i="25"/>
  <c r="D65" i="25"/>
  <c r="G65" i="25" s="1"/>
  <c r="F76" i="24"/>
  <c r="H76" i="24"/>
  <c r="C40" i="24"/>
  <c r="H58" i="24"/>
  <c r="D58" i="24"/>
  <c r="G58" i="24" s="1"/>
  <c r="C30" i="21"/>
  <c r="D30" i="21" s="1"/>
  <c r="F30" i="21" s="1"/>
  <c r="E37" i="21"/>
  <c r="E43" i="21" s="1"/>
  <c r="C18" i="21"/>
  <c r="C32" i="21" s="1"/>
  <c r="C13" i="21"/>
  <c r="D31" i="21"/>
  <c r="D32" i="21" s="1"/>
  <c r="F29" i="21"/>
  <c r="F39" i="21"/>
  <c r="F42" i="21" s="1"/>
  <c r="D42" i="21" s="1"/>
  <c r="F41" i="20"/>
  <c r="F32" i="21" l="1"/>
  <c r="F36" i="21" s="1"/>
  <c r="D36" i="21" s="1"/>
  <c r="F40" i="20"/>
  <c r="F39" i="20"/>
  <c r="E27" i="20"/>
  <c r="E26" i="20"/>
  <c r="E24" i="20"/>
  <c r="D52" i="20" s="1"/>
  <c r="C17" i="20"/>
  <c r="C30" i="20" s="1"/>
  <c r="C16" i="20"/>
  <c r="B12" i="20"/>
  <c r="B18" i="20" s="1"/>
  <c r="C11" i="20"/>
  <c r="C18" i="20" s="1"/>
  <c r="C32" i="20" s="1"/>
  <c r="B10" i="20"/>
  <c r="B17" i="20" s="1"/>
  <c r="B9" i="20"/>
  <c r="B16" i="20" s="1"/>
  <c r="B8" i="20"/>
  <c r="B7" i="20"/>
  <c r="B6" i="20"/>
  <c r="D29" i="20" l="1"/>
  <c r="C29" i="20"/>
  <c r="F42" i="20"/>
  <c r="D42" i="20" s="1"/>
  <c r="D33" i="21"/>
  <c r="D35" i="21" s="1"/>
  <c r="D30" i="20"/>
  <c r="F30" i="20" s="1"/>
  <c r="D54" i="20"/>
  <c r="E37" i="20"/>
  <c r="E43" i="20" s="1"/>
  <c r="F29" i="20"/>
  <c r="C13" i="20"/>
  <c r="D72" i="15"/>
  <c r="D60" i="15" s="1"/>
  <c r="E72" i="15"/>
  <c r="F72" i="15"/>
  <c r="C72" i="15"/>
  <c r="C60" i="15" s="1"/>
  <c r="D9" i="6"/>
  <c r="G9" i="6" s="1"/>
  <c r="E15" i="5"/>
  <c r="B17" i="5"/>
  <c r="E9" i="5"/>
  <c r="B9" i="5"/>
  <c r="B15" i="5"/>
  <c r="B16" i="5"/>
  <c r="B12" i="3"/>
  <c r="B18" i="3" s="1"/>
  <c r="D26" i="3"/>
  <c r="D28" i="3"/>
  <c r="D29" i="3"/>
  <c r="C35" i="3"/>
  <c r="C11" i="3"/>
  <c r="B10" i="3"/>
  <c r="B17" i="3" s="1"/>
  <c r="B9" i="3"/>
  <c r="B16" i="3" s="1"/>
  <c r="B8" i="3"/>
  <c r="B7" i="3"/>
  <c r="B6" i="3"/>
  <c r="C20" i="18"/>
  <c r="D34" i="18" s="1"/>
  <c r="C21" i="18"/>
  <c r="C22" i="18"/>
  <c r="D36" i="18" s="1"/>
  <c r="C36" i="18"/>
  <c r="B37" i="18"/>
  <c r="B22" i="18"/>
  <c r="B51" i="18" s="1"/>
  <c r="B36" i="18" s="1"/>
  <c r="B21" i="18"/>
  <c r="B50" i="18" s="1"/>
  <c r="B35" i="18" s="1"/>
  <c r="B20" i="18"/>
  <c r="B49" i="18" s="1"/>
  <c r="B34" i="18" s="1"/>
  <c r="B33" i="18"/>
  <c r="B32" i="18"/>
  <c r="B31" i="18"/>
  <c r="B30" i="18"/>
  <c r="D29" i="18"/>
  <c r="C29" i="18"/>
  <c r="G43" i="18"/>
  <c r="H43" i="18" s="1"/>
  <c r="G45" i="18"/>
  <c r="H45" i="18" s="1"/>
  <c r="G46" i="18"/>
  <c r="H46" i="18" s="1"/>
  <c r="G47" i="18"/>
  <c r="H47" i="18" s="1"/>
  <c r="F51" i="18"/>
  <c r="C14" i="18"/>
  <c r="D15" i="18" s="1"/>
  <c r="E51" i="18"/>
  <c r="B23" i="18"/>
  <c r="B57" i="18" s="1"/>
  <c r="E13" i="18"/>
  <c r="E22" i="18" s="1"/>
  <c r="D22" i="18"/>
  <c r="E12" i="18"/>
  <c r="E21" i="18" s="1"/>
  <c r="D21" i="18"/>
  <c r="E11" i="18"/>
  <c r="E20" i="18" s="1"/>
  <c r="D20" i="18"/>
  <c r="G30" i="14"/>
  <c r="C54" i="14"/>
  <c r="C59" i="14" s="1"/>
  <c r="G68" i="14"/>
  <c r="E69" i="14"/>
  <c r="E70" i="14" s="1"/>
  <c r="B11" i="14"/>
  <c r="B52" i="14" s="1"/>
  <c r="B67" i="14" s="1"/>
  <c r="B58" i="14"/>
  <c r="B7" i="14"/>
  <c r="B54" i="14" s="1"/>
  <c r="B9" i="14"/>
  <c r="B51" i="14" s="1"/>
  <c r="G27" i="14"/>
  <c r="H27" i="14" s="1"/>
  <c r="G29" i="14"/>
  <c r="H29" i="14" s="1"/>
  <c r="G31" i="14"/>
  <c r="H31" i="14" s="1"/>
  <c r="G37" i="14"/>
  <c r="H37" i="14" s="1"/>
  <c r="C19" i="14"/>
  <c r="F33" i="14" s="1"/>
  <c r="C20" i="14"/>
  <c r="F34" i="14" s="1"/>
  <c r="C21" i="14"/>
  <c r="F35" i="14" s="1"/>
  <c r="C13" i="14"/>
  <c r="C22" i="14" s="1"/>
  <c r="B14" i="14"/>
  <c r="B22" i="14" s="1"/>
  <c r="B12" i="14"/>
  <c r="B21" i="14" s="1"/>
  <c r="B10" i="14"/>
  <c r="B19" i="14" s="1"/>
  <c r="B8" i="14"/>
  <c r="B6" i="14"/>
  <c r="E10" i="15"/>
  <c r="E17" i="15" s="1"/>
  <c r="E11" i="15"/>
  <c r="E18" i="15" s="1"/>
  <c r="E12" i="15"/>
  <c r="E19" i="15" s="1"/>
  <c r="B68" i="15"/>
  <c r="F75" i="15"/>
  <c r="F76" i="15"/>
  <c r="F77" i="15"/>
  <c r="C17" i="15"/>
  <c r="D27" i="15" s="1"/>
  <c r="C18" i="15"/>
  <c r="D28" i="15" s="1"/>
  <c r="C19" i="15"/>
  <c r="D29" i="15" s="1"/>
  <c r="B19" i="15"/>
  <c r="B44" i="15" s="1"/>
  <c r="B18" i="15"/>
  <c r="B43" i="15" s="1"/>
  <c r="B17" i="15"/>
  <c r="B42" i="15" s="1"/>
  <c r="B64" i="15"/>
  <c r="B63" i="15"/>
  <c r="G36" i="15"/>
  <c r="H36" i="15" s="1"/>
  <c r="G38" i="15"/>
  <c r="H38" i="15" s="1"/>
  <c r="G39" i="15"/>
  <c r="H39" i="15" s="1"/>
  <c r="G40" i="15"/>
  <c r="H40" i="15" s="1"/>
  <c r="C75" i="15"/>
  <c r="D75" i="15"/>
  <c r="E75" i="15"/>
  <c r="C76" i="15"/>
  <c r="D76" i="15"/>
  <c r="E76" i="15"/>
  <c r="C77" i="15"/>
  <c r="D77" i="15"/>
  <c r="E77" i="15"/>
  <c r="B62" i="15"/>
  <c r="B61" i="15"/>
  <c r="F73" i="15"/>
  <c r="E73" i="15"/>
  <c r="D73" i="15"/>
  <c r="C73" i="15"/>
  <c r="B20" i="15"/>
  <c r="B50" i="15" s="1"/>
  <c r="B87" i="15" s="1"/>
  <c r="B30" i="15"/>
  <c r="B26" i="15"/>
  <c r="B25" i="15"/>
  <c r="B24" i="15"/>
  <c r="B23" i="15"/>
  <c r="D22" i="15"/>
  <c r="C22" i="15"/>
  <c r="C13" i="15"/>
  <c r="C20" i="15" s="1"/>
  <c r="D14" i="15"/>
  <c r="G97" i="15" s="1"/>
  <c r="I97" i="15" s="1"/>
  <c r="I98" i="15" s="1"/>
  <c r="G98" i="15" s="1"/>
  <c r="D19" i="15"/>
  <c r="D18" i="15"/>
  <c r="D17" i="15"/>
  <c r="B14" i="4"/>
  <c r="B24" i="4" s="1"/>
  <c r="D29" i="4"/>
  <c r="D31" i="4"/>
  <c r="D32" i="4"/>
  <c r="D33" i="4"/>
  <c r="C23" i="4"/>
  <c r="C13" i="4"/>
  <c r="B12" i="4"/>
  <c r="B23" i="4" s="1"/>
  <c r="B11" i="4"/>
  <c r="B22" i="4" s="1"/>
  <c r="B10" i="4"/>
  <c r="B21" i="4" s="1"/>
  <c r="B9" i="4"/>
  <c r="B8" i="4"/>
  <c r="B7" i="4"/>
  <c r="B6" i="4"/>
  <c r="F8" i="6"/>
  <c r="G8" i="6"/>
  <c r="C5" i="7"/>
  <c r="C11" i="7" s="1"/>
  <c r="C26" i="7" s="1"/>
  <c r="G26" i="7"/>
  <c r="C12" i="7"/>
  <c r="B12" i="7"/>
  <c r="B11" i="7"/>
  <c r="B6" i="8"/>
  <c r="G42" i="8"/>
  <c r="G46" i="8"/>
  <c r="H42" i="8"/>
  <c r="H46" i="8"/>
  <c r="H50" i="8"/>
  <c r="E14" i="8"/>
  <c r="E16" i="8"/>
  <c r="E17" i="8"/>
  <c r="E24" i="8"/>
  <c r="E26" i="8"/>
  <c r="B5" i="8"/>
  <c r="B4" i="8"/>
  <c r="E64" i="10"/>
  <c r="E66" i="10"/>
  <c r="E67" i="10"/>
  <c r="E72" i="10"/>
  <c r="E74" i="10"/>
  <c r="D70" i="10"/>
  <c r="F70" i="10" s="1"/>
  <c r="F152" i="12"/>
  <c r="C156" i="12"/>
  <c r="F156" i="12" s="1"/>
  <c r="C111" i="12"/>
  <c r="C112" i="12"/>
  <c r="D112" i="12" s="1"/>
  <c r="D24" i="12"/>
  <c r="D25" i="12"/>
  <c r="D27" i="12"/>
  <c r="D28" i="12"/>
  <c r="C62" i="12" s="1"/>
  <c r="G152" i="12"/>
  <c r="C153" i="12"/>
  <c r="D153" i="12" s="1"/>
  <c r="G156" i="12"/>
  <c r="C157" i="12"/>
  <c r="D157" i="12" s="1"/>
  <c r="G160" i="12"/>
  <c r="E154" i="12"/>
  <c r="E158" i="12"/>
  <c r="B137" i="12"/>
  <c r="C108" i="12"/>
  <c r="D108" i="12" s="1"/>
  <c r="D111" i="12"/>
  <c r="D55" i="12"/>
  <c r="D58" i="12"/>
  <c r="D59" i="12"/>
  <c r="D76" i="12"/>
  <c r="E76" i="12" s="1"/>
  <c r="D77" i="12"/>
  <c r="E77" i="12" s="1"/>
  <c r="D78" i="12"/>
  <c r="D13" i="12"/>
  <c r="D15" i="12"/>
  <c r="B37" i="12"/>
  <c r="B36" i="12"/>
  <c r="B35" i="12"/>
  <c r="B34" i="12"/>
  <c r="C27" i="12"/>
  <c r="C30" i="12" s="1"/>
  <c r="C28" i="12"/>
  <c r="A3" i="12"/>
  <c r="G28" i="17"/>
  <c r="H28" i="17" s="1"/>
  <c r="G30" i="17"/>
  <c r="H30" i="17" s="1"/>
  <c r="G31" i="17"/>
  <c r="H31" i="17" s="1"/>
  <c r="D18" i="17"/>
  <c r="D19" i="17"/>
  <c r="F33" i="17"/>
  <c r="F34" i="17"/>
  <c r="C19" i="17"/>
  <c r="C20" i="17" s="1"/>
  <c r="C38" i="17" s="1"/>
  <c r="D33" i="17"/>
  <c r="D34" i="17"/>
  <c r="E33" i="17"/>
  <c r="E34" i="17"/>
  <c r="E35" i="17" s="1"/>
  <c r="E37" i="17" s="1"/>
  <c r="E39" i="17" s="1"/>
  <c r="C154" i="12" l="1"/>
  <c r="C27" i="7"/>
  <c r="D27" i="7" s="1"/>
  <c r="G27" i="7" s="1"/>
  <c r="G29" i="7" s="1"/>
  <c r="E34" i="14"/>
  <c r="D34" i="14"/>
  <c r="G34" i="14" s="1"/>
  <c r="I34" i="14" s="1"/>
  <c r="C68" i="14"/>
  <c r="F68" i="14" s="1"/>
  <c r="F70" i="14" s="1"/>
  <c r="D35" i="18"/>
  <c r="D37" i="18" s="1"/>
  <c r="D53" i="18" s="1"/>
  <c r="G53" i="18" s="1"/>
  <c r="H53" i="18" s="1"/>
  <c r="E50" i="18"/>
  <c r="D103" i="10"/>
  <c r="E81" i="10"/>
  <c r="D104" i="10" s="1"/>
  <c r="E49" i="18"/>
  <c r="D49" i="18"/>
  <c r="F49" i="18"/>
  <c r="G33" i="17"/>
  <c r="I33" i="17" s="1"/>
  <c r="C61" i="12"/>
  <c r="E61" i="12" s="1"/>
  <c r="C36" i="12"/>
  <c r="E162" i="12"/>
  <c r="E17" i="5"/>
  <c r="E51" i="5" s="1"/>
  <c r="G63" i="5"/>
  <c r="H23" i="5"/>
  <c r="E23" i="5"/>
  <c r="E44" i="5"/>
  <c r="F44" i="5" s="1"/>
  <c r="C15" i="4"/>
  <c r="D24" i="4"/>
  <c r="C24" i="4"/>
  <c r="E24" i="4"/>
  <c r="C13" i="3"/>
  <c r="C18" i="3"/>
  <c r="D18" i="3"/>
  <c r="C36" i="3" s="1"/>
  <c r="E18" i="3"/>
  <c r="C37" i="3" s="1"/>
  <c r="E37" i="3" s="1"/>
  <c r="C34" i="14"/>
  <c r="D51" i="18"/>
  <c r="D36" i="12"/>
  <c r="E33" i="8"/>
  <c r="D43" i="15"/>
  <c r="C15" i="14"/>
  <c r="D48" i="4"/>
  <c r="C51" i="18"/>
  <c r="E43" i="15"/>
  <c r="D16" i="12"/>
  <c r="D17" i="12" s="1"/>
  <c r="E28" i="12"/>
  <c r="D100" i="12" s="1"/>
  <c r="C43" i="15"/>
  <c r="C49" i="18"/>
  <c r="D37" i="21"/>
  <c r="D43" i="21" s="1"/>
  <c r="D31" i="20"/>
  <c r="D53" i="20"/>
  <c r="D56" i="20" s="1"/>
  <c r="D58" i="20" s="1"/>
  <c r="D60" i="20" s="1"/>
  <c r="D61" i="20" s="1"/>
  <c r="H43" i="8"/>
  <c r="D35" i="17"/>
  <c r="E25" i="12"/>
  <c r="C114" i="12" s="1"/>
  <c r="E114" i="12" s="1"/>
  <c r="B20" i="14"/>
  <c r="C60" i="14"/>
  <c r="C69" i="14" s="1"/>
  <c r="D69" i="14" s="1"/>
  <c r="F50" i="18"/>
  <c r="D46" i="12"/>
  <c r="C46" i="12"/>
  <c r="C34" i="18"/>
  <c r="D158" i="12"/>
  <c r="G157" i="12"/>
  <c r="H47" i="8"/>
  <c r="D42" i="3"/>
  <c r="G34" i="17"/>
  <c r="I34" i="17" s="1"/>
  <c r="F35" i="17"/>
  <c r="F36" i="17" s="1"/>
  <c r="F37" i="17" s="1"/>
  <c r="F39" i="17" s="1"/>
  <c r="D20" i="17"/>
  <c r="D36" i="17" s="1"/>
  <c r="D37" i="17" s="1"/>
  <c r="D45" i="12"/>
  <c r="C45" i="12"/>
  <c r="D37" i="12"/>
  <c r="C37" i="12"/>
  <c r="C158" i="12"/>
  <c r="D23" i="8"/>
  <c r="D25" i="8" s="1"/>
  <c r="D27" i="8" s="1"/>
  <c r="D20" i="15"/>
  <c r="D44" i="15"/>
  <c r="D42" i="15"/>
  <c r="C44" i="15"/>
  <c r="C42" i="15"/>
  <c r="E35" i="14"/>
  <c r="E33" i="14"/>
  <c r="D35" i="14"/>
  <c r="D33" i="14"/>
  <c r="C35" i="14"/>
  <c r="C33" i="14"/>
  <c r="H30" i="14"/>
  <c r="E44" i="15"/>
  <c r="E42" i="15"/>
  <c r="G73" i="15"/>
  <c r="F44" i="15"/>
  <c r="C29" i="15"/>
  <c r="F42" i="15"/>
  <c r="C27" i="15"/>
  <c r="D67" i="15"/>
  <c r="F81" i="15"/>
  <c r="D81" i="15"/>
  <c r="C81" i="15"/>
  <c r="E81" i="15"/>
  <c r="D30" i="15"/>
  <c r="D46" i="15" s="1"/>
  <c r="G46" i="15" s="1"/>
  <c r="H46" i="15" s="1"/>
  <c r="D65" i="15"/>
  <c r="F79" i="15"/>
  <c r="C79" i="15"/>
  <c r="D79" i="15"/>
  <c r="E79" i="15"/>
  <c r="C65" i="15"/>
  <c r="G76" i="15"/>
  <c r="H76" i="15" s="1"/>
  <c r="F43" i="15"/>
  <c r="C28" i="15"/>
  <c r="C15" i="18"/>
  <c r="C23" i="18" s="1"/>
  <c r="D23" i="18"/>
  <c r="D50" i="18"/>
  <c r="C50" i="18"/>
  <c r="C35" i="18"/>
  <c r="H45" i="5"/>
  <c r="F24" i="5"/>
  <c r="G24" i="5"/>
  <c r="H24" i="5"/>
  <c r="H25" i="5" s="1"/>
  <c r="H44" i="5"/>
  <c r="F23" i="5"/>
  <c r="G23" i="5"/>
  <c r="I62" i="5"/>
  <c r="E11" i="5"/>
  <c r="G77" i="15"/>
  <c r="H77" i="15" s="1"/>
  <c r="G75" i="15"/>
  <c r="H75" i="15" s="1"/>
  <c r="E40" i="17"/>
  <c r="E41" i="17" s="1"/>
  <c r="E43" i="17" s="1"/>
  <c r="C39" i="17"/>
  <c r="G38" i="17"/>
  <c r="H38" i="17" s="1"/>
  <c r="D154" i="12"/>
  <c r="D162" i="12" s="1"/>
  <c r="G153" i="12"/>
  <c r="F69" i="10"/>
  <c r="D71" i="10"/>
  <c r="D73" i="10" s="1"/>
  <c r="D75" i="10" s="1"/>
  <c r="D76" i="10" s="1"/>
  <c r="F76" i="10" s="1"/>
  <c r="F26" i="7"/>
  <c r="F29" i="7" s="1"/>
  <c r="C13" i="7"/>
  <c r="C16" i="7" s="1"/>
  <c r="C18" i="7" s="1"/>
  <c r="B79" i="15"/>
  <c r="B65" i="15" s="1"/>
  <c r="B27" i="15"/>
  <c r="B81" i="15"/>
  <c r="B67" i="15" s="1"/>
  <c r="B29" i="15"/>
  <c r="D66" i="15"/>
  <c r="C66" i="15"/>
  <c r="D80" i="15"/>
  <c r="F80" i="15"/>
  <c r="C80" i="15"/>
  <c r="E80" i="15"/>
  <c r="E31" i="3"/>
  <c r="H73" i="15"/>
  <c r="B80" i="15"/>
  <c r="B66" i="15" s="1"/>
  <c r="B28" i="15"/>
  <c r="F36" i="14"/>
  <c r="F38" i="14" s="1"/>
  <c r="F39" i="14" s="1"/>
  <c r="G39" i="14" s="1"/>
  <c r="H39" i="14" s="1"/>
  <c r="C67" i="15"/>
  <c r="D91" i="12" l="1"/>
  <c r="F52" i="18"/>
  <c r="F54" i="18" s="1"/>
  <c r="F55" i="18" s="1"/>
  <c r="E52" i="18"/>
  <c r="E54" i="18" s="1"/>
  <c r="E56" i="18" s="1"/>
  <c r="C115" i="12"/>
  <c r="E115" i="12" s="1"/>
  <c r="D90" i="12"/>
  <c r="F30" i="7"/>
  <c r="G49" i="18"/>
  <c r="I49" i="18" s="1"/>
  <c r="D107" i="10"/>
  <c r="D109" i="10" s="1"/>
  <c r="D111" i="10" s="1"/>
  <c r="D112" i="10" s="1"/>
  <c r="D52" i="18"/>
  <c r="D54" i="18" s="1"/>
  <c r="D56" i="18" s="1"/>
  <c r="E87" i="10"/>
  <c r="F80" i="10"/>
  <c r="D80" i="10" s="1"/>
  <c r="E45" i="15"/>
  <c r="E47" i="15" s="1"/>
  <c r="E49" i="15" s="1"/>
  <c r="E50" i="15" s="1"/>
  <c r="E51" i="15" s="1"/>
  <c r="E53" i="15" s="1"/>
  <c r="D68" i="15"/>
  <c r="D83" i="15" s="1"/>
  <c r="G83" i="15" s="1"/>
  <c r="H83" i="15" s="1"/>
  <c r="C82" i="15"/>
  <c r="D45" i="15"/>
  <c r="D47" i="15" s="1"/>
  <c r="D49" i="15" s="1"/>
  <c r="D50" i="15" s="1"/>
  <c r="D51" i="15" s="1"/>
  <c r="D53" i="15" s="1"/>
  <c r="E82" i="15"/>
  <c r="E84" i="15" s="1"/>
  <c r="E86" i="15" s="1"/>
  <c r="E88" i="15" s="1"/>
  <c r="E90" i="15" s="1"/>
  <c r="G43" i="15"/>
  <c r="I43" i="15" s="1"/>
  <c r="C37" i="18"/>
  <c r="C55" i="18" s="1"/>
  <c r="G55" i="18" s="1"/>
  <c r="H55" i="18" s="1"/>
  <c r="H62" i="18" s="1"/>
  <c r="G51" i="18"/>
  <c r="I51" i="18" s="1"/>
  <c r="D92" i="12"/>
  <c r="G163" i="12"/>
  <c r="C99" i="12"/>
  <c r="C90" i="12"/>
  <c r="D30" i="12"/>
  <c r="E30" i="12" s="1"/>
  <c r="C78" i="12"/>
  <c r="E78" i="12" s="1"/>
  <c r="E79" i="12" s="1"/>
  <c r="C79" i="12" s="1"/>
  <c r="D18" i="12"/>
  <c r="D20" i="12" s="1"/>
  <c r="D99" i="12"/>
  <c r="D101" i="12" s="1"/>
  <c r="D77" i="10"/>
  <c r="D79" i="10" s="1"/>
  <c r="D28" i="8"/>
  <c r="H53" i="8"/>
  <c r="G25" i="5"/>
  <c r="F46" i="5"/>
  <c r="E36" i="3"/>
  <c r="E41" i="3" s="1"/>
  <c r="C41" i="3" s="1"/>
  <c r="H46" i="14"/>
  <c r="C91" i="12"/>
  <c r="C36" i="14"/>
  <c r="C38" i="14" s="1"/>
  <c r="C38" i="12"/>
  <c r="G35" i="14"/>
  <c r="I35" i="14" s="1"/>
  <c r="D38" i="12"/>
  <c r="F25" i="5"/>
  <c r="C47" i="12"/>
  <c r="F82" i="15"/>
  <c r="F84" i="15" s="1"/>
  <c r="F85" i="15" s="1"/>
  <c r="F86" i="15" s="1"/>
  <c r="F88" i="15" s="1"/>
  <c r="F90" i="15" s="1"/>
  <c r="C100" i="12"/>
  <c r="C101" i="12" s="1"/>
  <c r="D47" i="12"/>
  <c r="E57" i="18"/>
  <c r="E58" i="18" s="1"/>
  <c r="E60" i="18" s="1"/>
  <c r="D32" i="20"/>
  <c r="F32" i="20" s="1"/>
  <c r="F36" i="20" s="1"/>
  <c r="D36" i="20" s="1"/>
  <c r="C45" i="15"/>
  <c r="C47" i="15" s="1"/>
  <c r="G50" i="18"/>
  <c r="I50" i="18" s="1"/>
  <c r="D36" i="14"/>
  <c r="D38" i="14" s="1"/>
  <c r="D40" i="14" s="1"/>
  <c r="D41" i="14" s="1"/>
  <c r="D42" i="14" s="1"/>
  <c r="D44" i="14" s="1"/>
  <c r="G44" i="15"/>
  <c r="I44" i="15" s="1"/>
  <c r="E36" i="14"/>
  <c r="E38" i="14" s="1"/>
  <c r="E40" i="14" s="1"/>
  <c r="E41" i="14" s="1"/>
  <c r="E42" i="14" s="1"/>
  <c r="E44" i="14" s="1"/>
  <c r="G42" i="15"/>
  <c r="I42" i="15" s="1"/>
  <c r="G33" i="14"/>
  <c r="I33" i="14" s="1"/>
  <c r="G35" i="17"/>
  <c r="E62" i="12"/>
  <c r="E73" i="12" s="1"/>
  <c r="C73" i="12" s="1"/>
  <c r="C63" i="12"/>
  <c r="C30" i="15"/>
  <c r="C48" i="15" s="1"/>
  <c r="G79" i="15"/>
  <c r="I79" i="15" s="1"/>
  <c r="F45" i="15"/>
  <c r="F47" i="15" s="1"/>
  <c r="F48" i="15" s="1"/>
  <c r="D82" i="15"/>
  <c r="G81" i="15"/>
  <c r="I81" i="15" s="1"/>
  <c r="C52" i="18"/>
  <c r="E25" i="5"/>
  <c r="F40" i="17"/>
  <c r="F41" i="17" s="1"/>
  <c r="F43" i="17" s="1"/>
  <c r="D57" i="18"/>
  <c r="D58" i="18" s="1"/>
  <c r="D60" i="18" s="1"/>
  <c r="G69" i="14"/>
  <c r="G70" i="14" s="1"/>
  <c r="F71" i="14" s="1"/>
  <c r="D70" i="14"/>
  <c r="C84" i="15"/>
  <c r="C40" i="17"/>
  <c r="C70" i="14"/>
  <c r="F56" i="18"/>
  <c r="G80" i="15"/>
  <c r="I80" i="15" s="1"/>
  <c r="G36" i="17"/>
  <c r="H36" i="17" s="1"/>
  <c r="H45" i="17" s="1"/>
  <c r="C116" i="12"/>
  <c r="D39" i="17"/>
  <c r="G39" i="17" s="1"/>
  <c r="G37" i="17"/>
  <c r="C68" i="15"/>
  <c r="C85" i="15" s="1"/>
  <c r="G82" i="15" l="1"/>
  <c r="D29" i="8"/>
  <c r="D31" i="8" s="1"/>
  <c r="F28" i="8"/>
  <c r="D50" i="8"/>
  <c r="G50" i="8" s="1"/>
  <c r="G53" i="8" s="1"/>
  <c r="G54" i="8" s="1"/>
  <c r="G38" i="14"/>
  <c r="D81" i="10"/>
  <c r="C49" i="15"/>
  <c r="C50" i="15" s="1"/>
  <c r="C51" i="15" s="1"/>
  <c r="G48" i="15"/>
  <c r="H48" i="15" s="1"/>
  <c r="E111" i="15" s="1"/>
  <c r="C39" i="12"/>
  <c r="C64" i="12" s="1"/>
  <c r="D64" i="12" s="1"/>
  <c r="C102" i="12"/>
  <c r="C119" i="12" s="1"/>
  <c r="D119" i="12" s="1"/>
  <c r="C92" i="12"/>
  <c r="C48" i="12"/>
  <c r="C66" i="12" s="1"/>
  <c r="D66" i="12" s="1"/>
  <c r="F32" i="8"/>
  <c r="D32" i="8" s="1"/>
  <c r="D33" i="8" s="1"/>
  <c r="G26" i="5"/>
  <c r="F49" i="5" s="1"/>
  <c r="G49" i="5" s="1"/>
  <c r="E26" i="5"/>
  <c r="F47" i="5" s="1"/>
  <c r="G47" i="5" s="1"/>
  <c r="C40" i="14"/>
  <c r="C41" i="14" s="1"/>
  <c r="G41" i="14" s="1"/>
  <c r="I41" i="14" s="1"/>
  <c r="I45" i="14" s="1"/>
  <c r="G45" i="14" s="1"/>
  <c r="D84" i="15"/>
  <c r="D86" i="15" s="1"/>
  <c r="D88" i="15" s="1"/>
  <c r="D90" i="15" s="1"/>
  <c r="G36" i="14"/>
  <c r="D33" i="20"/>
  <c r="D35" i="20" s="1"/>
  <c r="C53" i="20" s="1"/>
  <c r="C56" i="20" s="1"/>
  <c r="C58" i="20" s="1"/>
  <c r="C60" i="20" s="1"/>
  <c r="C61" i="20" s="1"/>
  <c r="I91" i="15"/>
  <c r="G91" i="15" s="1"/>
  <c r="G47" i="15"/>
  <c r="F49" i="15"/>
  <c r="F50" i="15" s="1"/>
  <c r="F51" i="15" s="1"/>
  <c r="F53" i="15" s="1"/>
  <c r="G45" i="15"/>
  <c r="C54" i="18"/>
  <c r="G52" i="18"/>
  <c r="F57" i="18"/>
  <c r="F58" i="18" s="1"/>
  <c r="C86" i="15"/>
  <c r="G85" i="15"/>
  <c r="C38" i="3"/>
  <c r="D40" i="17"/>
  <c r="D41" i="17" s="1"/>
  <c r="D43" i="17" s="1"/>
  <c r="C41" i="17"/>
  <c r="G40" i="14" l="1"/>
  <c r="G40" i="17"/>
  <c r="I40" i="17" s="1"/>
  <c r="I44" i="17" s="1"/>
  <c r="G44" i="17" s="1"/>
  <c r="G84" i="15"/>
  <c r="H55" i="15"/>
  <c r="E105" i="15" s="1"/>
  <c r="D135" i="12"/>
  <c r="D74" i="12"/>
  <c r="D80" i="12" s="1"/>
  <c r="D132" i="12" s="1"/>
  <c r="C93" i="12"/>
  <c r="C117" i="12" s="1"/>
  <c r="C118" i="12" s="1"/>
  <c r="C65" i="12"/>
  <c r="C67" i="12" s="1"/>
  <c r="C70" i="12" s="1"/>
  <c r="C72" i="12" s="1"/>
  <c r="C74" i="12" s="1"/>
  <c r="C80" i="12" s="1"/>
  <c r="G56" i="5"/>
  <c r="F48" i="5"/>
  <c r="G50" i="15"/>
  <c r="I50" i="15" s="1"/>
  <c r="I54" i="15" s="1"/>
  <c r="G54" i="15" s="1"/>
  <c r="C40" i="3"/>
  <c r="C42" i="3" s="1"/>
  <c r="D37" i="20"/>
  <c r="D43" i="20" s="1"/>
  <c r="C42" i="14"/>
  <c r="C44" i="14" s="1"/>
  <c r="G44" i="14" s="1"/>
  <c r="G46" i="14" s="1"/>
  <c r="G49" i="15"/>
  <c r="C56" i="18"/>
  <c r="G54" i="18"/>
  <c r="F60" i="18"/>
  <c r="C43" i="17"/>
  <c r="G43" i="17" s="1"/>
  <c r="G45" i="17" s="1"/>
  <c r="G41" i="17"/>
  <c r="G51" i="15"/>
  <c r="G53" i="15" s="1"/>
  <c r="C53" i="15"/>
  <c r="H85" i="15"/>
  <c r="H92" i="15" s="1"/>
  <c r="H99" i="15" s="1"/>
  <c r="E106" i="15" s="1"/>
  <c r="E110" i="15"/>
  <c r="E112" i="15" s="1"/>
  <c r="C88" i="15"/>
  <c r="G86" i="15"/>
  <c r="G55" i="15" l="1"/>
  <c r="E107" i="15"/>
  <c r="C120" i="12"/>
  <c r="D117" i="12"/>
  <c r="F50" i="5"/>
  <c r="G42" i="14"/>
  <c r="G56" i="18"/>
  <c r="C57" i="18"/>
  <c r="G57" i="18" s="1"/>
  <c r="I57" i="18" s="1"/>
  <c r="I61" i="18" s="1"/>
  <c r="G61" i="18" s="1"/>
  <c r="G88" i="15"/>
  <c r="G90" i="15" s="1"/>
  <c r="G92" i="15" s="1"/>
  <c r="G99" i="15" s="1"/>
  <c r="C90" i="15"/>
  <c r="D136" i="12" l="1"/>
  <c r="D137" i="12" s="1"/>
  <c r="D126" i="12"/>
  <c r="D131" i="12" s="1"/>
  <c r="D133" i="12" s="1"/>
  <c r="C121" i="12"/>
  <c r="E121" i="12" s="1"/>
  <c r="E125" i="12" s="1"/>
  <c r="C125" i="12" s="1"/>
  <c r="C160" i="12"/>
  <c r="H63" i="5"/>
  <c r="I63" i="5" s="1"/>
  <c r="F51" i="5"/>
  <c r="H51" i="5" s="1"/>
  <c r="H55" i="5" s="1"/>
  <c r="F55" i="5" s="1"/>
  <c r="C58" i="18"/>
  <c r="C122" i="12" l="1"/>
  <c r="C124" i="12" s="1"/>
  <c r="F52" i="5"/>
  <c r="F54" i="5" s="1"/>
  <c r="F56" i="5" s="1"/>
  <c r="C162" i="12"/>
  <c r="F160" i="12"/>
  <c r="F163" i="12" s="1"/>
  <c r="F164" i="12" s="1"/>
  <c r="C126" i="12"/>
  <c r="C60" i="18"/>
  <c r="G60" i="18" s="1"/>
  <c r="G62" i="18" s="1"/>
  <c r="G58" i="18"/>
  <c r="E10" i="4"/>
  <c r="E21" i="4" s="1"/>
  <c r="C36" i="4" l="1"/>
  <c r="E36" i="4" s="1"/>
  <c r="C41" i="4"/>
  <c r="E35" i="4"/>
  <c r="C42" i="4" l="1"/>
  <c r="E42" i="4" s="1"/>
  <c r="E47" i="4" s="1"/>
  <c r="C47" i="4" s="1"/>
  <c r="C43" i="4"/>
  <c r="E43" i="4" s="1"/>
  <c r="C44" i="4" l="1"/>
  <c r="C46" i="4" s="1"/>
  <c r="C48" i="4" s="1"/>
</calcChain>
</file>

<file path=xl/sharedStrings.xml><?xml version="1.0" encoding="utf-8"?>
<sst xmlns="http://schemas.openxmlformats.org/spreadsheetml/2006/main" count="1056" uniqueCount="398">
  <si>
    <t>Tilv.avd. 1</t>
    <phoneticPr fontId="19" type="noConversion"/>
  </si>
  <si>
    <t>Normal produkt</t>
    <phoneticPr fontId="19" type="noConversion"/>
  </si>
  <si>
    <t>Salgs- og adm.avd.</t>
    <phoneticPr fontId="19" type="noConversion"/>
  </si>
  <si>
    <t>Varebeholdning 1.1.:</t>
    <phoneticPr fontId="19" type="noConversion"/>
  </si>
  <si>
    <t>Sum</t>
    <phoneticPr fontId="19" type="noConversion"/>
  </si>
  <si>
    <t>Vi legger også merke til at ordre 2 hadde samme fakturaverdi som ordre 1, men med vesentlig høyere kostnader. Dette må undersøkes nærmere.</t>
    <phoneticPr fontId="19" type="noConversion"/>
  </si>
  <si>
    <t>ville derfor gitt et bedre resultat siden vi bare ville lagt til variable kostnader (vurdert varebeholdningen til tilvirkningsmerkost).</t>
    <phoneticPr fontId="19" type="noConversion"/>
  </si>
  <si>
    <t>Salgs- og adm.avdeling</t>
    <phoneticPr fontId="19" type="noConversion"/>
  </si>
  <si>
    <t>Produksjonsresultatet er de virkelige inntektene fratrukket de virkelige kostnadene.</t>
    <phoneticPr fontId="0" type="noConversion"/>
  </si>
  <si>
    <t>som en variabel kostnad (aktivitetsmål · tilleggssats) i driftsregnskapet (se også læreboken).</t>
    <phoneticPr fontId="0" type="noConversion"/>
  </si>
  <si>
    <t>Administrasjonsavdelingen</t>
    <phoneticPr fontId="0" type="noConversion"/>
  </si>
  <si>
    <t xml:space="preserve">det ofte vil være forskjell på de innkalkulerte og de virkelige indirekte </t>
    <phoneticPr fontId="0" type="noConversion"/>
  </si>
  <si>
    <t>kostnadene, vil det oppstå dekningsdifferanser.</t>
    <phoneticPr fontId="0" type="noConversion"/>
  </si>
  <si>
    <t>Positivt avvik tilsier høyere aktivitet enn normalt.</t>
    <phoneticPr fontId="0" type="noConversion"/>
  </si>
  <si>
    <t xml:space="preserve">Positivt avvik tilsier lavere priser og/eller lavere mengde på/av de indirekte </t>
    <phoneticPr fontId="0" type="noConversion"/>
  </si>
  <si>
    <t>Innkalkulerte:</t>
    <phoneticPr fontId="0" type="noConversion"/>
  </si>
  <si>
    <t>Underdekning (dekn.diff.)</t>
    <phoneticPr fontId="0" type="noConversion"/>
  </si>
  <si>
    <t>Total</t>
    <phoneticPr fontId="0" type="noConversion"/>
  </si>
  <si>
    <t>NB! Husk på at de budsjetterte indirekte variable kostnadene er lik de innkalkulerte variable indirekte kostnadene.</t>
    <phoneticPr fontId="0" type="noConversion"/>
  </si>
  <si>
    <t>som en variabel kostnad (aktivitetsmål · tilleggssats) i driftsregnskapet (se også læreboken).</t>
    <phoneticPr fontId="0" type="noConversion"/>
  </si>
  <si>
    <t>Administrasjonsavdelingen</t>
    <phoneticPr fontId="0" type="noConversion"/>
  </si>
  <si>
    <t>Dekningsdifferanse</t>
    <phoneticPr fontId="0" type="noConversion"/>
  </si>
  <si>
    <t>NB! Husk på at de budsjetterte indirekte variable kostnadene er lik de innkalkulerte variable indirekte kostnadene.</t>
    <phoneticPr fontId="0" type="noConversion"/>
  </si>
  <si>
    <t>Harstad industriproduksjon</t>
  </si>
  <si>
    <t>AS Tønsberg Maritim</t>
  </si>
  <si>
    <t>AS Ordreproduksjon</t>
  </si>
  <si>
    <t>AS Kaldnes</t>
  </si>
  <si>
    <t>Vi ser i alle fall at ordre 3 er hovedårsaken til det dårlige resultatet</t>
  </si>
  <si>
    <t>Produksjonsresultat</t>
    <phoneticPr fontId="0" type="noConversion"/>
  </si>
  <si>
    <t>Budsjettert sysselsetting i tilvirkningsavdeling 2 er 1000 timer.</t>
    <phoneticPr fontId="0" type="noConversion"/>
  </si>
  <si>
    <t>Faste indirekte kostnader</t>
  </si>
  <si>
    <t>Variable indirekte kostnader</t>
  </si>
  <si>
    <t>Virkelig aktivitet i timer:</t>
  </si>
  <si>
    <t>Sum innkalkulert</t>
  </si>
  <si>
    <t xml:space="preserve">Innkalkulerte indirekte kostn. </t>
  </si>
  <si>
    <t>Virkelige indir. kostnader</t>
  </si>
  <si>
    <t>Matr.forv.</t>
  </si>
  <si>
    <t>Periodens tilvirkningskost</t>
  </si>
  <si>
    <t>Tilvirkninskost ferdigprod. varer</t>
  </si>
  <si>
    <t>Tilvirkninskost solgte varer</t>
  </si>
  <si>
    <t>Vi ser at ordre 1 har vært den mest lønnsomme ordren. Ordre 2 er også solgt med fortjeneste, mens ordre 2 er solgt med tap.</t>
  </si>
  <si>
    <t>ville vi lagt til færre kostnader (bare de variable) og vi ville fått et bedre resultat.</t>
  </si>
  <si>
    <t>AS Bakkkenteigen</t>
  </si>
  <si>
    <t>AS Vardø industriproduksjon</t>
  </si>
  <si>
    <t>Hønefoss plastindustri</t>
  </si>
  <si>
    <t>Produktresultatet er de virkelige inntektene fratrukket fakturerte kostnader til kunder.</t>
  </si>
  <si>
    <t>e)</t>
  </si>
  <si>
    <t>Inntekter</t>
  </si>
  <si>
    <t>Dekningsbidrag</t>
  </si>
  <si>
    <t>Dekningsgrad</t>
  </si>
  <si>
    <t>Dekningspunktomsetning</t>
  </si>
  <si>
    <t>Risikomargin i kroner</t>
  </si>
  <si>
    <t>Risikomargin i prosent</t>
  </si>
  <si>
    <t>Tilvirkningsavdelingen (sum)</t>
  </si>
  <si>
    <t>Reduksjon beholdning varer i arbeid</t>
  </si>
  <si>
    <t>Reduksjon beholdning ferdige varer</t>
  </si>
  <si>
    <t>Faste kostnader materialavdelingen</t>
  </si>
  <si>
    <t>Faste kostnader tilvirkningsavdelingen</t>
  </si>
  <si>
    <t>Kalkulert selvkost solgte varer</t>
  </si>
  <si>
    <t>Kalkulert tilv.kost</t>
  </si>
  <si>
    <t>Kalkulert tilv.kost ferdigproduksj.</t>
  </si>
  <si>
    <t>Avviksanalyse:</t>
  </si>
  <si>
    <t>Beholdningsvurdering (bidrag)</t>
  </si>
  <si>
    <t>Beholdningsvurdering (selvkost):</t>
  </si>
  <si>
    <t>Beholdningsendringer selvkostmetoden (+26'+160')</t>
  </si>
  <si>
    <t>beholdningene vurdert til tilvirkningsmerkost (kr 155 250) og tilvirknings-</t>
  </si>
  <si>
    <t>kost (186 000).</t>
  </si>
  <si>
    <t>Positivt avvik tilsier høyere aktivitet enn normalt i de enkelte avdelingene.</t>
  </si>
  <si>
    <t>unntak av de variable tilvirkningskostnadene. Se også kommentarer til</t>
  </si>
  <si>
    <t>Beskj.</t>
  </si>
  <si>
    <t>Tilvirkningsavdeling 1: variable</t>
  </si>
  <si>
    <t>Tilvirkningsavdeling 1: faste</t>
  </si>
  <si>
    <t>variable</t>
  </si>
  <si>
    <t>Klikk på cellene for å se utregningene.</t>
  </si>
  <si>
    <t>Materialforvaltning</t>
  </si>
  <si>
    <t xml:space="preserve">Tilvirkningsavdeling 1 </t>
  </si>
  <si>
    <t>Normalkost</t>
  </si>
  <si>
    <t>Kalk. tilv.kost ferdigprod. varer</t>
  </si>
  <si>
    <t>Varelagervurdering IB:</t>
  </si>
  <si>
    <t>Indir. var. tilvirkningskostnader</t>
  </si>
  <si>
    <t>Kalk. tilv.merkost ferdige varer</t>
  </si>
  <si>
    <t>Kalk.tilv.merkost solgte varer</t>
  </si>
  <si>
    <t>Merkost solgte varer</t>
  </si>
  <si>
    <t>Faste kostnader</t>
  </si>
  <si>
    <t>Tilvirkningsavdelingen 1</t>
  </si>
  <si>
    <t>Tilvirkningsavdelingen 2</t>
  </si>
  <si>
    <t>Salgs.- og adm.avd.</t>
  </si>
  <si>
    <t>Resulat selvkost</t>
  </si>
  <si>
    <t>Resultat bidrag</t>
  </si>
  <si>
    <t>Meroverskudd selvkost</t>
  </si>
  <si>
    <t>Har sin opprinnelse i forskjellig varelagervurdering:</t>
  </si>
  <si>
    <t>Tillegg på kostnadssiden bidrag</t>
  </si>
  <si>
    <t>Tillegg på kostnadssiden selvkost</t>
  </si>
  <si>
    <t>Mertillegg selvkost (resultatreduksjon)</t>
  </si>
  <si>
    <t>d)</t>
  </si>
  <si>
    <t>Kalkulert tilv. merkost solgte varer</t>
  </si>
  <si>
    <t>Kalkulert merkost solgte varer</t>
  </si>
  <si>
    <t>Kalkulert dekningsbidrag</t>
  </si>
  <si>
    <t>Virkelig dekningsbidrag</t>
  </si>
  <si>
    <t>Faste kostnader:</t>
  </si>
  <si>
    <t>Kalkulert DB baserer seg på de virkelige direkte kostnadene med et</t>
  </si>
  <si>
    <t>tillegg for de innkalkulerte indirekte kostnadene. Virkelig dekningsbidrag</t>
  </si>
  <si>
    <t>c)</t>
  </si>
  <si>
    <t>Produksjonsresultat etter selvkostmetoden</t>
  </si>
  <si>
    <t>Produksjonsresultat etter bidragsmetoden</t>
  </si>
  <si>
    <t>Differanse</t>
  </si>
  <si>
    <t>Forskjell i resultat kommer av forskjellig vurdering av beholdnings-</t>
  </si>
  <si>
    <t>endringene. Vi ser at differansen i resultat tilsvarer forskjellen mellom</t>
  </si>
  <si>
    <r>
      <t>Indirekte</t>
    </r>
    <r>
      <rPr>
        <b/>
        <i/>
        <sz val="12"/>
        <rFont val="Arial"/>
        <family val="2"/>
      </rPr>
      <t xml:space="preserve"> variable</t>
    </r>
    <r>
      <rPr>
        <i/>
        <sz val="12"/>
        <rFont val="Arial"/>
        <family val="2"/>
      </rPr>
      <t xml:space="preserve"> tilvirkn.kostnader:</t>
    </r>
  </si>
  <si>
    <t>finner vi når tallene for de virkelige indirekte kostnadene er klare. Siden</t>
  </si>
  <si>
    <t>Direkte kostnader</t>
  </si>
  <si>
    <t xml:space="preserve">   Materialavdelingen (faste)</t>
  </si>
  <si>
    <t xml:space="preserve">   Materialavdelingen (variable)</t>
  </si>
  <si>
    <t xml:space="preserve">   Tilvirkningsavdelingen (faste)</t>
  </si>
  <si>
    <t xml:space="preserve">   Tilvirkningsavdelingen (variable)</t>
  </si>
  <si>
    <t>Salgs- og adm.avd. (faste)</t>
  </si>
  <si>
    <t>Kalkulert tilv.kost ferdigproduserte varer</t>
  </si>
  <si>
    <t>Kalkulert tilvirkningskost solgte varer</t>
  </si>
  <si>
    <t>Direkte material</t>
  </si>
  <si>
    <t>Kalkulert tilv.merkost ferdige varer</t>
  </si>
  <si>
    <t>Beholdningsnedgang ferdige varer</t>
  </si>
  <si>
    <t>Kalkulert tilv.merkost solgte varer</t>
  </si>
  <si>
    <t>Indirekte variable tilvirkningskostnader</t>
  </si>
  <si>
    <t>VIA</t>
  </si>
  <si>
    <t>IB</t>
  </si>
  <si>
    <t>UB</t>
  </si>
  <si>
    <t>Tilvirkningsmerkost</t>
  </si>
  <si>
    <t>FV</t>
  </si>
  <si>
    <t>Materialavdelingen (5 % av kr 350 000)</t>
  </si>
  <si>
    <t>Beholdningsreduksjon varer i arbeid</t>
  </si>
  <si>
    <t>Tilvirkningsavdeling (10 % av kr 250 000)</t>
  </si>
  <si>
    <t xml:space="preserve">   Materialavdelingen</t>
  </si>
  <si>
    <t xml:space="preserve">   Tilvirkningsavdelingen</t>
  </si>
  <si>
    <t xml:space="preserve">   Materialavdelingen </t>
  </si>
  <si>
    <t xml:space="preserve">   Tilvirkningsavdelingen </t>
  </si>
  <si>
    <t>Materialavdelingen (sum)</t>
  </si>
  <si>
    <t>Normal-</t>
  </si>
  <si>
    <t>Dekn.</t>
  </si>
  <si>
    <t>kost</t>
  </si>
  <si>
    <t>diff.</t>
  </si>
  <si>
    <t>Ind.tilv.kostnader</t>
  </si>
  <si>
    <t>Innkjøpsavd.</t>
  </si>
  <si>
    <t>Tilvirkningsavd.</t>
  </si>
  <si>
    <t>Tilv.kost solgte varer</t>
  </si>
  <si>
    <t>Produksjonsresultat</t>
  </si>
  <si>
    <t>Avdeling</t>
  </si>
  <si>
    <t>Aktivitetsmål</t>
  </si>
  <si>
    <t>Normal</t>
  </si>
  <si>
    <t>grad</t>
  </si>
  <si>
    <t>Administrasjon</t>
  </si>
  <si>
    <t>Faste:</t>
  </si>
  <si>
    <t>Variable:</t>
  </si>
  <si>
    <t>Innkalkulerte</t>
  </si>
  <si>
    <t>Budsjetterte</t>
  </si>
  <si>
    <t>avvik</t>
  </si>
  <si>
    <t>Tilvirkningsavdelingen:</t>
  </si>
  <si>
    <t>Total</t>
  </si>
  <si>
    <t>N/A</t>
  </si>
  <si>
    <t>tilvirkningskostnadene.</t>
  </si>
  <si>
    <t>Positivt avvik tilsier høyere aktivitet enn normalt</t>
  </si>
  <si>
    <t xml:space="preserve">Positivt avvik tilsier lavere priser og/eller lavere mengde på/av de indirekte </t>
  </si>
  <si>
    <t>Faste</t>
  </si>
  <si>
    <t>Sum</t>
  </si>
  <si>
    <t>Variable</t>
  </si>
  <si>
    <t>Administrasjonsavdelingen:</t>
  </si>
  <si>
    <t>Negative avvik tilsier lavere aktivitet enn normalt.</t>
  </si>
  <si>
    <t xml:space="preserve">Negative avvik tilsier høyere priser og/eller høyere mengde på/av de indirekte </t>
  </si>
  <si>
    <t>kostnadene.</t>
  </si>
  <si>
    <t>SUM</t>
  </si>
  <si>
    <t>Innkalkulerte kostnader</t>
  </si>
  <si>
    <t>Variabel</t>
  </si>
  <si>
    <t>Driftsregnskapet (bidrag):</t>
  </si>
  <si>
    <t>Kalkulert tilvirkningsmerkost</t>
  </si>
  <si>
    <t>Kalkulert tilv.merkost ferdigprod. varer</t>
  </si>
  <si>
    <t>Direkte materialer</t>
  </si>
  <si>
    <t>Indirekte tilvirkn.kostnader</t>
  </si>
  <si>
    <t>Materialavdelingen</t>
  </si>
  <si>
    <t>Driftsregnskapet (selvkost):</t>
  </si>
  <si>
    <t>Selvkost solgte varer</t>
  </si>
  <si>
    <t>Direkte lønn 2</t>
  </si>
  <si>
    <t>Direkte lønn 1</t>
  </si>
  <si>
    <t>Tilvirkningsavdeling 1</t>
  </si>
  <si>
    <t>Tilvirkningskost</t>
  </si>
  <si>
    <t>a)</t>
  </si>
  <si>
    <t>b)</t>
  </si>
  <si>
    <t>Direkte lønn</t>
  </si>
  <si>
    <t>Tilvirkningsavdeling 2</t>
  </si>
  <si>
    <t xml:space="preserve">Klikk på cellene for å se utregningene </t>
  </si>
  <si>
    <t>Innkalk.</t>
  </si>
  <si>
    <t>Virkelige</t>
  </si>
  <si>
    <t>Deknings-</t>
  </si>
  <si>
    <t>kostnader</t>
  </si>
  <si>
    <t>differanser</t>
  </si>
  <si>
    <t>Endring varer i arbeid</t>
  </si>
  <si>
    <t>Endring ferdige varer</t>
  </si>
  <si>
    <t>Administrasjonsavd.</t>
  </si>
  <si>
    <t>Salgsinntekter</t>
  </si>
  <si>
    <t>Produktresultat</t>
  </si>
  <si>
    <t>Dekningsdifferanser</t>
  </si>
  <si>
    <t>Produksjonsresultrat</t>
  </si>
  <si>
    <t>Normalperioden:</t>
  </si>
  <si>
    <t xml:space="preserve">Direkte lønn </t>
  </si>
  <si>
    <t xml:space="preserve">Tilvirkningsavdelingen </t>
  </si>
  <si>
    <t>Kalkulert tilvirkningskost</t>
  </si>
  <si>
    <t>Kalkulert tilv.kost ferdigprod. varer</t>
  </si>
  <si>
    <t>Kalkulert tilv.kost solgte varer</t>
  </si>
  <si>
    <t>Selvkost</t>
  </si>
  <si>
    <t>Normalsatser:</t>
  </si>
  <si>
    <t>Direkte lønn avdeling 2</t>
  </si>
  <si>
    <t>Direkte lønn avdeling 1</t>
  </si>
  <si>
    <t>Tilleggssatser</t>
  </si>
  <si>
    <t>Tilvirkningsavdelingen</t>
  </si>
  <si>
    <t>Administrasjonsavdelingen</t>
  </si>
  <si>
    <t>Varer i arbeid</t>
  </si>
  <si>
    <t>Ferdige varer</t>
  </si>
  <si>
    <t>Tillegg innkjøpsavdelingen</t>
  </si>
  <si>
    <t>Tillegg tilv.avdelingen</t>
  </si>
  <si>
    <t>Egentilvirkede varer (varer i arbeid og ferdige varer) skal vurderes til tilvirkningskost.</t>
  </si>
  <si>
    <t>Dette er norsk (og internasjonal) praksis og er nedfelt i den norske regnskapsloven.</t>
  </si>
  <si>
    <t>Beholdningsendringer bidragsmetoden (+21,5'+133,75')</t>
  </si>
  <si>
    <t>Budsjett:</t>
  </si>
  <si>
    <t>1.1.</t>
  </si>
  <si>
    <t>31.1.</t>
  </si>
  <si>
    <t>Derfor tar en ikke med administrasjonskostnader når varene skal verdsettes.</t>
  </si>
  <si>
    <t>Salgs-/adm.avd</t>
  </si>
  <si>
    <t>tilvirkningskostnadene. Motsatt ved negative avvik.</t>
  </si>
  <si>
    <t>Virkelig</t>
  </si>
  <si>
    <t>*) "Fleksibelt budsjett" for de variable kostnadene</t>
  </si>
  <si>
    <r>
      <t>*</t>
    </r>
    <r>
      <rPr>
        <vertAlign val="superscript"/>
        <sz val="12"/>
        <rFont val="Arial"/>
        <family val="2"/>
      </rPr>
      <t>)</t>
    </r>
    <r>
      <rPr>
        <sz val="12"/>
        <rFont val="Arial"/>
        <family val="2"/>
      </rPr>
      <t xml:space="preserve"> "Fleksibelt budsjett" for de variable kostnadene</t>
    </r>
  </si>
  <si>
    <t>Salgs- og adm.avdelingen</t>
  </si>
  <si>
    <t xml:space="preserve">Tillegg indirekte variable salgs- og </t>
  </si>
  <si>
    <t xml:space="preserve">       adm.kostnader </t>
  </si>
  <si>
    <t>Faste kostnader salgs-/adm.avdelingen</t>
  </si>
  <si>
    <t>Materialavdelingen:</t>
  </si>
  <si>
    <t>Dekningsdifferanse</t>
  </si>
  <si>
    <t>NB! Husk på at de budsjetterte indirekte variable kostnadene er lik de innkalkulerte variable indirekte kostnadene.</t>
  </si>
  <si>
    <t>som en variabel kostnad (aktivitetsmål · tilleggssats) i driftsregnskapet (se også læreboken).</t>
  </si>
  <si>
    <r>
      <t>kostnader*</t>
    </r>
    <r>
      <rPr>
        <vertAlign val="superscript"/>
        <sz val="12"/>
        <rFont val="Arial"/>
        <family val="2"/>
      </rPr>
      <t>)</t>
    </r>
  </si>
  <si>
    <t>Ferdig</t>
  </si>
  <si>
    <t>Vi har en netto lagerreduksjon. Dette medfører at vi legger til kostnader. Etter bidragsmetoden</t>
  </si>
  <si>
    <t>Ordre 101</t>
  </si>
  <si>
    <t>Ordre 102</t>
  </si>
  <si>
    <t>Ordre 103</t>
  </si>
  <si>
    <t>Ordre 104</t>
  </si>
  <si>
    <t>Salgs- og adm.avdeling</t>
  </si>
  <si>
    <t>Forklaring differanse i resultat:</t>
  </si>
  <si>
    <t>Total dekningsdifferanse</t>
  </si>
  <si>
    <t>Forbruks-</t>
  </si>
  <si>
    <t>Forbruksavvik:</t>
  </si>
  <si>
    <t>Vi ser at det er negative forbruksavvik på alle de indirekte kostnadene med</t>
  </si>
  <si>
    <t>AS Bidrag</t>
  </si>
  <si>
    <t>Avvik FK</t>
  </si>
  <si>
    <t>Avvik faste kostnader</t>
  </si>
  <si>
    <t xml:space="preserve">Vi ser at det virkelige dekningsbidraget er lavere enn normalkost </t>
  </si>
  <si>
    <t>skulle tilsi. Det medfører lavere dekningsgrad, høyere dekningspunkt-</t>
  </si>
  <si>
    <t>omsetning og lavere risikomargin i virkeligheten enn normalkost skulle tilsi.</t>
  </si>
  <si>
    <t>enn forutsatt.</t>
  </si>
  <si>
    <t>Det er et negativt avvik i de variable indirekte kostnadene i administrasjonsavdelingen på</t>
  </si>
  <si>
    <t>253 500. Innledningsvis fikk vi vite at bedriften vurderte variabel lønn til sine ansatte selgere.</t>
  </si>
  <si>
    <t>Det kan se ut som den endringen ble foretatt i april.</t>
  </si>
  <si>
    <t>kr 287 950. Samtidig er det et posetivt avvik i samme avdeling på de indirekte faste på kr</t>
  </si>
  <si>
    <t>indirekte kostnader enn "normalt".</t>
  </si>
  <si>
    <t>Materialavdelingen variable</t>
  </si>
  <si>
    <t>Materialavdelingen faste</t>
  </si>
  <si>
    <t>Tilvirkningsavdelingen variable</t>
  </si>
  <si>
    <t>Tilvirkningsavdelingen faste</t>
  </si>
  <si>
    <t>Administrasjonsavdelingen variable</t>
  </si>
  <si>
    <t>Administrasjonsavdelingen faste</t>
  </si>
  <si>
    <t xml:space="preserve">Regnskapet viser et overskudd på 761 000. Normalkost tilsier et resultat på </t>
  </si>
  <si>
    <t>bare 748 000 (produktresultatet). Vi har altså forbrukt kr 13 000 mindre</t>
  </si>
  <si>
    <t>Tilvirkningsavdeling 1 variable</t>
  </si>
  <si>
    <t>Tilvirkningsavdeling 1 faste</t>
  </si>
  <si>
    <t>Tilvirkningsavdeling 2 variable</t>
  </si>
  <si>
    <t>Tilvirkningsavdeling 2 faste</t>
  </si>
  <si>
    <t xml:space="preserve">Det er ikke store forskjellen på produktresultat og produksjonsresultatet (netto </t>
  </si>
  <si>
    <t>dekningsdifferanser er bare på kr 2 900) men vi ser jo at enkeltavvik er store,</t>
  </si>
  <si>
    <t xml:space="preserve"> f.eks. faste i tilvirkningsavdeling 1. Dette avviket bør underslkes nærmere.</t>
  </si>
  <si>
    <t>Innkalkulert</t>
  </si>
  <si>
    <t>Budsjett</t>
  </si>
  <si>
    <t>Totalt avvik</t>
  </si>
  <si>
    <t>1–2</t>
  </si>
  <si>
    <t>2–3</t>
  </si>
  <si>
    <t>1–3</t>
  </si>
  <si>
    <t>Fleksibelt budsjett</t>
  </si>
  <si>
    <t>Forbruksavvik</t>
  </si>
  <si>
    <t>Variable indirekte kostnader:</t>
  </si>
  <si>
    <t>Kostnadssted:</t>
  </si>
  <si>
    <t>Verbal analyse:</t>
  </si>
  <si>
    <t>Forbruksavviket kommer av avvik i prisdelen og/eller mengdedelen av kostnaden.</t>
  </si>
  <si>
    <t>Volum</t>
  </si>
  <si>
    <t>Det vil derfor heller ikke oppstå noe volumavvik i de variable kostnadene (se læreboken).</t>
  </si>
  <si>
    <t>Volumavvik:</t>
  </si>
  <si>
    <t>(1-2)</t>
  </si>
  <si>
    <t>(2-3)</t>
  </si>
  <si>
    <t>Totalt</t>
  </si>
  <si>
    <t>(1-3)</t>
  </si>
  <si>
    <t>AS CarEl</t>
  </si>
  <si>
    <t>Tilleggssatsene kalles normalsatser siden de baserer seg på budsjettet</t>
  </si>
  <si>
    <t>for en normalperiode.</t>
  </si>
  <si>
    <t>Løsningen på oppgave 4.3 (som er utgangspunktet for 4.5)</t>
  </si>
  <si>
    <t>Løsningen på oppgave 4.5</t>
  </si>
  <si>
    <t>Volum-avvik</t>
  </si>
  <si>
    <t>Forbruks-avvik</t>
  </si>
  <si>
    <t>Innkalkulerte (normalkostnaden) og de virkelige hentes rett fra det tabellariske oppsettet i løsningen til 4.3 ovenfor.</t>
  </si>
  <si>
    <t>de faste kostnadene (bare på de faste indirekte kostnadene, se lærebok).</t>
  </si>
  <si>
    <t>eller så har prisen per kilowattime strøm (priselen) vært lavere enn forutsatt.</t>
  </si>
  <si>
    <t>Faste indirekte kostnader:</t>
  </si>
  <si>
    <t>Innkalkulerte (normalkostnaden) og de virkelige hentes rett fra det tabellariske oppsettet i løsningen til 4.3.</t>
  </si>
  <si>
    <t xml:space="preserve">NB Klikk på cellene for å se utregningene / hvor tallene kommer i fra.  </t>
  </si>
  <si>
    <t>Budsjettallene hentes fra normalperiodens budsjett (klikk i cellene så ser du hvor tallene kommer i fra).</t>
  </si>
  <si>
    <t>driftsregnskapet får vi et volumavvik dersom ikke volumet (aktiviteten) har vært akkurat den samme</t>
  </si>
  <si>
    <t xml:space="preserve">som i normalperioden. </t>
  </si>
  <si>
    <t>Siden vi "feilaktig" behandler de faste indirekte kostnadene som om de var variable i det tabellariske oppsettet av</t>
  </si>
  <si>
    <t xml:space="preserve">32 000. </t>
  </si>
  <si>
    <t>Volumavviket kommer enkelt og greit av at vi har hatt et høyere volum (aktivitet) enn i normalperioden.</t>
  </si>
  <si>
    <t>Når totalavviket bare er 6 000, og volumavviket hele 32 000, betyr det at forbruksavviket må være negativt</t>
  </si>
  <si>
    <t>og på - 26 000. Det er dette avviket som er det "interessante" i den forstand at det er dette som sier noe</t>
  </si>
  <si>
    <t>om avvik i de indirekte kostnadene (etter at vi har korrigert for volumavviket).</t>
  </si>
  <si>
    <t xml:space="preserve">Eksempelvis kan husleieprisen per kvadratmeter gått opp (prisdelen av kostnaden) mer en budsjettert og / eller </t>
  </si>
  <si>
    <t>så kan vi ha leid et større antall kvadratmeter (mengdedelen av kostnaden) enn budsjettert.</t>
  </si>
  <si>
    <t>og normalsatsene oppdateres med de korrekte kostnadene.</t>
  </si>
  <si>
    <t>Innkalkulerte og fleksibelt budsjett vil jo alltid ha samme verdi siden det ikke eksisterer noe volumavvik på</t>
  </si>
  <si>
    <t>For eksempel vil strøm til maskinene kunne være en indirekte kostnad i tilvirkningsavdelingen.</t>
  </si>
  <si>
    <t>Siden vi har et positivt avvik kan det tyde på at vi har forbrukt en mindre mengde strøm (mengdedelen) og /</t>
  </si>
  <si>
    <t xml:space="preserve">Eksempel tilvirkningsavdelingen. Her er normal aktivitet i følge budsjettet 2 000 000 (DL), mens vi i den aktuelle </t>
  </si>
  <si>
    <t xml:space="preserve">perioden har hatt en høyere aktivitet i virkeligheten (DL 2 200 000) slik at vi har belastet kundene med </t>
  </si>
  <si>
    <t>mer indirekte faste kostnader enn budsjettert (siden vi innkalkulerer og beregner de faste kostnadene</t>
  </si>
  <si>
    <t xml:space="preserve">som om disse var variable). Slik sett har vi kommet godt ut av det og effekten er et positivt avvik på </t>
  </si>
  <si>
    <t>Finner vi ut at disse endringene er permanente så er det viktig at budsjettet for normalperioden</t>
  </si>
  <si>
    <t>Negativt avvik tyder på at prisdelen og / eller mengdedelen av kostnaden har vært høyere en forutsatt.</t>
  </si>
  <si>
    <t>Utgangspunktet fra oppgave 4.4. Løsningen på 4.6 fra rad 55 nedenfor</t>
  </si>
  <si>
    <t>Oppgave 4.6 avviksanalyse:</t>
  </si>
  <si>
    <t>Innkalkulerte (normalkostnaden) og de virkelige hentes rett fra det tabellariske oppsettet i løsningen til 4.4 ovenfor.</t>
  </si>
  <si>
    <t>For eksempel vil strøm til maskinene kunne være en indirekte kostnad i tilvirkningsavdeling 1.</t>
  </si>
  <si>
    <t xml:space="preserve">perioden har hatt en høyere aktivitet i virkeligheten (DL2 på 400 000) slik at vi har belastet kundene med </t>
  </si>
  <si>
    <t xml:space="preserve">Eksempel tilvirkningsavdelingen 2. Her er normal aktivitet i følge budsjettet 300 000 (DL 2), mens vi i den aktuelle </t>
  </si>
  <si>
    <t>hele 52 500.</t>
  </si>
  <si>
    <t>I tilvirkningsavdeling 1 derimot, ser vi at det ikke er noe volumavvik. Det kommer av at volumet (aktiviteten)</t>
  </si>
  <si>
    <t xml:space="preserve"> i den aktuele perioden er den samme som i den budsjetterte normalperioden (DL 1 er 700 000 i begge tilfellene).</t>
  </si>
  <si>
    <t>Vi tar utgangspunkt i tilvirkningsavdeling 2 (prinsippet blir det samme uansett avdeling)</t>
  </si>
  <si>
    <t>Når totalavviket bare er 3 600, og volumavviket hele 52 500, betyr det at forbruksavviket må være negativt</t>
  </si>
  <si>
    <t>og på - 48 900. Det er dette avviket som er det "interessante" i den forstand at det er dette som sier noe</t>
  </si>
  <si>
    <t>Volum-</t>
  </si>
  <si>
    <t>Det vil derfor heller ikke oppstå noe volumavvik i de variable kostnadene.</t>
  </si>
  <si>
    <r>
      <t xml:space="preserve">Volumavviket oppstår kun som en følge av at vi behandler de innkalkulerte </t>
    </r>
    <r>
      <rPr>
        <i/>
        <sz val="12"/>
        <rFont val="Arial"/>
        <family val="2"/>
      </rPr>
      <t>faste</t>
    </r>
    <r>
      <rPr>
        <sz val="12"/>
        <rFont val="Arial"/>
        <family val="2"/>
      </rPr>
      <t xml:space="preserve"> indirekte kostnadene </t>
    </r>
  </si>
  <si>
    <r>
      <t>kostnader *</t>
    </r>
    <r>
      <rPr>
        <vertAlign val="superscript"/>
        <sz val="12"/>
        <rFont val="Arial"/>
        <family val="2"/>
      </rPr>
      <t>)</t>
    </r>
  </si>
  <si>
    <t>Endring (+reduksjon / - økning)</t>
  </si>
  <si>
    <t xml:space="preserve">Det er en lagerøkning i både ViA og FV. Disse varene er jo dermed ikke solgt </t>
  </si>
  <si>
    <t>og tilvirkningskostnaden må trekkes i fra på kostnadssiden når vi utarneider</t>
  </si>
  <si>
    <t>driftsregnskapet nedenfor.</t>
  </si>
  <si>
    <t>budsjett</t>
  </si>
  <si>
    <t>Aktivitets-</t>
  </si>
  <si>
    <t>januar</t>
  </si>
  <si>
    <t>Materialavdelingen fast</t>
  </si>
  <si>
    <t>Materialavdelingen variabel</t>
  </si>
  <si>
    <t>Tilvirkningsavdelingen fast</t>
  </si>
  <si>
    <t>Tilvirkningsavdelingen variabel</t>
  </si>
  <si>
    <t>Administrasjonsavdelingen fast</t>
  </si>
  <si>
    <r>
      <t xml:space="preserve">NB! Husk på at de budsjetterte indirekte </t>
    </r>
    <r>
      <rPr>
        <i/>
        <sz val="12"/>
        <rFont val="Arial"/>
        <family val="2"/>
      </rPr>
      <t>variable</t>
    </r>
    <r>
      <rPr>
        <sz val="12"/>
        <rFont val="Arial"/>
        <family val="2"/>
      </rPr>
      <t xml:space="preserve"> kostnadene er lik de innkalkulerte variable indirekte kostnadene.</t>
    </r>
  </si>
  <si>
    <t xml:space="preserve">Volumavviket oppstår kun på grunn av at vi behandler de innkalkulerte faste indirekte kostnadene </t>
  </si>
  <si>
    <t>Generelt om avvik (se også tidligere løsningsforslag)</t>
  </si>
  <si>
    <r>
      <t>Faste kostnader *</t>
    </r>
    <r>
      <rPr>
        <i/>
        <vertAlign val="superscript"/>
        <sz val="12"/>
        <rFont val="Arial"/>
        <family val="2"/>
      </rPr>
      <t>)</t>
    </r>
    <r>
      <rPr>
        <i/>
        <sz val="12"/>
        <rFont val="Arial"/>
        <family val="2"/>
      </rPr>
      <t>:</t>
    </r>
  </si>
  <si>
    <t>Økning (–) / reduksjon (+)</t>
  </si>
  <si>
    <t>Oppgitt budsjett for normalperioden:</t>
  </si>
  <si>
    <t>Vi må starte med varelagerberegningene som vil bli annerledes (det er jo denne forskjellen</t>
  </si>
  <si>
    <t>som til syvende og sist forklarer avviket i resultat ved bruk av de to metodene).</t>
  </si>
  <si>
    <t xml:space="preserve">Eneste forklaring på forskjellig resultat etter bidragsmetoden og selvkostmetoden er forskjellig </t>
  </si>
  <si>
    <t>vurdering av varebeholdningen:</t>
  </si>
  <si>
    <t xml:space="preserve">Siden selvkostregnskapet ikke splittet opp de innkalkulerte kostnadene i en variabel og en fast del </t>
  </si>
  <si>
    <t>så må vi gjøre det i analyseskjemaet (kolonne C):</t>
  </si>
  <si>
    <r>
      <t xml:space="preserve">Volumavviket oppstår kun fordi vi behandler de innkalkulerte </t>
    </r>
    <r>
      <rPr>
        <b/>
        <i/>
        <sz val="12"/>
        <rFont val="Arial"/>
        <family val="2"/>
      </rPr>
      <t>faste</t>
    </r>
    <r>
      <rPr>
        <sz val="12"/>
        <rFont val="Arial"/>
        <family val="2"/>
      </rPr>
      <t xml:space="preserve"> indirekte kostnadene </t>
    </r>
  </si>
  <si>
    <t>tidligere oppgaver og i læreboken.</t>
  </si>
  <si>
    <t xml:space="preserve">a) </t>
  </si>
  <si>
    <t>Vi må starte med å beregne verdien på varebeholdningene før vi kan avslutte regnskapet</t>
  </si>
  <si>
    <t>Oppgitte normalsatser:</t>
  </si>
  <si>
    <t>Deretter kan vi avslutte den delen ar regnskapet som ikke er oppgitt i oppgaveteksten:</t>
  </si>
  <si>
    <t>Ved netto lagerreduksjon, som i dette tilfellet, legger vi til kostnader. Vi legger til mest kostnader ved selvkostmetoden. Bidragsmetoden</t>
  </si>
  <si>
    <t>Ved netto lagerøkning ville vi trekke i fra kostnader på kostnadssiden. Da ville selvkostmetoden gitt best resultat siden den metoden</t>
  </si>
  <si>
    <t>vurderer varelageret til en høyere verdi (bade faste og variable).</t>
  </si>
  <si>
    <t>Vi må starte med å beregne verdien på varebeholdningene før vi kan avslutte regnskapet:</t>
  </si>
  <si>
    <t>Deretter avslutter vi driftsregnskapet:</t>
  </si>
  <si>
    <t>Vi får oppgitt fordelingen av de 90 000 fra normalperiodens indirekte kostnader i tilvirkningsavdeling 1:</t>
  </si>
  <si>
    <t>Normalsatsen på 50 % kan vi splitte opp i en fast og en variabel del:</t>
  </si>
  <si>
    <t>Nå er vi klare for å foreta avviksanalysen:</t>
  </si>
  <si>
    <t>Kommentarer (se tidligere oppgaver og lærebok).</t>
  </si>
  <si>
    <t>Vi må beregne verdien av varebeholdningene etter bidragsmetoden.</t>
  </si>
  <si>
    <t>Forskjellen i resultat forklares som altid med forskjellig vurdering av varelegerendringer.</t>
  </si>
  <si>
    <t>AS Uniproduksjon</t>
  </si>
  <si>
    <t>dekkningsdifferansen kommer av at det er forbrukt en annen mengde og / eller til en annen pris</t>
  </si>
  <si>
    <t>Nedenfor finner du riktig oppgavetekst. Løsning fra rad 50.</t>
  </si>
  <si>
    <t xml:space="preserve">Alle avvik er forbruksavvik siden regnakapet er satt opp etter bidragsmetoden. Det betyr at </t>
  </si>
  <si>
    <t>På grunn av forskjellig vurdering av varer i arbeid og ferdige varer.</t>
  </si>
  <si>
    <t xml:space="preserve">De virkelige indirekte kostnadene er lavere i virkeligheten enn det normen </t>
  </si>
  <si>
    <t>de variable kostnadene (bare på de faste indirekte kostnadene, se lærebok).</t>
  </si>
  <si>
    <t>skulle tilsi (de innkalkulerte). Lavere virkelige kostnader betyr at enten så har</t>
  </si>
  <si>
    <t>prisen på de indirekte produksjonsfaktorene vært lavere enn forutsatt</t>
  </si>
  <si>
    <t>og / eller så har mengden forbrukt av disse produksjonsfaktorene vært lavere</t>
  </si>
  <si>
    <t>enn forutsatt. Er dette vedvarende så bør normalsatsene endres.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</si>
</sst>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0.0\ %"/>
    <numFmt numFmtId="167" formatCode="_(* #,##0_);_(* \(#,##0\);_(* &quot;-&quot;??_);_(@_)"/>
    <numFmt numFmtId="168" formatCode="_(&quot;kr&quot;\ * #,##0_);_(&quot;kr&quot;\ * \(#,##0\);_(&quot;kr&quot;\ 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i/>
      <sz val="11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</font>
    <font>
      <sz val="10"/>
      <name val="Arial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8"/>
      <name val="Verdana"/>
    </font>
    <font>
      <sz val="11"/>
      <color rgb="FF0070C0"/>
      <name val="Arial"/>
      <family val="2"/>
    </font>
    <font>
      <vertAlign val="superscript"/>
      <sz val="12"/>
      <name val="Arial"/>
      <family val="2"/>
    </font>
    <font>
      <sz val="12"/>
      <color indexed="10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sz val="12"/>
      <color rgb="FF7030A0"/>
      <name val="Arial"/>
      <family val="2"/>
    </font>
    <font>
      <i/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mediumGray">
        <fgColor rgb="FF00FFFF"/>
        <bgColor rgb="FFB4FFFF"/>
      </patternFill>
    </fill>
    <fill>
      <patternFill patternType="solid">
        <fgColor rgb="FFE6E6E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62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0" fontId="4" fillId="0" borderId="0" xfId="0" quotePrefix="1" applyFont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/>
    <xf numFmtId="3" fontId="3" fillId="0" borderId="1" xfId="0" applyNumberFormat="1" applyFont="1" applyBorder="1"/>
    <xf numFmtId="0" fontId="3" fillId="0" borderId="1" xfId="0" applyFont="1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0" fontId="6" fillId="0" borderId="2" xfId="0" applyFont="1" applyBorder="1"/>
    <xf numFmtId="3" fontId="6" fillId="0" borderId="3" xfId="0" quotePrefix="1" applyNumberFormat="1" applyFont="1" applyBorder="1" applyAlignment="1">
      <alignment horizontal="center"/>
    </xf>
    <xf numFmtId="3" fontId="6" fillId="0" borderId="4" xfId="0" applyNumberFormat="1" applyFont="1" applyBorder="1"/>
    <xf numFmtId="3" fontId="6" fillId="0" borderId="3" xfId="0" applyNumberFormat="1" applyFont="1" applyBorder="1"/>
    <xf numFmtId="0" fontId="6" fillId="0" borderId="5" xfId="0" applyFont="1" applyBorder="1"/>
    <xf numFmtId="3" fontId="6" fillId="0" borderId="6" xfId="0" applyNumberFormat="1" applyFont="1" applyBorder="1" applyAlignment="1">
      <alignment horizontal="center"/>
    </xf>
    <xf numFmtId="3" fontId="6" fillId="0" borderId="7" xfId="0" applyNumberFormat="1" applyFont="1" applyBorder="1"/>
    <xf numFmtId="3" fontId="6" fillId="0" borderId="6" xfId="0" applyNumberFormat="1" applyFont="1" applyBorder="1"/>
    <xf numFmtId="0" fontId="6" fillId="0" borderId="8" xfId="0" applyFont="1" applyBorder="1"/>
    <xf numFmtId="3" fontId="6" fillId="0" borderId="8" xfId="0" applyNumberFormat="1" applyFont="1" applyBorder="1"/>
    <xf numFmtId="0" fontId="6" fillId="0" borderId="8" xfId="0" quotePrefix="1" applyFont="1" applyBorder="1" applyAlignment="1">
      <alignment horizontal="left"/>
    </xf>
    <xf numFmtId="0" fontId="7" fillId="0" borderId="8" xfId="0" applyFont="1" applyBorder="1"/>
    <xf numFmtId="0" fontId="6" fillId="0" borderId="9" xfId="0" quotePrefix="1" applyFont="1" applyBorder="1" applyAlignment="1">
      <alignment horizontal="left"/>
    </xf>
    <xf numFmtId="3" fontId="6" fillId="0" borderId="10" xfId="0" applyNumberFormat="1" applyFont="1" applyBorder="1"/>
    <xf numFmtId="0" fontId="6" fillId="0" borderId="6" xfId="0" applyFont="1" applyBorder="1"/>
    <xf numFmtId="10" fontId="6" fillId="0" borderId="0" xfId="1" applyNumberFormat="1" applyFont="1"/>
    <xf numFmtId="0" fontId="8" fillId="0" borderId="0" xfId="0" applyFont="1"/>
    <xf numFmtId="0" fontId="6" fillId="0" borderId="1" xfId="0" applyFont="1" applyBorder="1"/>
    <xf numFmtId="3" fontId="6" fillId="0" borderId="1" xfId="0" applyNumberFormat="1" applyFont="1" applyBorder="1"/>
    <xf numFmtId="0" fontId="6" fillId="0" borderId="11" xfId="0" applyFont="1" applyBorder="1"/>
    <xf numFmtId="3" fontId="6" fillId="0" borderId="11" xfId="0" applyNumberFormat="1" applyFont="1" applyBorder="1"/>
    <xf numFmtId="0" fontId="6" fillId="0" borderId="8" xfId="0" applyFont="1" applyBorder="1" applyAlignment="1">
      <alignment horizontal="left"/>
    </xf>
    <xf numFmtId="0" fontId="6" fillId="0" borderId="0" xfId="0" applyFont="1" applyBorder="1"/>
    <xf numFmtId="3" fontId="6" fillId="0" borderId="0" xfId="0" applyNumberFormat="1" applyFont="1" applyBorder="1"/>
    <xf numFmtId="164" fontId="6" fillId="0" borderId="0" xfId="3" applyFont="1" applyBorder="1"/>
    <xf numFmtId="0" fontId="6" fillId="0" borderId="0" xfId="0" quotePrefix="1" applyFont="1" applyBorder="1" applyAlignment="1">
      <alignment horizontal="left"/>
    </xf>
    <xf numFmtId="0" fontId="3" fillId="0" borderId="12" xfId="0" applyFont="1" applyBorder="1"/>
    <xf numFmtId="0" fontId="3" fillId="0" borderId="13" xfId="0" applyFont="1" applyBorder="1"/>
    <xf numFmtId="0" fontId="3" fillId="0" borderId="18" xfId="0" applyFont="1" applyBorder="1"/>
    <xf numFmtId="0" fontId="3" fillId="0" borderId="20" xfId="0" applyFont="1" applyBorder="1"/>
    <xf numFmtId="3" fontId="3" fillId="0" borderId="9" xfId="0" applyNumberFormat="1" applyFont="1" applyBorder="1"/>
    <xf numFmtId="3" fontId="3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" xfId="0" applyFont="1" applyBorder="1"/>
    <xf numFmtId="0" fontId="3" fillId="0" borderId="24" xfId="0" applyFont="1" applyBorder="1"/>
    <xf numFmtId="3" fontId="3" fillId="0" borderId="3" xfId="0" applyNumberFormat="1" applyFont="1" applyBorder="1" applyAlignment="1">
      <alignment horizontal="center"/>
    </xf>
    <xf numFmtId="0" fontId="3" fillId="0" borderId="5" xfId="0" applyFont="1" applyBorder="1"/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9" xfId="0" applyFont="1" applyBorder="1"/>
    <xf numFmtId="3" fontId="3" fillId="0" borderId="8" xfId="0" applyNumberFormat="1" applyFont="1" applyBorder="1"/>
    <xf numFmtId="0" fontId="3" fillId="0" borderId="25" xfId="0" applyFont="1" applyBorder="1"/>
    <xf numFmtId="3" fontId="3" fillId="0" borderId="25" xfId="0" applyNumberFormat="1" applyFont="1" applyBorder="1"/>
    <xf numFmtId="0" fontId="5" fillId="0" borderId="9" xfId="0" applyFont="1" applyBorder="1"/>
    <xf numFmtId="166" fontId="3" fillId="0" borderId="25" xfId="1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0" fontId="3" fillId="0" borderId="4" xfId="0" applyFont="1" applyBorder="1"/>
    <xf numFmtId="0" fontId="3" fillId="0" borderId="7" xfId="0" applyFont="1" applyBorder="1"/>
    <xf numFmtId="3" fontId="3" fillId="0" borderId="0" xfId="0" applyNumberFormat="1" applyFont="1"/>
    <xf numFmtId="166" fontId="3" fillId="0" borderId="7" xfId="1" applyNumberFormat="1" applyFont="1" applyBorder="1"/>
    <xf numFmtId="3" fontId="6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3" fontId="9" fillId="0" borderId="0" xfId="0" applyNumberFormat="1" applyFont="1"/>
    <xf numFmtId="3" fontId="9" fillId="0" borderId="0" xfId="0" applyNumberFormat="1" applyFont="1" applyBorder="1"/>
    <xf numFmtId="0" fontId="8" fillId="0" borderId="10" xfId="0" applyFont="1" applyBorder="1"/>
    <xf numFmtId="3" fontId="9" fillId="0" borderId="9" xfId="0" applyNumberFormat="1" applyFont="1" applyBorder="1"/>
    <xf numFmtId="3" fontId="9" fillId="0" borderId="6" xfId="0" applyNumberFormat="1" applyFont="1" applyBorder="1"/>
    <xf numFmtId="3" fontId="9" fillId="0" borderId="3" xfId="0" applyNumberFormat="1" applyFont="1" applyBorder="1"/>
    <xf numFmtId="0" fontId="9" fillId="0" borderId="6" xfId="0" applyFont="1" applyBorder="1"/>
    <xf numFmtId="3" fontId="6" fillId="0" borderId="10" xfId="0" applyNumberFormat="1" applyFont="1" applyBorder="1" applyAlignment="1">
      <alignment horizontal="center"/>
    </xf>
    <xf numFmtId="10" fontId="6" fillId="0" borderId="8" xfId="1" applyNumberFormat="1" applyFont="1" applyBorder="1"/>
    <xf numFmtId="10" fontId="6" fillId="0" borderId="6" xfId="1" applyNumberFormat="1" applyFont="1" applyBorder="1"/>
    <xf numFmtId="3" fontId="6" fillId="0" borderId="26" xfId="0" applyNumberFormat="1" applyFont="1" applyBorder="1"/>
    <xf numFmtId="3" fontId="3" fillId="0" borderId="8" xfId="0" applyNumberFormat="1" applyFont="1" applyBorder="1" applyAlignment="1">
      <alignment horizontal="center"/>
    </xf>
    <xf numFmtId="3" fontId="6" fillId="0" borderId="25" xfId="0" applyNumberFormat="1" applyFont="1" applyBorder="1"/>
    <xf numFmtId="0" fontId="6" fillId="0" borderId="27" xfId="0" applyFont="1" applyBorder="1"/>
    <xf numFmtId="0" fontId="6" fillId="0" borderId="3" xfId="0" applyFont="1" applyBorder="1"/>
    <xf numFmtId="0" fontId="6" fillId="0" borderId="9" xfId="0" applyFont="1" applyBorder="1"/>
    <xf numFmtId="10" fontId="6" fillId="0" borderId="0" xfId="1" applyNumberFormat="1" applyFont="1" applyBorder="1"/>
    <xf numFmtId="0" fontId="3" fillId="0" borderId="5" xfId="0" quotePrefix="1" applyFont="1" applyBorder="1" applyAlignment="1">
      <alignment horizontal="left"/>
    </xf>
    <xf numFmtId="0" fontId="3" fillId="0" borderId="0" xfId="0" applyFont="1" applyFill="1" applyBorder="1"/>
    <xf numFmtId="9" fontId="3" fillId="0" borderId="0" xfId="1" applyFont="1" applyFill="1" applyBorder="1"/>
    <xf numFmtId="3" fontId="3" fillId="0" borderId="3" xfId="0" quotePrefix="1" applyNumberFormat="1" applyFont="1" applyBorder="1" applyAlignment="1">
      <alignment horizontal="center"/>
    </xf>
    <xf numFmtId="3" fontId="3" fillId="0" borderId="4" xfId="0" applyNumberFormat="1" applyFont="1" applyBorder="1"/>
    <xf numFmtId="3" fontId="3" fillId="0" borderId="3" xfId="0" applyNumberFormat="1" applyFont="1" applyBorder="1"/>
    <xf numFmtId="0" fontId="5" fillId="0" borderId="9" xfId="0" quotePrefix="1" applyFont="1" applyBorder="1" applyAlignment="1">
      <alignment horizontal="left"/>
    </xf>
    <xf numFmtId="0" fontId="3" fillId="0" borderId="8" xfId="0" applyFont="1" applyBorder="1"/>
    <xf numFmtId="0" fontId="3" fillId="0" borderId="8" xfId="0" quotePrefix="1" applyFont="1" applyBorder="1" applyAlignment="1">
      <alignment horizontal="left"/>
    </xf>
    <xf numFmtId="0" fontId="5" fillId="0" borderId="8" xfId="0" applyFont="1" applyBorder="1"/>
    <xf numFmtId="3" fontId="3" fillId="0" borderId="10" xfId="0" applyNumberFormat="1" applyFont="1" applyBorder="1"/>
    <xf numFmtId="0" fontId="3" fillId="0" borderId="6" xfId="0" applyFont="1" applyBorder="1"/>
    <xf numFmtId="3" fontId="3" fillId="0" borderId="28" xfId="0" applyNumberFormat="1" applyFont="1" applyBorder="1"/>
    <xf numFmtId="10" fontId="3" fillId="0" borderId="0" xfId="1" applyNumberFormat="1" applyFont="1" applyFill="1" applyBorder="1"/>
    <xf numFmtId="0" fontId="6" fillId="0" borderId="10" xfId="0" applyFont="1" applyBorder="1"/>
    <xf numFmtId="0" fontId="3" fillId="0" borderId="8" xfId="0" applyFont="1" applyFill="1" applyBorder="1"/>
    <xf numFmtId="0" fontId="3" fillId="0" borderId="6" xfId="0" applyFont="1" applyBorder="1" applyAlignment="1">
      <alignment horizontal="left"/>
    </xf>
    <xf numFmtId="0" fontId="8" fillId="0" borderId="0" xfId="0" applyFont="1" applyBorder="1"/>
    <xf numFmtId="0" fontId="6" fillId="0" borderId="5" xfId="0" quotePrefix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0" xfId="0" applyFont="1" applyFill="1" applyBorder="1"/>
    <xf numFmtId="0" fontId="13" fillId="0" borderId="0" xfId="0" applyFont="1"/>
    <xf numFmtId="0" fontId="14" fillId="0" borderId="0" xfId="0" applyFont="1"/>
    <xf numFmtId="0" fontId="11" fillId="0" borderId="8" xfId="0" applyFont="1" applyBorder="1"/>
    <xf numFmtId="0" fontId="14" fillId="0" borderId="0" xfId="0" quotePrefix="1" applyFont="1" applyFill="1" applyBorder="1" applyAlignment="1">
      <alignment horizontal="left"/>
    </xf>
    <xf numFmtId="0" fontId="9" fillId="0" borderId="3" xfId="0" applyFont="1" applyBorder="1"/>
    <xf numFmtId="3" fontId="9" fillId="0" borderId="8" xfId="0" applyNumberFormat="1" applyFont="1" applyBorder="1"/>
    <xf numFmtId="0" fontId="9" fillId="0" borderId="8" xfId="0" applyFont="1" applyFill="1" applyBorder="1"/>
    <xf numFmtId="3" fontId="9" fillId="0" borderId="10" xfId="0" applyNumberFormat="1" applyFont="1" applyBorder="1"/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3" xfId="0" applyFont="1" applyFill="1" applyBorder="1"/>
    <xf numFmtId="0" fontId="9" fillId="0" borderId="29" xfId="0" applyFont="1" applyFill="1" applyBorder="1"/>
    <xf numFmtId="0" fontId="9" fillId="0" borderId="0" xfId="0" quotePrefix="1" applyFont="1" applyFill="1" applyBorder="1" applyAlignment="1">
      <alignment horizontal="left"/>
    </xf>
    <xf numFmtId="0" fontId="9" fillId="0" borderId="29" xfId="0" quotePrefix="1" applyFont="1" applyFill="1" applyBorder="1" applyAlignment="1">
      <alignment horizontal="left"/>
    </xf>
    <xf numFmtId="0" fontId="9" fillId="0" borderId="10" xfId="0" applyFont="1" applyFill="1" applyBorder="1"/>
    <xf numFmtId="168" fontId="3" fillId="0" borderId="0" xfId="3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9" fontId="5" fillId="0" borderId="0" xfId="5" applyNumberFormat="1" applyFont="1" applyAlignment="1">
      <alignment horizontal="right"/>
    </xf>
    <xf numFmtId="0" fontId="3" fillId="0" borderId="10" xfId="0" applyFont="1" applyBorder="1"/>
    <xf numFmtId="0" fontId="3" fillId="0" borderId="3" xfId="0" applyFont="1" applyBorder="1"/>
    <xf numFmtId="3" fontId="3" fillId="0" borderId="5" xfId="0" applyNumberFormat="1" applyFont="1" applyBorder="1"/>
    <xf numFmtId="3" fontId="3" fillId="0" borderId="26" xfId="0" applyNumberFormat="1" applyFont="1" applyBorder="1"/>
    <xf numFmtId="0" fontId="16" fillId="0" borderId="0" xfId="0" applyFont="1"/>
    <xf numFmtId="0" fontId="17" fillId="0" borderId="0" xfId="0" applyFont="1"/>
    <xf numFmtId="0" fontId="16" fillId="0" borderId="3" xfId="0" applyFont="1" applyBorder="1"/>
    <xf numFmtId="167" fontId="16" fillId="0" borderId="3" xfId="4" applyNumberFormat="1" applyFont="1" applyBorder="1"/>
    <xf numFmtId="167" fontId="16" fillId="0" borderId="0" xfId="4" applyNumberFormat="1" applyFont="1"/>
    <xf numFmtId="0" fontId="16" fillId="0" borderId="8" xfId="0" applyFont="1" applyBorder="1"/>
    <xf numFmtId="167" fontId="16" fillId="0" borderId="8" xfId="4" applyNumberFormat="1" applyFont="1" applyBorder="1"/>
    <xf numFmtId="167" fontId="16" fillId="0" borderId="0" xfId="4" applyNumberFormat="1" applyFont="1" applyBorder="1" applyAlignment="1">
      <alignment horizontal="center"/>
    </xf>
    <xf numFmtId="167" fontId="16" fillId="0" borderId="26" xfId="4" applyNumberFormat="1" applyFont="1" applyBorder="1" applyAlignment="1">
      <alignment horizontal="center"/>
    </xf>
    <xf numFmtId="167" fontId="16" fillId="0" borderId="10" xfId="4" applyNumberFormat="1" applyFont="1" applyBorder="1" applyAlignment="1">
      <alignment horizontal="center"/>
    </xf>
    <xf numFmtId="167" fontId="16" fillId="0" borderId="4" xfId="4" applyNumberFormat="1" applyFont="1" applyBorder="1"/>
    <xf numFmtId="167" fontId="16" fillId="0" borderId="25" xfId="4" applyNumberFormat="1" applyFont="1" applyBorder="1"/>
    <xf numFmtId="0" fontId="16" fillId="0" borderId="6" xfId="0" applyFont="1" applyBorder="1"/>
    <xf numFmtId="167" fontId="16" fillId="0" borderId="6" xfId="4" applyNumberFormat="1" applyFont="1" applyBorder="1"/>
    <xf numFmtId="0" fontId="16" fillId="0" borderId="0" xfId="0" applyFont="1" applyFill="1" applyBorder="1"/>
    <xf numFmtId="167" fontId="16" fillId="0" borderId="7" xfId="4" applyNumberFormat="1" applyFont="1" applyBorder="1"/>
    <xf numFmtId="0" fontId="16" fillId="0" borderId="10" xfId="0" applyFont="1" applyBorder="1" applyAlignment="1">
      <alignment horizontal="center"/>
    </xf>
    <xf numFmtId="0" fontId="16" fillId="0" borderId="10" xfId="0" quotePrefix="1" applyFont="1" applyBorder="1" applyAlignment="1">
      <alignment horizontal="center"/>
    </xf>
    <xf numFmtId="3" fontId="16" fillId="0" borderId="0" xfId="0" applyNumberFormat="1" applyFont="1"/>
    <xf numFmtId="3" fontId="16" fillId="0" borderId="3" xfId="0" applyNumberFormat="1" applyFont="1" applyBorder="1"/>
    <xf numFmtId="3" fontId="16" fillId="0" borderId="10" xfId="0" applyNumberFormat="1" applyFont="1" applyBorder="1" applyAlignment="1">
      <alignment horizontal="center"/>
    </xf>
    <xf numFmtId="3" fontId="16" fillId="0" borderId="6" xfId="0" applyNumberFormat="1" applyFont="1" applyBorder="1"/>
    <xf numFmtId="3" fontId="16" fillId="0" borderId="8" xfId="0" applyNumberFormat="1" applyFont="1" applyBorder="1"/>
    <xf numFmtId="0" fontId="18" fillId="0" borderId="8" xfId="0" applyFont="1" applyBorder="1"/>
    <xf numFmtId="3" fontId="16" fillId="0" borderId="9" xfId="0" applyNumberFormat="1" applyFont="1" applyBorder="1"/>
    <xf numFmtId="3" fontId="16" fillId="0" borderId="10" xfId="0" applyNumberFormat="1" applyFont="1" applyBorder="1"/>
    <xf numFmtId="0" fontId="16" fillId="0" borderId="10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8" xfId="0" applyFont="1" applyFill="1" applyBorder="1"/>
    <xf numFmtId="0" fontId="16" fillId="0" borderId="10" xfId="0" applyFont="1" applyFill="1" applyBorder="1"/>
    <xf numFmtId="3" fontId="6" fillId="0" borderId="8" xfId="0" applyNumberFormat="1" applyFont="1" applyBorder="1" applyAlignment="1">
      <alignment horizontal="center"/>
    </xf>
    <xf numFmtId="0" fontId="6" fillId="0" borderId="27" xfId="0" quotePrefix="1" applyFont="1" applyBorder="1" applyAlignment="1">
      <alignment horizontal="left"/>
    </xf>
    <xf numFmtId="0" fontId="4" fillId="0" borderId="0" xfId="0" applyFont="1" applyAlignment="1">
      <alignment horizontal="left"/>
    </xf>
    <xf numFmtId="3" fontId="6" fillId="0" borderId="0" xfId="0" applyNumberFormat="1" applyFont="1" applyBorder="1" applyAlignment="1">
      <alignment horizontal="center"/>
    </xf>
    <xf numFmtId="3" fontId="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9" xfId="0" applyFont="1" applyBorder="1"/>
    <xf numFmtId="3" fontId="9" fillId="0" borderId="8" xfId="0" applyNumberFormat="1" applyFont="1" applyBorder="1" applyAlignment="1">
      <alignment horizontal="center"/>
    </xf>
    <xf numFmtId="0" fontId="9" fillId="0" borderId="0" xfId="0" applyFont="1"/>
    <xf numFmtId="166" fontId="16" fillId="0" borderId="3" xfId="5" applyNumberFormat="1" applyFont="1" applyBorder="1" applyAlignment="1">
      <alignment horizontal="right"/>
    </xf>
    <xf numFmtId="166" fontId="16" fillId="0" borderId="8" xfId="5" applyNumberFormat="1" applyFont="1" applyBorder="1" applyAlignment="1">
      <alignment horizontal="right"/>
    </xf>
    <xf numFmtId="166" fontId="16" fillId="0" borderId="6" xfId="5" applyNumberFormat="1" applyFont="1" applyBorder="1" applyAlignment="1">
      <alignment horizontal="right"/>
    </xf>
    <xf numFmtId="166" fontId="16" fillId="0" borderId="6" xfId="0" applyNumberFormat="1" applyFont="1" applyBorder="1"/>
    <xf numFmtId="3" fontId="16" fillId="0" borderId="8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left"/>
    </xf>
    <xf numFmtId="3" fontId="3" fillId="0" borderId="27" xfId="0" applyNumberFormat="1" applyFont="1" applyBorder="1"/>
    <xf numFmtId="3" fontId="3" fillId="0" borderId="11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0" fillId="0" borderId="0" xfId="0" applyFont="1"/>
    <xf numFmtId="3" fontId="20" fillId="0" borderId="0" xfId="0" applyNumberFormat="1" applyFont="1"/>
    <xf numFmtId="3" fontId="9" fillId="0" borderId="10" xfId="0" applyNumberFormat="1" applyFont="1" applyBorder="1" applyAlignment="1">
      <alignment horizontal="center"/>
    </xf>
    <xf numFmtId="9" fontId="3" fillId="0" borderId="0" xfId="1" applyFont="1"/>
    <xf numFmtId="10" fontId="3" fillId="0" borderId="0" xfId="1" applyNumberFormat="1" applyFont="1"/>
    <xf numFmtId="0" fontId="4" fillId="0" borderId="14" xfId="0" applyFont="1" applyBorder="1" applyAlignment="1">
      <alignment horizontal="centerContinuous"/>
    </xf>
    <xf numFmtId="0" fontId="4" fillId="0" borderId="15" xfId="0" applyFont="1" applyBorder="1" applyAlignment="1">
      <alignment horizontal="centerContinuous"/>
    </xf>
    <xf numFmtId="0" fontId="4" fillId="0" borderId="16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0" fontId="4" fillId="0" borderId="2" xfId="0" applyFont="1" applyBorder="1"/>
    <xf numFmtId="0" fontId="4" fillId="0" borderId="24" xfId="0" applyFont="1" applyBorder="1"/>
    <xf numFmtId="3" fontId="4" fillId="0" borderId="2" xfId="0" applyNumberFormat="1" applyFont="1" applyBorder="1"/>
    <xf numFmtId="3" fontId="4" fillId="0" borderId="2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3" fontId="4" fillId="0" borderId="1" xfId="0" applyNumberFormat="1" applyFont="1" applyBorder="1"/>
    <xf numFmtId="3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7" xfId="0" applyFont="1" applyBorder="1"/>
    <xf numFmtId="0" fontId="3" fillId="0" borderId="11" xfId="0" applyFont="1" applyBorder="1"/>
    <xf numFmtId="0" fontId="22" fillId="0" borderId="0" xfId="0" applyFont="1"/>
    <xf numFmtId="3" fontId="3" fillId="0" borderId="3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left" vertical="top" wrapText="1"/>
    </xf>
    <xf numFmtId="3" fontId="3" fillId="0" borderId="10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right" vertical="top" wrapText="1"/>
    </xf>
    <xf numFmtId="3" fontId="5" fillId="0" borderId="10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vertical="top" wrapText="1"/>
    </xf>
    <xf numFmtId="3" fontId="4" fillId="0" borderId="10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3" fillId="0" borderId="25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 wrapText="1"/>
    </xf>
    <xf numFmtId="3" fontId="9" fillId="0" borderId="10" xfId="0" applyNumberFormat="1" applyFont="1" applyFill="1" applyBorder="1" applyAlignment="1">
      <alignment horizontal="center"/>
    </xf>
    <xf numFmtId="167" fontId="9" fillId="0" borderId="3" xfId="2" applyNumberFormat="1" applyFont="1" applyBorder="1"/>
    <xf numFmtId="167" fontId="9" fillId="0" borderId="0" xfId="2" applyNumberFormat="1" applyFont="1"/>
    <xf numFmtId="0" fontId="9" fillId="0" borderId="8" xfId="0" applyFont="1" applyBorder="1"/>
    <xf numFmtId="167" fontId="9" fillId="0" borderId="8" xfId="2" applyNumberFormat="1" applyFont="1" applyBorder="1"/>
    <xf numFmtId="167" fontId="9" fillId="0" borderId="0" xfId="2" applyNumberFormat="1" applyFont="1" applyBorder="1" applyAlignment="1">
      <alignment horizontal="center"/>
    </xf>
    <xf numFmtId="167" fontId="9" fillId="0" borderId="26" xfId="2" applyNumberFormat="1" applyFont="1" applyBorder="1" applyAlignment="1">
      <alignment horizontal="center"/>
    </xf>
    <xf numFmtId="167" fontId="9" fillId="0" borderId="10" xfId="2" applyNumberFormat="1" applyFont="1" applyBorder="1" applyAlignment="1">
      <alignment horizontal="center"/>
    </xf>
    <xf numFmtId="167" fontId="9" fillId="0" borderId="4" xfId="2" applyNumberFormat="1" applyFont="1" applyBorder="1"/>
    <xf numFmtId="167" fontId="9" fillId="0" borderId="25" xfId="2" applyNumberFormat="1" applyFont="1" applyBorder="1"/>
    <xf numFmtId="167" fontId="9" fillId="0" borderId="6" xfId="2" applyNumberFormat="1" applyFont="1" applyBorder="1"/>
    <xf numFmtId="167" fontId="9" fillId="0" borderId="7" xfId="2" applyNumberFormat="1" applyFont="1" applyBorder="1"/>
    <xf numFmtId="0" fontId="9" fillId="0" borderId="10" xfId="0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9" fontId="9" fillId="0" borderId="3" xfId="1" applyFont="1" applyBorder="1" applyAlignment="1">
      <alignment horizontal="right"/>
    </xf>
    <xf numFmtId="9" fontId="9" fillId="0" borderId="8" xfId="1" applyFont="1" applyBorder="1" applyAlignment="1">
      <alignment horizontal="right"/>
    </xf>
    <xf numFmtId="9" fontId="9" fillId="0" borderId="6" xfId="1" applyFont="1" applyBorder="1" applyAlignment="1">
      <alignment horizontal="right"/>
    </xf>
    <xf numFmtId="0" fontId="11" fillId="0" borderId="9" xfId="0" applyFont="1" applyBorder="1"/>
    <xf numFmtId="0" fontId="9" fillId="0" borderId="27" xfId="0" applyFont="1" applyBorder="1"/>
    <xf numFmtId="0" fontId="9" fillId="0" borderId="11" xfId="0" applyFont="1" applyBorder="1"/>
    <xf numFmtId="0" fontId="9" fillId="0" borderId="0" xfId="0" applyFont="1" applyBorder="1"/>
    <xf numFmtId="0" fontId="9" fillId="0" borderId="29" xfId="0" applyFont="1" applyBorder="1"/>
    <xf numFmtId="3" fontId="9" fillId="0" borderId="29" xfId="0" applyNumberFormat="1" applyFont="1" applyBorder="1"/>
    <xf numFmtId="0" fontId="11" fillId="0" borderId="8" xfId="0" applyFont="1" applyFill="1" applyBorder="1"/>
    <xf numFmtId="3" fontId="23" fillId="0" borderId="0" xfId="0" applyNumberFormat="1" applyFont="1"/>
    <xf numFmtId="3" fontId="3" fillId="0" borderId="27" xfId="0" applyNumberFormat="1" applyFont="1" applyBorder="1" applyAlignment="1">
      <alignment horizontal="center"/>
    </xf>
    <xf numFmtId="10" fontId="6" fillId="0" borderId="9" xfId="1" applyNumberFormat="1" applyFont="1" applyBorder="1"/>
    <xf numFmtId="10" fontId="6" fillId="0" borderId="5" xfId="1" applyNumberFormat="1" applyFont="1" applyBorder="1"/>
    <xf numFmtId="3" fontId="6" fillId="2" borderId="4" xfId="0" applyNumberFormat="1" applyFont="1" applyFill="1" applyBorder="1"/>
    <xf numFmtId="3" fontId="6" fillId="2" borderId="25" xfId="0" applyNumberFormat="1" applyFont="1" applyFill="1" applyBorder="1"/>
    <xf numFmtId="3" fontId="5" fillId="2" borderId="3" xfId="0" applyNumberFormat="1" applyFont="1" applyFill="1" applyBorder="1"/>
    <xf numFmtId="3" fontId="5" fillId="2" borderId="8" xfId="0" applyNumberFormat="1" applyFont="1" applyFill="1" applyBorder="1"/>
    <xf numFmtId="3" fontId="3" fillId="0" borderId="0" xfId="0" applyNumberFormat="1" applyFont="1" applyAlignment="1">
      <alignment horizontal="center"/>
    </xf>
    <xf numFmtId="0" fontId="8" fillId="0" borderId="27" xfId="0" applyFont="1" applyBorder="1"/>
    <xf numFmtId="0" fontId="7" fillId="0" borderId="0" xfId="0" applyFont="1" applyBorder="1"/>
    <xf numFmtId="3" fontId="6" fillId="2" borderId="8" xfId="0" applyNumberFormat="1" applyFont="1" applyFill="1" applyBorder="1"/>
    <xf numFmtId="3" fontId="6" fillId="0" borderId="24" xfId="0" applyNumberFormat="1" applyFont="1" applyBorder="1"/>
    <xf numFmtId="0" fontId="7" fillId="0" borderId="9" xfId="0" applyFont="1" applyBorder="1"/>
    <xf numFmtId="10" fontId="6" fillId="0" borderId="1" xfId="1" applyNumberFormat="1" applyFont="1" applyBorder="1"/>
    <xf numFmtId="3" fontId="3" fillId="0" borderId="11" xfId="0" applyNumberFormat="1" applyFont="1" applyBorder="1" applyAlignment="1">
      <alignment horizontal="center"/>
    </xf>
    <xf numFmtId="10" fontId="6" fillId="0" borderId="0" xfId="0" applyNumberFormat="1" applyFont="1" applyBorder="1"/>
    <xf numFmtId="3" fontId="6" fillId="2" borderId="25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7" xfId="0" applyFont="1" applyBorder="1"/>
    <xf numFmtId="10" fontId="6" fillId="0" borderId="1" xfId="0" applyNumberFormat="1" applyFont="1" applyBorder="1"/>
    <xf numFmtId="3" fontId="3" fillId="2" borderId="3" xfId="0" quotePrefix="1" applyNumberFormat="1" applyFont="1" applyFill="1" applyBorder="1" applyAlignment="1">
      <alignment horizontal="center"/>
    </xf>
    <xf numFmtId="3" fontId="3" fillId="2" borderId="4" xfId="0" quotePrefix="1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3" fillId="0" borderId="9" xfId="0" quotePrefix="1" applyFont="1" applyBorder="1"/>
    <xf numFmtId="0" fontId="3" fillId="0" borderId="9" xfId="0" quotePrefix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3" fontId="3" fillId="0" borderId="10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24" fillId="0" borderId="0" xfId="0" applyFont="1"/>
    <xf numFmtId="0" fontId="12" fillId="3" borderId="30" xfId="0" applyFont="1" applyFill="1" applyBorder="1" applyAlignment="1">
      <alignment vertical="center" wrapText="1"/>
    </xf>
    <xf numFmtId="0" fontId="10" fillId="4" borderId="30" xfId="0" applyFont="1" applyFill="1" applyBorder="1" applyAlignment="1">
      <alignment horizontal="center" vertical="center" wrapText="1"/>
    </xf>
    <xf numFmtId="3" fontId="10" fillId="4" borderId="30" xfId="0" applyNumberFormat="1" applyFont="1" applyFill="1" applyBorder="1" applyAlignment="1">
      <alignment horizontal="center" vertical="center" wrapText="1"/>
    </xf>
    <xf numFmtId="0" fontId="24" fillId="0" borderId="0" xfId="0" quotePrefix="1" applyFont="1" applyAlignment="1">
      <alignment horizontal="left"/>
    </xf>
    <xf numFmtId="0" fontId="3" fillId="0" borderId="27" xfId="0" quotePrefix="1" applyFont="1" applyBorder="1" applyAlignment="1">
      <alignment horizontal="left"/>
    </xf>
    <xf numFmtId="0" fontId="4" fillId="3" borderId="30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horizontal="center" vertical="center" wrapText="1"/>
    </xf>
    <xf numFmtId="3" fontId="3" fillId="4" borderId="3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vertical="top" wrapText="1"/>
    </xf>
    <xf numFmtId="3" fontId="3" fillId="0" borderId="6" xfId="0" applyNumberFormat="1" applyFont="1" applyBorder="1" applyAlignment="1">
      <alignment vertical="top" wrapText="1"/>
    </xf>
    <xf numFmtId="3" fontId="3" fillId="0" borderId="8" xfId="0" applyNumberFormat="1" applyFont="1" applyBorder="1" applyAlignment="1">
      <alignment vertical="top" wrapText="1"/>
    </xf>
    <xf numFmtId="3" fontId="3" fillId="0" borderId="6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vertical="top" wrapText="1"/>
    </xf>
    <xf numFmtId="3" fontId="3" fillId="0" borderId="24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 vertical="top" wrapText="1"/>
    </xf>
    <xf numFmtId="3" fontId="3" fillId="0" borderId="10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center" vertical="top" wrapText="1"/>
    </xf>
    <xf numFmtId="3" fontId="3" fillId="0" borderId="10" xfId="0" applyNumberFormat="1" applyFont="1" applyBorder="1" applyAlignment="1">
      <alignment horizontal="center" vertical="top" wrapText="1"/>
    </xf>
    <xf numFmtId="167" fontId="3" fillId="0" borderId="0" xfId="2" applyNumberFormat="1" applyFont="1"/>
    <xf numFmtId="167" fontId="3" fillId="0" borderId="1" xfId="2" applyNumberFormat="1" applyFont="1" applyBorder="1"/>
    <xf numFmtId="3" fontId="3" fillId="0" borderId="2" xfId="0" applyNumberFormat="1" applyFont="1" applyBorder="1"/>
    <xf numFmtId="3" fontId="3" fillId="0" borderId="31" xfId="0" applyNumberFormat="1" applyFont="1" applyBorder="1"/>
    <xf numFmtId="10" fontId="3" fillId="0" borderId="0" xfId="0" applyNumberFormat="1" applyFont="1"/>
    <xf numFmtId="0" fontId="3" fillId="0" borderId="26" xfId="0" applyFont="1" applyBorder="1"/>
    <xf numFmtId="10" fontId="3" fillId="0" borderId="1" xfId="0" applyNumberFormat="1" applyFont="1" applyBorder="1"/>
    <xf numFmtId="10" fontId="3" fillId="0" borderId="7" xfId="0" applyNumberFormat="1" applyFont="1" applyBorder="1"/>
    <xf numFmtId="3" fontId="4" fillId="0" borderId="7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10" fontId="6" fillId="0" borderId="8" xfId="0" applyNumberFormat="1" applyFont="1" applyBorder="1"/>
    <xf numFmtId="10" fontId="6" fillId="0" borderId="6" xfId="0" applyNumberFormat="1" applyFont="1" applyBorder="1"/>
    <xf numFmtId="10" fontId="3" fillId="0" borderId="8" xfId="0" applyNumberFormat="1" applyFont="1" applyBorder="1"/>
    <xf numFmtId="10" fontId="3" fillId="0" borderId="9" xfId="0" applyNumberFormat="1" applyFont="1" applyBorder="1"/>
    <xf numFmtId="10" fontId="3" fillId="0" borderId="6" xfId="0" applyNumberFormat="1" applyFont="1" applyBorder="1"/>
    <xf numFmtId="10" fontId="3" fillId="0" borderId="5" xfId="0" quotePrefix="1" applyNumberFormat="1" applyFont="1" applyBorder="1" applyAlignment="1">
      <alignment horizontal="right"/>
    </xf>
    <xf numFmtId="3" fontId="3" fillId="0" borderId="4" xfId="0" applyNumberFormat="1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3" fillId="0" borderId="25" xfId="0" applyNumberFormat="1" applyFont="1" applyBorder="1" applyAlignment="1">
      <alignment vertical="top" wrapText="1"/>
    </xf>
    <xf numFmtId="3" fontId="3" fillId="0" borderId="25" xfId="0" applyNumberFormat="1" applyFont="1" applyBorder="1" applyAlignment="1">
      <alignment horizontal="center" vertical="top" wrapText="1"/>
    </xf>
    <xf numFmtId="3" fontId="3" fillId="0" borderId="27" xfId="0" applyNumberFormat="1" applyFont="1" applyBorder="1" applyAlignment="1">
      <alignment horizontal="left" vertical="top" wrapText="1"/>
    </xf>
    <xf numFmtId="3" fontId="3" fillId="0" borderId="26" xfId="0" applyNumberFormat="1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5" fillId="0" borderId="8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vertical="top" wrapText="1"/>
    </xf>
    <xf numFmtId="3" fontId="4" fillId="0" borderId="8" xfId="0" applyNumberFormat="1" applyFont="1" applyBorder="1" applyAlignment="1">
      <alignment horizontal="right" vertical="top" wrapText="1"/>
    </xf>
    <xf numFmtId="3" fontId="3" fillId="0" borderId="27" xfId="0" applyNumberFormat="1" applyFont="1" applyBorder="1" applyAlignment="1">
      <alignment vertical="top" wrapText="1"/>
    </xf>
    <xf numFmtId="3" fontId="3" fillId="0" borderId="11" xfId="0" applyNumberFormat="1" applyFont="1" applyBorder="1" applyAlignment="1">
      <alignment vertical="top" wrapText="1"/>
    </xf>
    <xf numFmtId="3" fontId="3" fillId="0" borderId="11" xfId="0" applyNumberFormat="1" applyFont="1" applyBorder="1" applyAlignment="1">
      <alignment horizontal="right" vertical="top" wrapText="1"/>
    </xf>
    <xf numFmtId="3" fontId="3" fillId="0" borderId="26" xfId="0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left"/>
    </xf>
    <xf numFmtId="3" fontId="25" fillId="0" borderId="8" xfId="0" applyNumberFormat="1" applyFont="1" applyBorder="1"/>
    <xf numFmtId="0" fontId="3" fillId="0" borderId="0" xfId="0" quotePrefix="1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left"/>
    </xf>
    <xf numFmtId="3" fontId="3" fillId="0" borderId="25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3" fontId="3" fillId="0" borderId="6" xfId="0" applyNumberFormat="1" applyFont="1" applyBorder="1" applyAlignment="1">
      <alignment horizontal="left" vertical="top" wrapText="1"/>
    </xf>
    <xf numFmtId="3" fontId="5" fillId="0" borderId="27" xfId="0" applyNumberFormat="1" applyFont="1" applyBorder="1" applyAlignment="1">
      <alignment horizontal="right" vertical="top" wrapText="1"/>
    </xf>
    <xf numFmtId="3" fontId="9" fillId="0" borderId="5" xfId="0" applyNumberFormat="1" applyFont="1" applyBorder="1"/>
    <xf numFmtId="3" fontId="9" fillId="0" borderId="35" xfId="0" applyNumberFormat="1" applyFont="1" applyBorder="1"/>
    <xf numFmtId="3" fontId="3" fillId="0" borderId="27" xfId="0" applyNumberFormat="1" applyFont="1" applyBorder="1" applyAlignment="1">
      <alignment vertical="top" wrapText="1"/>
    </xf>
    <xf numFmtId="3" fontId="3" fillId="0" borderId="10" xfId="0" applyNumberFormat="1" applyFont="1" applyBorder="1" applyAlignment="1">
      <alignment horizontal="center" vertical="top" wrapText="1"/>
    </xf>
    <xf numFmtId="3" fontId="3" fillId="0" borderId="34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3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vertical="top" wrapText="1"/>
    </xf>
    <xf numFmtId="3" fontId="3" fillId="0" borderId="9" xfId="0" applyNumberFormat="1" applyFont="1" applyBorder="1" applyAlignment="1">
      <alignment vertical="top" wrapText="1"/>
    </xf>
    <xf numFmtId="3" fontId="3" fillId="0" borderId="11" xfId="0" applyNumberFormat="1" applyFont="1" applyBorder="1" applyAlignment="1">
      <alignment horizontal="center" vertical="top" wrapText="1"/>
    </xf>
    <xf numFmtId="3" fontId="3" fillId="0" borderId="26" xfId="0" applyNumberFormat="1" applyFont="1" applyBorder="1" applyAlignment="1">
      <alignment horizontal="center" vertical="top" wrapText="1"/>
    </xf>
    <xf numFmtId="3" fontId="3" fillId="0" borderId="10" xfId="0" applyNumberFormat="1" applyFont="1" applyBorder="1" applyAlignment="1">
      <alignment vertical="top" wrapText="1"/>
    </xf>
    <xf numFmtId="3" fontId="3" fillId="0" borderId="27" xfId="0" applyNumberFormat="1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3" fillId="0" borderId="27" xfId="0" quotePrefix="1" applyNumberFormat="1" applyFont="1" applyBorder="1" applyAlignment="1">
      <alignment horizontal="center"/>
    </xf>
    <xf numFmtId="3" fontId="3" fillId="0" borderId="11" xfId="0" quotePrefix="1" applyNumberFormat="1" applyFont="1" applyBorder="1" applyAlignment="1">
      <alignment horizontal="center"/>
    </xf>
    <xf numFmtId="3" fontId="3" fillId="0" borderId="26" xfId="0" quotePrefix="1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</cellXfs>
  <cellStyles count="8">
    <cellStyle name="Komma" xfId="2" builtinId="3"/>
    <cellStyle name="Normal" xfId="0" builtinId="0"/>
    <cellStyle name="Normal 2" xfId="6" xr:uid="{00000000-0005-0000-0000-000002000000}"/>
    <cellStyle name="Prosent" xfId="1" builtinId="5"/>
    <cellStyle name="Prosent 2" xfId="5" xr:uid="{00000000-0005-0000-0000-000004000000}"/>
    <cellStyle name="Prosent 3" xfId="7" xr:uid="{00000000-0005-0000-0000-000005000000}"/>
    <cellStyle name="Tusenskille 2" xfId="4" xr:uid="{00000000-0005-0000-0000-000006000000}"/>
    <cellStyle name="Valuta" xfId="3" builtin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35</xdr:row>
      <xdr:rowOff>76200</xdr:rowOff>
    </xdr:from>
    <xdr:to>
      <xdr:col>5</xdr:col>
      <xdr:colOff>95250</xdr:colOff>
      <xdr:row>35</xdr:row>
      <xdr:rowOff>85725</xdr:rowOff>
    </xdr:to>
    <xdr:cxnSp macro="">
      <xdr:nvCxnSpPr>
        <xdr:cNvPr id="3" name="Rett pilkobling 2">
          <a:extLst>
            <a:ext uri="{FF2B5EF4-FFF2-40B4-BE49-F238E27FC236}">
              <a16:creationId xmlns:a16="http://schemas.microsoft.com/office/drawing/2014/main" id="{EDB34F92-E605-43A9-BA8A-C7D9723BBBE9}"/>
            </a:ext>
          </a:extLst>
        </xdr:cNvPr>
        <xdr:cNvCxnSpPr/>
      </xdr:nvCxnSpPr>
      <xdr:spPr>
        <a:xfrm flipH="1">
          <a:off x="4714875" y="6762750"/>
          <a:ext cx="7239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41</xdr:row>
      <xdr:rowOff>95250</xdr:rowOff>
    </xdr:from>
    <xdr:to>
      <xdr:col>5</xdr:col>
      <xdr:colOff>114300</xdr:colOff>
      <xdr:row>41</xdr:row>
      <xdr:rowOff>104775</xdr:rowOff>
    </xdr:to>
    <xdr:cxnSp macro="">
      <xdr:nvCxnSpPr>
        <xdr:cNvPr id="5" name="Rett pilkobling 4">
          <a:extLst>
            <a:ext uri="{FF2B5EF4-FFF2-40B4-BE49-F238E27FC236}">
              <a16:creationId xmlns:a16="http://schemas.microsoft.com/office/drawing/2014/main" id="{C9630556-2D38-49A4-9810-AC9D2249E1DD}"/>
            </a:ext>
          </a:extLst>
        </xdr:cNvPr>
        <xdr:cNvCxnSpPr/>
      </xdr:nvCxnSpPr>
      <xdr:spPr>
        <a:xfrm flipH="1">
          <a:off x="4724400" y="7924800"/>
          <a:ext cx="7334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63</xdr:row>
      <xdr:rowOff>57150</xdr:rowOff>
    </xdr:from>
    <xdr:to>
      <xdr:col>8</xdr:col>
      <xdr:colOff>390525</xdr:colOff>
      <xdr:row>66</xdr:row>
      <xdr:rowOff>76200</xdr:rowOff>
    </xdr:to>
    <xdr:sp macro="" textlink="">
      <xdr:nvSpPr>
        <xdr:cNvPr id="1028" name="Teks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352425" y="16287750"/>
          <a:ext cx="5448300" cy="590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Beskjeftigelsen i januar har vært lavere enn normal. Lavere beskjeftigelse enn normal bidrar til negative dekningsdifferanser.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114300</xdr:colOff>
      <xdr:row>54</xdr:row>
      <xdr:rowOff>114300</xdr:rowOff>
    </xdr:from>
    <xdr:to>
      <xdr:col>6</xdr:col>
      <xdr:colOff>657225</xdr:colOff>
      <xdr:row>54</xdr:row>
      <xdr:rowOff>114300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ShapeType="1"/>
        </xdr:cNvSpPr>
      </xdr:nvSpPr>
      <xdr:spPr bwMode="auto">
        <a:xfrm flipH="1">
          <a:off x="3381375" y="145923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61701</xdr:rowOff>
    </xdr:from>
    <xdr:to>
      <xdr:col>4</xdr:col>
      <xdr:colOff>482600</xdr:colOff>
      <xdr:row>44</xdr:row>
      <xdr:rowOff>171768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6F3F6DD-6637-C14E-8AE9-2FF6F5E9E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7369"/>
          <a:ext cx="5747701" cy="8964075"/>
        </a:xfrm>
        <a:prstGeom prst="rect">
          <a:avLst/>
        </a:prstGeom>
      </xdr:spPr>
    </xdr:pic>
    <xdr:clientData/>
  </xdr:twoCellAnchor>
  <xdr:twoCellAnchor editAs="oneCell">
    <xdr:from>
      <xdr:col>0</xdr:col>
      <xdr:colOff>25708</xdr:colOff>
      <xdr:row>44</xdr:row>
      <xdr:rowOff>164534</xdr:rowOff>
    </xdr:from>
    <xdr:to>
      <xdr:col>4</xdr:col>
      <xdr:colOff>526407</xdr:colOff>
      <xdr:row>51</xdr:row>
      <xdr:rowOff>134558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F3F0BBA7-1AB3-1A44-BAE2-029385754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08" y="9224210"/>
          <a:ext cx="5765800" cy="1409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700-000001140000}"/>
            </a:ext>
          </a:extLst>
        </xdr:cNvPr>
        <xdr:cNvSpPr>
          <a:spLocks noChangeShapeType="1"/>
        </xdr:cNvSpPr>
      </xdr:nvSpPr>
      <xdr:spPr bwMode="auto">
        <a:xfrm flipH="1">
          <a:off x="397192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69273</xdr:colOff>
      <xdr:row>78</xdr:row>
      <xdr:rowOff>86591</xdr:rowOff>
    </xdr:from>
    <xdr:to>
      <xdr:col>4</xdr:col>
      <xdr:colOff>138546</xdr:colOff>
      <xdr:row>78</xdr:row>
      <xdr:rowOff>86591</xdr:rowOff>
    </xdr:to>
    <xdr:cxnSp macro="">
      <xdr:nvCxnSpPr>
        <xdr:cNvPr id="3" name="Rett pilkobling 2">
          <a:extLst>
            <a:ext uri="{FF2B5EF4-FFF2-40B4-BE49-F238E27FC236}">
              <a16:creationId xmlns:a16="http://schemas.microsoft.com/office/drawing/2014/main" id="{5EF4C610-4EBA-4FE0-947A-2FF08C644BCB}"/>
            </a:ext>
          </a:extLst>
        </xdr:cNvPr>
        <xdr:cNvCxnSpPr/>
      </xdr:nvCxnSpPr>
      <xdr:spPr>
        <a:xfrm flipH="1">
          <a:off x="4078432" y="14772409"/>
          <a:ext cx="9611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72</xdr:row>
      <xdr:rowOff>103909</xdr:rowOff>
    </xdr:from>
    <xdr:to>
      <xdr:col>4</xdr:col>
      <xdr:colOff>173182</xdr:colOff>
      <xdr:row>72</xdr:row>
      <xdr:rowOff>112568</xdr:rowOff>
    </xdr:to>
    <xdr:cxnSp macro="">
      <xdr:nvCxnSpPr>
        <xdr:cNvPr id="5" name="Rett pilkobling 4">
          <a:extLst>
            <a:ext uri="{FF2B5EF4-FFF2-40B4-BE49-F238E27FC236}">
              <a16:creationId xmlns:a16="http://schemas.microsoft.com/office/drawing/2014/main" id="{F970F5D5-5FF5-41B2-B7A2-0770CB612D38}"/>
            </a:ext>
          </a:extLst>
        </xdr:cNvPr>
        <xdr:cNvCxnSpPr/>
      </xdr:nvCxnSpPr>
      <xdr:spPr>
        <a:xfrm flipH="1">
          <a:off x="4104409" y="13646727"/>
          <a:ext cx="969818" cy="86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155864</xdr:colOff>
      <xdr:row>124</xdr:row>
      <xdr:rowOff>95250</xdr:rowOff>
    </xdr:from>
    <xdr:to>
      <xdr:col>4</xdr:col>
      <xdr:colOff>86591</xdr:colOff>
      <xdr:row>124</xdr:row>
      <xdr:rowOff>103909</xdr:rowOff>
    </xdr:to>
    <xdr:cxnSp macro="">
      <xdr:nvCxnSpPr>
        <xdr:cNvPr id="8" name="Rett pilkobling 7">
          <a:extLst>
            <a:ext uri="{FF2B5EF4-FFF2-40B4-BE49-F238E27FC236}">
              <a16:creationId xmlns:a16="http://schemas.microsoft.com/office/drawing/2014/main" id="{BE1A1192-D355-4C27-AA35-34CE05E789CA}"/>
            </a:ext>
          </a:extLst>
        </xdr:cNvPr>
        <xdr:cNvCxnSpPr/>
      </xdr:nvCxnSpPr>
      <xdr:spPr>
        <a:xfrm flipH="1">
          <a:off x="4165023" y="23751886"/>
          <a:ext cx="822613" cy="86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60</xdr:row>
      <xdr:rowOff>85725</xdr:rowOff>
    </xdr:from>
    <xdr:to>
      <xdr:col>8</xdr:col>
      <xdr:colOff>142875</xdr:colOff>
      <xdr:row>60</xdr:row>
      <xdr:rowOff>95250</xdr:rowOff>
    </xdr:to>
    <xdr:cxnSp macro="">
      <xdr:nvCxnSpPr>
        <xdr:cNvPr id="3" name="Rett pilkobling 2">
          <a:extLst>
            <a:ext uri="{FF2B5EF4-FFF2-40B4-BE49-F238E27FC236}">
              <a16:creationId xmlns:a16="http://schemas.microsoft.com/office/drawing/2014/main" id="{E4BD7EE2-BCDC-4FC3-9CAA-D78CA23A02C7}"/>
            </a:ext>
          </a:extLst>
        </xdr:cNvPr>
        <xdr:cNvCxnSpPr/>
      </xdr:nvCxnSpPr>
      <xdr:spPr>
        <a:xfrm flipH="1" flipV="1">
          <a:off x="6257925" y="10963275"/>
          <a:ext cx="7715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90</xdr:row>
      <xdr:rowOff>95250</xdr:rowOff>
    </xdr:from>
    <xdr:to>
      <xdr:col>8</xdr:col>
      <xdr:colOff>219075</xdr:colOff>
      <xdr:row>90</xdr:row>
      <xdr:rowOff>95250</xdr:rowOff>
    </xdr:to>
    <xdr:cxnSp macro="">
      <xdr:nvCxnSpPr>
        <xdr:cNvPr id="3" name="Rett pilkobling 2">
          <a:extLst>
            <a:ext uri="{FF2B5EF4-FFF2-40B4-BE49-F238E27FC236}">
              <a16:creationId xmlns:a16="http://schemas.microsoft.com/office/drawing/2014/main" id="{3735C570-1E5E-4941-802C-064329447340}"/>
            </a:ext>
          </a:extLst>
        </xdr:cNvPr>
        <xdr:cNvCxnSpPr/>
      </xdr:nvCxnSpPr>
      <xdr:spPr>
        <a:xfrm flipH="1">
          <a:off x="6410325" y="16402050"/>
          <a:ext cx="8477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97</xdr:row>
      <xdr:rowOff>95250</xdr:rowOff>
    </xdr:from>
    <xdr:to>
      <xdr:col>8</xdr:col>
      <xdr:colOff>200025</xdr:colOff>
      <xdr:row>97</xdr:row>
      <xdr:rowOff>95250</xdr:rowOff>
    </xdr:to>
    <xdr:cxnSp macro="">
      <xdr:nvCxnSpPr>
        <xdr:cNvPr id="5" name="Rett pilkobling 4">
          <a:extLst>
            <a:ext uri="{FF2B5EF4-FFF2-40B4-BE49-F238E27FC236}">
              <a16:creationId xmlns:a16="http://schemas.microsoft.com/office/drawing/2014/main" id="{230352F5-E38B-41E1-A9F5-DBA7C22C6A96}"/>
            </a:ext>
          </a:extLst>
        </xdr:cNvPr>
        <xdr:cNvCxnSpPr/>
      </xdr:nvCxnSpPr>
      <xdr:spPr>
        <a:xfrm flipH="1">
          <a:off x="6477000" y="17668875"/>
          <a:ext cx="762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54CB0-BE2B-4887-B26B-C0E7E2742577}">
  <sheetPr published="0">
    <pageSetUpPr fitToPage="1"/>
  </sheetPr>
  <dimension ref="A1:I66"/>
  <sheetViews>
    <sheetView tabSelected="1" workbookViewId="0">
      <selection activeCell="B51" sqref="B51"/>
    </sheetView>
  </sheetViews>
  <sheetFormatPr baseColWidth="10" defaultColWidth="11.453125" defaultRowHeight="15.5" x14ac:dyDescent="0.35"/>
  <cols>
    <col min="1" max="1" width="4.1796875" style="11" customWidth="1"/>
    <col min="2" max="2" width="39.1796875" style="11" customWidth="1"/>
    <col min="3" max="3" width="14" style="13" customWidth="1"/>
    <col min="4" max="9" width="11.453125" style="13"/>
    <col min="10" max="16384" width="11.453125" style="11"/>
  </cols>
  <sheetData>
    <row r="1" spans="1:5" x14ac:dyDescent="0.35">
      <c r="A1" s="10" t="s">
        <v>250</v>
      </c>
      <c r="B1" s="4"/>
    </row>
    <row r="3" spans="1:5" x14ac:dyDescent="0.35">
      <c r="B3" s="4" t="s">
        <v>187</v>
      </c>
    </row>
    <row r="5" spans="1:5" x14ac:dyDescent="0.35">
      <c r="B5" s="30" t="s">
        <v>200</v>
      </c>
    </row>
    <row r="6" spans="1:5" x14ac:dyDescent="0.35">
      <c r="B6" s="11" t="str">
        <f>B26</f>
        <v>Direkte materialer</v>
      </c>
      <c r="C6" s="13">
        <v>500000</v>
      </c>
    </row>
    <row r="7" spans="1:5" x14ac:dyDescent="0.35">
      <c r="B7" s="11" t="str">
        <f>B27</f>
        <v xml:space="preserve">Direkte lønn </v>
      </c>
      <c r="C7" s="13">
        <v>1000000</v>
      </c>
    </row>
    <row r="8" spans="1:5" x14ac:dyDescent="0.35">
      <c r="B8" s="12" t="str">
        <f>B28</f>
        <v>Indirekte variable tilvirkn.kostnader:</v>
      </c>
    </row>
    <row r="9" spans="1:5" x14ac:dyDescent="0.35">
      <c r="B9" s="11" t="str">
        <f>B29</f>
        <v>Materialavdelingen</v>
      </c>
      <c r="C9" s="13">
        <v>50000</v>
      </c>
    </row>
    <row r="10" spans="1:5" x14ac:dyDescent="0.35">
      <c r="B10" s="31" t="str">
        <f>B30</f>
        <v xml:space="preserve">Tilvirkningsavdelingen </v>
      </c>
      <c r="C10" s="32">
        <v>200000</v>
      </c>
    </row>
    <row r="11" spans="1:5" x14ac:dyDescent="0.35">
      <c r="B11" s="1" t="s">
        <v>126</v>
      </c>
      <c r="C11" s="13">
        <f>SUM(C6:C10)</f>
        <v>1750000</v>
      </c>
    </row>
    <row r="12" spans="1:5" x14ac:dyDescent="0.35">
      <c r="B12" s="11" t="str">
        <f>B32</f>
        <v>Administrasjonsavdelingen</v>
      </c>
      <c r="C12" s="13">
        <v>350000</v>
      </c>
    </row>
    <row r="13" spans="1:5" x14ac:dyDescent="0.35">
      <c r="B13" s="208" t="s">
        <v>82</v>
      </c>
      <c r="C13" s="34">
        <f>SUM(C11:C12)</f>
        <v>2100000</v>
      </c>
    </row>
    <row r="15" spans="1:5" x14ac:dyDescent="0.35">
      <c r="A15" s="11" t="s">
        <v>183</v>
      </c>
      <c r="B15" s="70" t="s">
        <v>207</v>
      </c>
      <c r="C15" s="249" t="s">
        <v>170</v>
      </c>
      <c r="D15" s="165"/>
      <c r="E15" s="165"/>
    </row>
    <row r="16" spans="1:5" x14ac:dyDescent="0.35">
      <c r="B16" s="22" t="str">
        <f>B9</f>
        <v>Materialavdelingen</v>
      </c>
      <c r="C16" s="250">
        <f>C9/C6</f>
        <v>0.1</v>
      </c>
      <c r="D16" s="84"/>
      <c r="E16" s="84"/>
    </row>
    <row r="17" spans="1:6" x14ac:dyDescent="0.35">
      <c r="B17" s="22" t="str">
        <f>B10</f>
        <v xml:space="preserve">Tilvirkningsavdelingen </v>
      </c>
      <c r="C17" s="250">
        <f>C10/C7</f>
        <v>0.2</v>
      </c>
      <c r="D17" s="84"/>
      <c r="E17" s="84"/>
    </row>
    <row r="18" spans="1:6" x14ac:dyDescent="0.35">
      <c r="B18" s="28" t="str">
        <f>B12</f>
        <v>Administrasjonsavdelingen</v>
      </c>
      <c r="C18" s="251">
        <f>C12/C11</f>
        <v>0.2</v>
      </c>
      <c r="D18" s="84"/>
      <c r="E18" s="84"/>
    </row>
    <row r="19" spans="1:6" x14ac:dyDescent="0.35">
      <c r="B19" s="36"/>
      <c r="C19" s="84"/>
      <c r="D19" s="84"/>
      <c r="E19" s="84"/>
    </row>
    <row r="21" spans="1:6" x14ac:dyDescent="0.35">
      <c r="A21" s="1" t="s">
        <v>184</v>
      </c>
      <c r="B21" s="30" t="s">
        <v>171</v>
      </c>
    </row>
    <row r="22" spans="1:6" x14ac:dyDescent="0.35">
      <c r="B22" s="14"/>
      <c r="C22" s="260"/>
      <c r="D22" s="269" t="s">
        <v>147</v>
      </c>
      <c r="E22" s="252" t="s">
        <v>189</v>
      </c>
      <c r="F22" s="254" t="s">
        <v>190</v>
      </c>
    </row>
    <row r="23" spans="1:6" x14ac:dyDescent="0.35">
      <c r="B23" s="83"/>
      <c r="C23" s="37"/>
      <c r="D23" s="271" t="s">
        <v>191</v>
      </c>
      <c r="E23" s="253" t="s">
        <v>191</v>
      </c>
      <c r="F23" s="259" t="s">
        <v>192</v>
      </c>
    </row>
    <row r="24" spans="1:6" x14ac:dyDescent="0.35">
      <c r="B24" s="81" t="s">
        <v>196</v>
      </c>
      <c r="C24" s="34"/>
      <c r="D24" s="27">
        <v>2800000</v>
      </c>
      <c r="E24" s="78">
        <f>D24</f>
        <v>2800000</v>
      </c>
      <c r="F24" s="17"/>
    </row>
    <row r="25" spans="1:6" x14ac:dyDescent="0.35">
      <c r="B25" s="83"/>
      <c r="C25" s="37"/>
      <c r="D25" s="162"/>
      <c r="E25" s="37"/>
      <c r="F25" s="23"/>
    </row>
    <row r="26" spans="1:6" x14ac:dyDescent="0.35">
      <c r="B26" s="83" t="s">
        <v>174</v>
      </c>
      <c r="C26" s="37"/>
      <c r="D26" s="23">
        <v>600000</v>
      </c>
      <c r="E26" s="37">
        <f>D26</f>
        <v>600000</v>
      </c>
      <c r="F26" s="23"/>
    </row>
    <row r="27" spans="1:6" x14ac:dyDescent="0.35">
      <c r="B27" s="26" t="s">
        <v>201</v>
      </c>
      <c r="C27" s="37"/>
      <c r="D27" s="23">
        <v>900000</v>
      </c>
      <c r="E27" s="37">
        <f>D27</f>
        <v>900000</v>
      </c>
      <c r="F27" s="23"/>
    </row>
    <row r="28" spans="1:6" x14ac:dyDescent="0.35">
      <c r="B28" s="261" t="s">
        <v>108</v>
      </c>
      <c r="C28" s="37"/>
      <c r="D28" s="23"/>
      <c r="E28" s="37"/>
      <c r="F28" s="23"/>
    </row>
    <row r="29" spans="1:6" x14ac:dyDescent="0.35">
      <c r="B29" s="83" t="s">
        <v>176</v>
      </c>
      <c r="C29" s="84">
        <f>C16</f>
        <v>0.1</v>
      </c>
      <c r="D29" s="23">
        <f>D26*C16</f>
        <v>60000</v>
      </c>
      <c r="E29" s="37">
        <v>48000</v>
      </c>
      <c r="F29" s="23">
        <f>D29-E29</f>
        <v>12000</v>
      </c>
    </row>
    <row r="30" spans="1:6" x14ac:dyDescent="0.35">
      <c r="B30" s="103" t="s">
        <v>202</v>
      </c>
      <c r="C30" s="262">
        <f>C17</f>
        <v>0.2</v>
      </c>
      <c r="D30" s="21">
        <f>D27*C17</f>
        <v>180000</v>
      </c>
      <c r="E30" s="37">
        <v>195000</v>
      </c>
      <c r="F30" s="23">
        <f>D30-E30</f>
        <v>-15000</v>
      </c>
    </row>
    <row r="31" spans="1:6" x14ac:dyDescent="0.35">
      <c r="B31" s="26" t="s">
        <v>95</v>
      </c>
      <c r="C31" s="37"/>
      <c r="D31" s="23">
        <f>SUM(D26:D30)</f>
        <v>1740000</v>
      </c>
      <c r="E31" s="37"/>
      <c r="F31" s="23"/>
    </row>
    <row r="32" spans="1:6" x14ac:dyDescent="0.35">
      <c r="B32" s="18" t="s">
        <v>10</v>
      </c>
      <c r="C32" s="262">
        <f>C18</f>
        <v>0.2</v>
      </c>
      <c r="D32" s="21">
        <f>D31*C18</f>
        <v>348000</v>
      </c>
      <c r="E32" s="37">
        <v>374000</v>
      </c>
      <c r="F32" s="23">
        <f>D32-E32</f>
        <v>-26000</v>
      </c>
    </row>
    <row r="33" spans="1:6" x14ac:dyDescent="0.35">
      <c r="B33" s="83" t="s">
        <v>96</v>
      </c>
      <c r="C33" s="37"/>
      <c r="D33" s="23">
        <f>SUM(D31:D32)</f>
        <v>2088000</v>
      </c>
      <c r="E33" s="37"/>
      <c r="F33" s="23"/>
    </row>
    <row r="34" spans="1:6" x14ac:dyDescent="0.35">
      <c r="B34" s="83"/>
      <c r="C34" s="37"/>
      <c r="D34" s="23"/>
      <c r="E34" s="37"/>
      <c r="F34" s="23"/>
    </row>
    <row r="35" spans="1:6" x14ac:dyDescent="0.35">
      <c r="B35" s="83" t="s">
        <v>97</v>
      </c>
      <c r="C35" s="37"/>
      <c r="D35" s="23">
        <f>D24-D33</f>
        <v>712000</v>
      </c>
      <c r="E35" s="37"/>
      <c r="F35" s="23"/>
    </row>
    <row r="36" spans="1:6" x14ac:dyDescent="0.35">
      <c r="B36" s="18" t="s">
        <v>198</v>
      </c>
      <c r="C36" s="32"/>
      <c r="D36" s="21">
        <f>F36</f>
        <v>-29000</v>
      </c>
      <c r="E36" s="32"/>
      <c r="F36" s="21">
        <f>SUM(F29:F32)</f>
        <v>-29000</v>
      </c>
    </row>
    <row r="37" spans="1:6" x14ac:dyDescent="0.35">
      <c r="B37" s="83" t="s">
        <v>98</v>
      </c>
      <c r="C37" s="37"/>
      <c r="D37" s="23">
        <f>SUM(D35:D36)</f>
        <v>683000</v>
      </c>
      <c r="E37" s="37">
        <f>E24-SUM(E26:E32)</f>
        <v>683000</v>
      </c>
      <c r="F37" s="23"/>
    </row>
    <row r="38" spans="1:6" x14ac:dyDescent="0.35">
      <c r="A38" s="1" t="s">
        <v>102</v>
      </c>
      <c r="B38" s="58" t="s">
        <v>99</v>
      </c>
      <c r="C38" s="37"/>
      <c r="D38" s="23"/>
      <c r="E38" s="37"/>
      <c r="F38" s="255" t="s">
        <v>251</v>
      </c>
    </row>
    <row r="39" spans="1:6" x14ac:dyDescent="0.35">
      <c r="B39" s="83" t="s">
        <v>176</v>
      </c>
      <c r="C39" s="37"/>
      <c r="D39" s="23">
        <v>80000</v>
      </c>
      <c r="E39" s="37">
        <v>92000</v>
      </c>
      <c r="F39" s="23">
        <f>D39-E39</f>
        <v>-12000</v>
      </c>
    </row>
    <row r="40" spans="1:6" x14ac:dyDescent="0.35">
      <c r="B40" s="83" t="s">
        <v>202</v>
      </c>
      <c r="C40" s="37"/>
      <c r="D40" s="23">
        <v>200000</v>
      </c>
      <c r="E40" s="37">
        <v>205000</v>
      </c>
      <c r="F40" s="23">
        <f t="shared" ref="F40:F41" si="0">D40-E40</f>
        <v>-5000</v>
      </c>
    </row>
    <row r="41" spans="1:6" x14ac:dyDescent="0.35">
      <c r="B41" s="83" t="s">
        <v>10</v>
      </c>
      <c r="C41" s="37"/>
      <c r="D41" s="23">
        <v>320000</v>
      </c>
      <c r="E41" s="37">
        <v>312000</v>
      </c>
      <c r="F41" s="23">
        <f t="shared" si="0"/>
        <v>8000</v>
      </c>
    </row>
    <row r="42" spans="1:6" x14ac:dyDescent="0.35">
      <c r="B42" s="51" t="s">
        <v>252</v>
      </c>
      <c r="C42" s="32"/>
      <c r="D42" s="21">
        <f>F42</f>
        <v>-9000</v>
      </c>
      <c r="E42" s="32"/>
      <c r="F42" s="21">
        <f>SUM(F39:F41)</f>
        <v>-9000</v>
      </c>
    </row>
    <row r="43" spans="1:6" x14ac:dyDescent="0.35">
      <c r="B43" s="81" t="s">
        <v>144</v>
      </c>
      <c r="C43" s="34"/>
      <c r="D43" s="27">
        <f>D37-SUM(D39:D41)+D42</f>
        <v>74000</v>
      </c>
      <c r="E43" s="78">
        <f>E37-SUM(E39:E41)</f>
        <v>74000</v>
      </c>
      <c r="F43" s="37"/>
    </row>
    <row r="45" spans="1:6" x14ac:dyDescent="0.35">
      <c r="A45" s="1" t="s">
        <v>94</v>
      </c>
      <c r="B45" s="1" t="s">
        <v>392</v>
      </c>
    </row>
    <row r="46" spans="1:6" x14ac:dyDescent="0.35">
      <c r="B46" s="1" t="s">
        <v>394</v>
      </c>
    </row>
    <row r="47" spans="1:6" x14ac:dyDescent="0.35">
      <c r="B47" s="1" t="s">
        <v>395</v>
      </c>
    </row>
    <row r="48" spans="1:6" s="11" customFormat="1" x14ac:dyDescent="0.35">
      <c r="B48" s="1" t="s">
        <v>396</v>
      </c>
      <c r="C48" s="13"/>
      <c r="D48" s="13"/>
      <c r="E48" s="13"/>
    </row>
    <row r="49" spans="1:9" x14ac:dyDescent="0.35">
      <c r="B49" s="1" t="s">
        <v>397</v>
      </c>
    </row>
    <row r="50" spans="1:9" x14ac:dyDescent="0.35">
      <c r="B50" s="1"/>
    </row>
    <row r="51" spans="1:9" x14ac:dyDescent="0.35">
      <c r="A51" s="1" t="s">
        <v>46</v>
      </c>
      <c r="C51" s="256" t="s">
        <v>76</v>
      </c>
      <c r="D51" s="256" t="s">
        <v>226</v>
      </c>
    </row>
    <row r="52" spans="1:9" x14ac:dyDescent="0.35">
      <c r="B52" s="1" t="s">
        <v>47</v>
      </c>
      <c r="C52" s="13">
        <f>D24</f>
        <v>2800000</v>
      </c>
      <c r="D52" s="13">
        <f>E24</f>
        <v>2800000</v>
      </c>
    </row>
    <row r="53" spans="1:9" x14ac:dyDescent="0.35">
      <c r="B53" s="1" t="s">
        <v>48</v>
      </c>
      <c r="C53" s="13">
        <f>D35</f>
        <v>712000</v>
      </c>
      <c r="D53" s="13">
        <f>E37</f>
        <v>683000</v>
      </c>
      <c r="E53" s="11"/>
      <c r="F53" s="11"/>
      <c r="G53" s="11"/>
      <c r="H53" s="11"/>
      <c r="I53" s="11"/>
    </row>
    <row r="54" spans="1:9" x14ac:dyDescent="0.35">
      <c r="B54" s="1" t="s">
        <v>83</v>
      </c>
      <c r="C54" s="13">
        <f>D39+D40+D41</f>
        <v>600000</v>
      </c>
      <c r="D54" s="13">
        <f>E39+E40+E41</f>
        <v>609000</v>
      </c>
      <c r="E54" s="11"/>
      <c r="F54" s="11"/>
      <c r="G54" s="11"/>
      <c r="H54" s="11"/>
      <c r="I54" s="11"/>
    </row>
    <row r="56" spans="1:9" x14ac:dyDescent="0.35">
      <c r="B56" s="1" t="s">
        <v>49</v>
      </c>
      <c r="C56" s="29">
        <f>C53/C52</f>
        <v>0.25428571428571428</v>
      </c>
      <c r="D56" s="29">
        <f>D53/D52</f>
        <v>0.24392857142857144</v>
      </c>
      <c r="E56" s="11"/>
      <c r="F56" s="11"/>
      <c r="G56" s="11"/>
      <c r="H56" s="11"/>
      <c r="I56" s="11"/>
    </row>
    <row r="58" spans="1:9" x14ac:dyDescent="0.35">
      <c r="B58" s="1" t="s">
        <v>50</v>
      </c>
      <c r="C58" s="13">
        <f>C54/C56</f>
        <v>2359550.561797753</v>
      </c>
      <c r="D58" s="13">
        <f>D54/D56</f>
        <v>2496632.5036603222</v>
      </c>
      <c r="E58" s="11"/>
      <c r="F58" s="11"/>
      <c r="G58" s="11"/>
      <c r="H58" s="11"/>
      <c r="I58" s="11"/>
    </row>
    <row r="60" spans="1:9" x14ac:dyDescent="0.35">
      <c r="B60" s="1" t="s">
        <v>51</v>
      </c>
      <c r="C60" s="13">
        <f>C52-C58</f>
        <v>440449.43820224702</v>
      </c>
      <c r="D60" s="13">
        <f>D52-D58</f>
        <v>303367.49633967783</v>
      </c>
    </row>
    <row r="61" spans="1:9" x14ac:dyDescent="0.35">
      <c r="B61" s="1" t="s">
        <v>52</v>
      </c>
      <c r="C61" s="29">
        <f>C60/C52</f>
        <v>0.15730337078651679</v>
      </c>
      <c r="D61" s="29">
        <f>D60/D52</f>
        <v>0.10834553440702779</v>
      </c>
    </row>
    <row r="64" spans="1:9" x14ac:dyDescent="0.35">
      <c r="B64" s="1" t="s">
        <v>253</v>
      </c>
    </row>
    <row r="65" spans="2:2" s="11" customFormat="1" x14ac:dyDescent="0.35">
      <c r="B65" s="1" t="s">
        <v>254</v>
      </c>
    </row>
    <row r="66" spans="2:2" s="11" customFormat="1" x14ac:dyDescent="0.35">
      <c r="B66" s="1" t="s">
        <v>255</v>
      </c>
    </row>
  </sheetData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&amp;A&amp;RSide &amp;P</oddHeader>
    <oddFooter>&amp;CLøsninger kapittel 4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>
    <pageSetUpPr fitToPage="1"/>
  </sheetPr>
  <dimension ref="A1:J72"/>
  <sheetViews>
    <sheetView topLeftCell="A19" zoomScale="106" zoomScaleNormal="106" zoomScalePageLayoutView="106" workbookViewId="0">
      <selection activeCell="E65" sqref="E65"/>
    </sheetView>
  </sheetViews>
  <sheetFormatPr baseColWidth="10" defaultColWidth="11.453125" defaultRowHeight="15.5" x14ac:dyDescent="0.35"/>
  <cols>
    <col min="1" max="1" width="4" style="1" customWidth="1"/>
    <col min="2" max="2" width="35.26953125" style="1" bestFit="1" customWidth="1"/>
    <col min="3" max="3" width="12.26953125" style="1" customWidth="1"/>
    <col min="4" max="4" width="13.26953125" style="64" customWidth="1"/>
    <col min="5" max="5" width="12.7265625" style="64" customWidth="1"/>
    <col min="6" max="6" width="12" style="64" bestFit="1" customWidth="1"/>
    <col min="7" max="7" width="15.7265625" style="64" customWidth="1"/>
    <col min="8" max="8" width="14.1796875" style="64" customWidth="1"/>
    <col min="9" max="10" width="11.453125" style="64"/>
    <col min="11" max="16384" width="11.453125" style="1"/>
  </cols>
  <sheetData>
    <row r="1" spans="1:6" x14ac:dyDescent="0.35">
      <c r="A1" s="164" t="s">
        <v>44</v>
      </c>
    </row>
    <row r="3" spans="1:6" x14ac:dyDescent="0.35">
      <c r="B3" s="30" t="s">
        <v>207</v>
      </c>
      <c r="C3" s="30"/>
      <c r="D3" s="256" t="s">
        <v>162</v>
      </c>
      <c r="E3" s="256" t="s">
        <v>161</v>
      </c>
      <c r="F3" s="256" t="s">
        <v>163</v>
      </c>
    </row>
    <row r="4" spans="1:6" x14ac:dyDescent="0.35">
      <c r="B4" s="1" t="str">
        <f>B19</f>
        <v>Materialavdelingen fast</v>
      </c>
      <c r="D4" s="187">
        <v>0.1</v>
      </c>
      <c r="E4" s="187">
        <v>0.08</v>
      </c>
      <c r="F4" s="187">
        <v>0.02</v>
      </c>
    </row>
    <row r="5" spans="1:6" x14ac:dyDescent="0.35">
      <c r="B5" s="1" t="str">
        <f>B22</f>
        <v>Tilvirkningsavdelingen variabel</v>
      </c>
      <c r="D5" s="187">
        <v>0.5</v>
      </c>
      <c r="E5" s="187">
        <v>0.4</v>
      </c>
      <c r="F5" s="187">
        <v>0.1</v>
      </c>
    </row>
    <row r="6" spans="1:6" x14ac:dyDescent="0.35">
      <c r="B6" s="1" t="str">
        <f>B28</f>
        <v>Administrasjonsavdelingen fast</v>
      </c>
      <c r="D6" s="187">
        <v>0.2</v>
      </c>
      <c r="E6" s="187">
        <v>0.2</v>
      </c>
      <c r="F6" s="187"/>
    </row>
    <row r="8" spans="1:6" x14ac:dyDescent="0.35">
      <c r="B8" s="4" t="s">
        <v>187</v>
      </c>
      <c r="C8" s="4"/>
    </row>
    <row r="11" spans="1:6" x14ac:dyDescent="0.35">
      <c r="A11" s="1" t="s">
        <v>183</v>
      </c>
      <c r="B11" s="30" t="s">
        <v>177</v>
      </c>
      <c r="C11" s="30"/>
    </row>
    <row r="12" spans="1:6" x14ac:dyDescent="0.35">
      <c r="B12" s="48"/>
      <c r="C12" s="48"/>
      <c r="D12" s="88" t="s">
        <v>188</v>
      </c>
      <c r="E12" s="89" t="s">
        <v>189</v>
      </c>
      <c r="F12" s="90" t="s">
        <v>190</v>
      </c>
    </row>
    <row r="13" spans="1:6" x14ac:dyDescent="0.35">
      <c r="B13" s="51"/>
      <c r="C13" s="51"/>
      <c r="D13" s="52" t="s">
        <v>191</v>
      </c>
      <c r="E13" s="61" t="s">
        <v>191</v>
      </c>
      <c r="F13" s="60" t="s">
        <v>192</v>
      </c>
    </row>
    <row r="14" spans="1:6" x14ac:dyDescent="0.35">
      <c r="B14" s="85" t="s">
        <v>196</v>
      </c>
      <c r="C14" s="85"/>
      <c r="D14" s="60">
        <v>2250000</v>
      </c>
      <c r="E14" s="55">
        <f>D14</f>
        <v>2250000</v>
      </c>
      <c r="F14" s="55"/>
    </row>
    <row r="15" spans="1:6" x14ac:dyDescent="0.35">
      <c r="B15" s="54"/>
      <c r="C15" s="54"/>
      <c r="D15" s="79"/>
      <c r="E15" s="57"/>
      <c r="F15" s="55"/>
    </row>
    <row r="16" spans="1:6" x14ac:dyDescent="0.35">
      <c r="B16" s="92" t="s">
        <v>174</v>
      </c>
      <c r="C16" s="92"/>
      <c r="D16" s="55">
        <v>500000</v>
      </c>
      <c r="E16" s="55">
        <f>D16</f>
        <v>500000</v>
      </c>
      <c r="F16" s="55"/>
    </row>
    <row r="17" spans="2:6" x14ac:dyDescent="0.35">
      <c r="B17" s="93" t="s">
        <v>201</v>
      </c>
      <c r="C17" s="93"/>
      <c r="D17" s="55">
        <v>700000</v>
      </c>
      <c r="E17" s="55">
        <f>D17</f>
        <v>700000</v>
      </c>
      <c r="F17" s="55"/>
    </row>
    <row r="18" spans="2:6" x14ac:dyDescent="0.35">
      <c r="B18" s="94" t="s">
        <v>175</v>
      </c>
      <c r="C18" s="94"/>
      <c r="D18" s="55"/>
      <c r="E18" s="55"/>
      <c r="F18" s="55"/>
    </row>
    <row r="19" spans="2:6" x14ac:dyDescent="0.35">
      <c r="B19" s="92" t="s">
        <v>353</v>
      </c>
      <c r="C19" s="310">
        <f>E4</f>
        <v>0.08</v>
      </c>
      <c r="D19" s="55">
        <f>D16*C19</f>
        <v>40000</v>
      </c>
      <c r="E19" s="55">
        <v>42650</v>
      </c>
      <c r="F19" s="55">
        <f>D19-E19</f>
        <v>-2650</v>
      </c>
    </row>
    <row r="20" spans="2:6" x14ac:dyDescent="0.35">
      <c r="B20" s="54" t="s">
        <v>354</v>
      </c>
      <c r="C20" s="311">
        <f>F4</f>
        <v>0.02</v>
      </c>
      <c r="D20" s="55">
        <f>D16*C20</f>
        <v>10000</v>
      </c>
      <c r="E20" s="55">
        <v>12950</v>
      </c>
      <c r="F20" s="55">
        <f t="shared" ref="F20:F22" si="0">D20-E20</f>
        <v>-2950</v>
      </c>
    </row>
    <row r="21" spans="2:6" x14ac:dyDescent="0.35">
      <c r="B21" s="54" t="s">
        <v>355</v>
      </c>
      <c r="C21" s="310">
        <f>E5</f>
        <v>0.4</v>
      </c>
      <c r="D21" s="55">
        <f>D17*C21</f>
        <v>280000</v>
      </c>
      <c r="E21" s="55">
        <v>275300</v>
      </c>
      <c r="F21" s="55">
        <f t="shared" si="0"/>
        <v>4700</v>
      </c>
    </row>
    <row r="22" spans="2:6" x14ac:dyDescent="0.35">
      <c r="B22" s="85" t="s">
        <v>356</v>
      </c>
      <c r="C22" s="312">
        <f>F5</f>
        <v>0.1</v>
      </c>
      <c r="D22" s="60">
        <f>D17*C22</f>
        <v>70000</v>
      </c>
      <c r="E22" s="55">
        <v>103200</v>
      </c>
      <c r="F22" s="55">
        <f t="shared" si="0"/>
        <v>-33200</v>
      </c>
    </row>
    <row r="23" spans="2:6" x14ac:dyDescent="0.35">
      <c r="B23" s="93" t="s">
        <v>203</v>
      </c>
      <c r="C23" s="93"/>
      <c r="D23" s="55">
        <f>SUM(D16:D22)</f>
        <v>1600000</v>
      </c>
      <c r="E23" s="55"/>
      <c r="F23" s="55"/>
    </row>
    <row r="24" spans="2:6" x14ac:dyDescent="0.35">
      <c r="B24" s="85" t="s">
        <v>193</v>
      </c>
      <c r="C24" s="85"/>
      <c r="D24" s="60">
        <v>160000</v>
      </c>
      <c r="E24" s="55">
        <f>D24</f>
        <v>160000</v>
      </c>
      <c r="F24" s="55"/>
    </row>
    <row r="25" spans="2:6" x14ac:dyDescent="0.35">
      <c r="B25" s="93" t="s">
        <v>204</v>
      </c>
      <c r="C25" s="93"/>
      <c r="D25" s="55">
        <f>SUM(D23:D24)</f>
        <v>1760000</v>
      </c>
      <c r="E25" s="55"/>
      <c r="F25" s="55"/>
    </row>
    <row r="26" spans="2:6" x14ac:dyDescent="0.35">
      <c r="B26" s="85" t="s">
        <v>194</v>
      </c>
      <c r="C26" s="85"/>
      <c r="D26" s="60">
        <v>-150000</v>
      </c>
      <c r="E26" s="55">
        <f>D26</f>
        <v>-150000</v>
      </c>
      <c r="F26" s="55"/>
    </row>
    <row r="27" spans="2:6" x14ac:dyDescent="0.35">
      <c r="B27" s="93" t="s">
        <v>205</v>
      </c>
      <c r="C27" s="93"/>
      <c r="D27" s="55">
        <f>SUM(D25:D26)</f>
        <v>1610000</v>
      </c>
      <c r="E27" s="55"/>
      <c r="F27" s="55"/>
    </row>
    <row r="28" spans="2:6" x14ac:dyDescent="0.35">
      <c r="B28" s="85" t="s">
        <v>357</v>
      </c>
      <c r="C28" s="313">
        <f>E6</f>
        <v>0.2</v>
      </c>
      <c r="D28" s="60">
        <f>D27*C28</f>
        <v>322000</v>
      </c>
      <c r="E28" s="55">
        <v>320000</v>
      </c>
      <c r="F28" s="55">
        <f>D28-E28</f>
        <v>2000</v>
      </c>
    </row>
    <row r="29" spans="2:6" x14ac:dyDescent="0.35">
      <c r="B29" s="92" t="s">
        <v>58</v>
      </c>
      <c r="C29" s="92"/>
      <c r="D29" s="55">
        <f>SUM(D27:D28)</f>
        <v>1932000</v>
      </c>
      <c r="E29" s="55"/>
      <c r="F29" s="55"/>
    </row>
    <row r="30" spans="2:6" x14ac:dyDescent="0.35">
      <c r="B30" s="85"/>
      <c r="C30" s="85"/>
      <c r="D30" s="60"/>
      <c r="E30" s="55"/>
      <c r="F30" s="55"/>
    </row>
    <row r="31" spans="2:6" x14ac:dyDescent="0.35">
      <c r="B31" s="92" t="s">
        <v>197</v>
      </c>
      <c r="C31" s="92"/>
      <c r="D31" s="55">
        <f>D14-D29</f>
        <v>318000</v>
      </c>
      <c r="E31" s="55"/>
      <c r="F31" s="55"/>
    </row>
    <row r="32" spans="2:6" x14ac:dyDescent="0.35">
      <c r="B32" s="85" t="s">
        <v>198</v>
      </c>
      <c r="C32" s="85"/>
      <c r="D32" s="60">
        <f>F32</f>
        <v>-32100</v>
      </c>
      <c r="E32" s="55"/>
      <c r="F32" s="95">
        <f>SUM(F19:F28)</f>
        <v>-32100</v>
      </c>
    </row>
    <row r="33" spans="1:8" x14ac:dyDescent="0.35">
      <c r="B33" s="96" t="s">
        <v>199</v>
      </c>
      <c r="C33" s="96"/>
      <c r="D33" s="95">
        <f>SUM(D31:D32)</f>
        <v>285900</v>
      </c>
      <c r="E33" s="95">
        <f>E14-SUM(E16:E28)</f>
        <v>285900</v>
      </c>
      <c r="F33" s="60"/>
    </row>
    <row r="34" spans="1:8" x14ac:dyDescent="0.35">
      <c r="B34" s="2"/>
      <c r="C34" s="2"/>
      <c r="D34" s="3"/>
      <c r="E34" s="3"/>
      <c r="F34" s="3"/>
    </row>
    <row r="35" spans="1:8" x14ac:dyDescent="0.35">
      <c r="A35" s="1" t="s">
        <v>184</v>
      </c>
      <c r="B35" s="2" t="s">
        <v>45</v>
      </c>
      <c r="C35" s="2"/>
      <c r="D35" s="3"/>
      <c r="E35" s="3"/>
      <c r="F35" s="3"/>
    </row>
    <row r="36" spans="1:8" x14ac:dyDescent="0.35">
      <c r="B36" s="1" t="s">
        <v>8</v>
      </c>
    </row>
    <row r="38" spans="1:8" x14ac:dyDescent="0.35">
      <c r="A38" s="1" t="s">
        <v>102</v>
      </c>
      <c r="B38" s="30" t="s">
        <v>61</v>
      </c>
      <c r="C38" s="30"/>
    </row>
    <row r="39" spans="1:8" ht="18" customHeight="1" x14ac:dyDescent="0.35">
      <c r="A39" s="1" t="s">
        <v>94</v>
      </c>
      <c r="B39" s="345"/>
      <c r="C39" s="314"/>
      <c r="D39" s="315" t="s">
        <v>152</v>
      </c>
      <c r="E39" s="210" t="s">
        <v>153</v>
      </c>
      <c r="F39" s="210" t="s">
        <v>189</v>
      </c>
      <c r="G39" s="210" t="s">
        <v>289</v>
      </c>
      <c r="H39" s="210" t="s">
        <v>247</v>
      </c>
    </row>
    <row r="40" spans="1:8" ht="18.5" x14ac:dyDescent="0.35">
      <c r="B40" s="346"/>
      <c r="C40" s="316"/>
      <c r="D40" s="317" t="s">
        <v>191</v>
      </c>
      <c r="E40" s="211" t="s">
        <v>237</v>
      </c>
      <c r="F40" s="211" t="s">
        <v>191</v>
      </c>
      <c r="G40" s="211" t="s">
        <v>154</v>
      </c>
      <c r="H40" s="211" t="s">
        <v>154</v>
      </c>
    </row>
    <row r="41" spans="1:8" x14ac:dyDescent="0.35">
      <c r="B41" s="318" t="s">
        <v>176</v>
      </c>
      <c r="C41" s="319"/>
      <c r="D41" s="315">
        <v>1</v>
      </c>
      <c r="E41" s="210">
        <v>2</v>
      </c>
      <c r="F41" s="210">
        <v>3</v>
      </c>
      <c r="G41" s="213" t="s">
        <v>292</v>
      </c>
      <c r="H41" s="213" t="s">
        <v>293</v>
      </c>
    </row>
    <row r="42" spans="1:8" x14ac:dyDescent="0.35">
      <c r="B42" s="212" t="s">
        <v>161</v>
      </c>
      <c r="C42" s="320"/>
      <c r="D42" s="321">
        <f>D19</f>
        <v>40000</v>
      </c>
      <c r="E42" s="321">
        <v>45000</v>
      </c>
      <c r="F42" s="321">
        <f>E19</f>
        <v>42650</v>
      </c>
      <c r="G42" s="220">
        <f>D42-E42</f>
        <v>-5000</v>
      </c>
      <c r="H42" s="214">
        <f>E42-F42</f>
        <v>2350</v>
      </c>
    </row>
    <row r="43" spans="1:8" x14ac:dyDescent="0.35">
      <c r="B43" s="212" t="s">
        <v>163</v>
      </c>
      <c r="C43" s="320"/>
      <c r="D43" s="214">
        <f>D20</f>
        <v>10000</v>
      </c>
      <c r="E43" s="214">
        <f>D43</f>
        <v>10000</v>
      </c>
      <c r="F43" s="214">
        <f>E20</f>
        <v>12950</v>
      </c>
      <c r="G43" s="220" t="s">
        <v>157</v>
      </c>
      <c r="H43" s="214">
        <f>E43-F43</f>
        <v>-2950</v>
      </c>
    </row>
    <row r="44" spans="1:8" x14ac:dyDescent="0.35">
      <c r="B44" s="212"/>
      <c r="C44" s="320"/>
      <c r="D44" s="322"/>
      <c r="E44" s="322"/>
      <c r="F44" s="322"/>
      <c r="G44" s="220"/>
      <c r="H44" s="214"/>
    </row>
    <row r="45" spans="1:8" x14ac:dyDescent="0.35">
      <c r="B45" s="216" t="s">
        <v>155</v>
      </c>
      <c r="C45" s="323"/>
      <c r="D45" s="214"/>
      <c r="E45" s="214"/>
      <c r="F45" s="214"/>
      <c r="G45" s="220"/>
      <c r="H45" s="214"/>
    </row>
    <row r="46" spans="1:8" x14ac:dyDescent="0.35">
      <c r="B46" s="216" t="s">
        <v>150</v>
      </c>
      <c r="C46" s="323"/>
      <c r="D46" s="214">
        <f>D21</f>
        <v>280000</v>
      </c>
      <c r="E46" s="214">
        <v>300000</v>
      </c>
      <c r="F46" s="214">
        <f>E21</f>
        <v>275300</v>
      </c>
      <c r="G46" s="220">
        <f>D46-E46</f>
        <v>-20000</v>
      </c>
      <c r="H46" s="214">
        <f>E46-F46</f>
        <v>24700</v>
      </c>
    </row>
    <row r="47" spans="1:8" x14ac:dyDescent="0.35">
      <c r="B47" s="216" t="s">
        <v>151</v>
      </c>
      <c r="C47" s="323"/>
      <c r="D47" s="214">
        <f>D22</f>
        <v>70000</v>
      </c>
      <c r="E47" s="214">
        <f>D47</f>
        <v>70000</v>
      </c>
      <c r="F47" s="214">
        <f>E22</f>
        <v>103200</v>
      </c>
      <c r="G47" s="220" t="s">
        <v>157</v>
      </c>
      <c r="H47" s="214">
        <f>E47-F47</f>
        <v>-33200</v>
      </c>
    </row>
    <row r="48" spans="1:8" x14ac:dyDescent="0.35">
      <c r="B48" s="216"/>
      <c r="C48" s="323"/>
      <c r="D48" s="322"/>
      <c r="E48" s="322"/>
      <c r="F48" s="322"/>
      <c r="G48" s="220"/>
      <c r="H48" s="214"/>
    </row>
    <row r="49" spans="1:8" x14ac:dyDescent="0.35">
      <c r="B49" s="216" t="s">
        <v>164</v>
      </c>
      <c r="C49" s="323"/>
      <c r="D49" s="214"/>
      <c r="E49" s="214"/>
      <c r="F49" s="214"/>
      <c r="G49" s="220"/>
      <c r="H49" s="214"/>
    </row>
    <row r="50" spans="1:8" x14ac:dyDescent="0.35">
      <c r="B50" s="216" t="s">
        <v>150</v>
      </c>
      <c r="C50" s="323"/>
      <c r="D50" s="214">
        <f>D28</f>
        <v>322000</v>
      </c>
      <c r="E50" s="214">
        <v>330000</v>
      </c>
      <c r="F50" s="214">
        <f>E28</f>
        <v>320000</v>
      </c>
      <c r="G50" s="220">
        <f>D50-E50</f>
        <v>-8000</v>
      </c>
      <c r="H50" s="214">
        <f>E50-F50</f>
        <v>10000</v>
      </c>
    </row>
    <row r="51" spans="1:8" x14ac:dyDescent="0.35">
      <c r="B51" s="216"/>
      <c r="C51" s="323"/>
      <c r="D51" s="214"/>
      <c r="E51" s="214"/>
      <c r="F51" s="214"/>
      <c r="G51" s="220"/>
      <c r="H51" s="214"/>
    </row>
    <row r="52" spans="1:8" x14ac:dyDescent="0.35">
      <c r="B52" s="216"/>
      <c r="C52" s="323"/>
      <c r="D52" s="324"/>
      <c r="E52" s="324"/>
      <c r="F52" s="324"/>
      <c r="G52" s="223"/>
      <c r="H52" s="218"/>
    </row>
    <row r="53" spans="1:8" x14ac:dyDescent="0.35">
      <c r="B53" s="216"/>
      <c r="C53" s="323"/>
      <c r="D53" s="214"/>
      <c r="E53" s="214"/>
      <c r="F53" s="214"/>
      <c r="G53" s="223">
        <f>SUM(G42:G52)</f>
        <v>-33000</v>
      </c>
      <c r="H53" s="218">
        <f>SUM(H42:H52)</f>
        <v>900</v>
      </c>
    </row>
    <row r="54" spans="1:8" x14ac:dyDescent="0.35">
      <c r="B54" s="325" t="s">
        <v>246</v>
      </c>
      <c r="C54" s="326"/>
      <c r="D54" s="327"/>
      <c r="E54" s="327"/>
      <c r="F54" s="328"/>
      <c r="G54" s="347">
        <f>G53+H53</f>
        <v>-32100</v>
      </c>
      <c r="H54" s="348"/>
    </row>
    <row r="55" spans="1:8" x14ac:dyDescent="0.35">
      <c r="D55" s="1"/>
      <c r="E55" s="1"/>
      <c r="F55" s="1"/>
      <c r="G55" s="1"/>
      <c r="H55" s="1"/>
    </row>
    <row r="56" spans="1:8" x14ac:dyDescent="0.35">
      <c r="B56" s="1" t="s">
        <v>227</v>
      </c>
      <c r="D56" s="1"/>
      <c r="E56" s="1"/>
      <c r="F56" s="1"/>
      <c r="G56" s="1"/>
      <c r="H56" s="1"/>
    </row>
    <row r="57" spans="1:8" x14ac:dyDescent="0.35">
      <c r="D57" s="1"/>
      <c r="E57" s="1"/>
      <c r="F57" s="1"/>
      <c r="G57" s="1"/>
      <c r="H57" s="1"/>
    </row>
    <row r="58" spans="1:8" x14ac:dyDescent="0.35">
      <c r="D58" s="1"/>
      <c r="E58" s="1"/>
      <c r="F58" s="1"/>
      <c r="G58" s="1"/>
      <c r="H58" s="1"/>
    </row>
    <row r="59" spans="1:8" x14ac:dyDescent="0.35">
      <c r="A59" s="1" t="s">
        <v>46</v>
      </c>
      <c r="B59" s="1" t="s">
        <v>358</v>
      </c>
      <c r="D59" s="1"/>
      <c r="E59" s="1"/>
      <c r="F59" s="1"/>
      <c r="G59" s="1"/>
      <c r="H59" s="1"/>
    </row>
    <row r="60" spans="1:8" x14ac:dyDescent="0.35">
      <c r="B60" s="67" t="s">
        <v>343</v>
      </c>
      <c r="C60" s="67"/>
      <c r="D60" s="1"/>
      <c r="E60" s="1"/>
      <c r="F60" s="1"/>
      <c r="G60" s="1"/>
      <c r="H60" s="1"/>
    </row>
    <row r="61" spans="1:8" x14ac:dyDescent="0.35">
      <c r="B61" s="1" t="s">
        <v>359</v>
      </c>
      <c r="D61" s="1"/>
      <c r="E61" s="1"/>
      <c r="F61" s="1"/>
      <c r="G61" s="1"/>
      <c r="H61" s="1"/>
    </row>
    <row r="62" spans="1:8" x14ac:dyDescent="0.35">
      <c r="B62" s="67" t="s">
        <v>9</v>
      </c>
      <c r="C62" s="67"/>
      <c r="G62" s="1"/>
      <c r="H62" s="1"/>
    </row>
    <row r="63" spans="1:8" x14ac:dyDescent="0.35">
      <c r="F63" s="1"/>
      <c r="G63" s="1"/>
      <c r="H63" s="1"/>
    </row>
    <row r="64" spans="1:8" x14ac:dyDescent="0.35">
      <c r="B64" s="1" t="s">
        <v>360</v>
      </c>
      <c r="F64" s="1"/>
      <c r="G64" s="1"/>
      <c r="H64" s="1"/>
    </row>
    <row r="65" spans="2:8" x14ac:dyDescent="0.35">
      <c r="F65" s="1"/>
      <c r="G65" s="1"/>
      <c r="H65" s="1"/>
    </row>
    <row r="66" spans="2:8" x14ac:dyDescent="0.35">
      <c r="B66" s="1" t="s">
        <v>291</v>
      </c>
      <c r="C66" s="1" t="s">
        <v>159</v>
      </c>
      <c r="F66" s="1"/>
    </row>
    <row r="67" spans="2:8" x14ac:dyDescent="0.35">
      <c r="C67" s="1" t="s">
        <v>165</v>
      </c>
      <c r="F67" s="1"/>
    </row>
    <row r="68" spans="2:8" x14ac:dyDescent="0.35">
      <c r="E68" s="1"/>
    </row>
    <row r="69" spans="2:8" x14ac:dyDescent="0.35">
      <c r="B69" s="1" t="s">
        <v>248</v>
      </c>
      <c r="C69" s="1" t="s">
        <v>160</v>
      </c>
      <c r="E69" s="1"/>
    </row>
    <row r="70" spans="2:8" x14ac:dyDescent="0.35">
      <c r="C70" s="67" t="s">
        <v>167</v>
      </c>
      <c r="E70" s="1"/>
    </row>
    <row r="71" spans="2:8" x14ac:dyDescent="0.35">
      <c r="C71" s="1" t="s">
        <v>166</v>
      </c>
    </row>
    <row r="72" spans="2:8" x14ac:dyDescent="0.35">
      <c r="C72" s="1" t="s">
        <v>167</v>
      </c>
    </row>
  </sheetData>
  <mergeCells count="2">
    <mergeCell ref="B39:B40"/>
    <mergeCell ref="G54:H5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>
    <oddHeader>&amp;A</oddHeader>
    <oddFooter>&amp;CLøsninger kapittel 4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>
    <pageSetUpPr fitToPage="1"/>
  </sheetPr>
  <dimension ref="A1:J112"/>
  <sheetViews>
    <sheetView zoomScale="247" workbookViewId="0">
      <selection activeCell="F13" sqref="F13"/>
    </sheetView>
  </sheetViews>
  <sheetFormatPr baseColWidth="10" defaultColWidth="11.453125" defaultRowHeight="15.5" x14ac:dyDescent="0.35"/>
  <cols>
    <col min="1" max="1" width="4.1796875" style="11" customWidth="1"/>
    <col min="2" max="2" width="39.1796875" style="11" customWidth="1"/>
    <col min="3" max="3" width="11.81640625" style="11" customWidth="1"/>
    <col min="4" max="5" width="14" style="13" customWidth="1"/>
    <col min="6" max="8" width="11.453125" style="13"/>
    <col min="9" max="16384" width="11.453125" style="11"/>
  </cols>
  <sheetData>
    <row r="1" spans="1:1" x14ac:dyDescent="0.35">
      <c r="A1" s="1" t="s">
        <v>389</v>
      </c>
    </row>
    <row r="10" spans="1:1" ht="16" customHeight="1" x14ac:dyDescent="0.35"/>
    <row r="19" ht="17.149999999999999" customHeight="1" x14ac:dyDescent="0.35"/>
    <row r="51" spans="1:6" x14ac:dyDescent="0.35">
      <c r="A51" s="10" t="s">
        <v>387</v>
      </c>
      <c r="B51" s="4"/>
      <c r="C51" s="4"/>
    </row>
    <row r="53" spans="1:6" x14ac:dyDescent="0.35">
      <c r="B53" s="4" t="s">
        <v>187</v>
      </c>
      <c r="C53" s="4"/>
    </row>
    <row r="55" spans="1:6" x14ac:dyDescent="0.35">
      <c r="B55" s="70" t="s">
        <v>207</v>
      </c>
      <c r="C55" s="75" t="s">
        <v>170</v>
      </c>
      <c r="D55" s="165"/>
      <c r="F55" s="11"/>
    </row>
    <row r="56" spans="1:6" x14ac:dyDescent="0.35">
      <c r="B56" s="22" t="s">
        <v>176</v>
      </c>
      <c r="C56" s="76">
        <v>0.2</v>
      </c>
      <c r="D56" s="84"/>
      <c r="F56" s="11"/>
    </row>
    <row r="57" spans="1:6" x14ac:dyDescent="0.35">
      <c r="B57" s="22" t="s">
        <v>202</v>
      </c>
      <c r="C57" s="76">
        <v>0.15</v>
      </c>
      <c r="D57" s="84"/>
      <c r="F57" s="11"/>
    </row>
    <row r="58" spans="1:6" x14ac:dyDescent="0.35">
      <c r="B58" s="18" t="s">
        <v>176</v>
      </c>
      <c r="C58" s="77">
        <v>0.05</v>
      </c>
      <c r="D58" s="84"/>
      <c r="F58" s="11"/>
    </row>
    <row r="59" spans="1:6" x14ac:dyDescent="0.35">
      <c r="B59" s="36"/>
      <c r="C59" s="36"/>
      <c r="D59" s="84"/>
      <c r="E59" s="84"/>
      <c r="F59" s="84"/>
    </row>
    <row r="61" spans="1:6" x14ac:dyDescent="0.35">
      <c r="A61" s="11" t="s">
        <v>183</v>
      </c>
      <c r="B61" s="30" t="s">
        <v>171</v>
      </c>
      <c r="C61" s="30"/>
    </row>
    <row r="62" spans="1:6" x14ac:dyDescent="0.35">
      <c r="B62" s="14"/>
      <c r="C62" s="14"/>
      <c r="D62" s="15" t="s">
        <v>188</v>
      </c>
      <c r="E62" s="16" t="s">
        <v>189</v>
      </c>
      <c r="F62" s="17" t="s">
        <v>190</v>
      </c>
    </row>
    <row r="63" spans="1:6" x14ac:dyDescent="0.35">
      <c r="B63" s="18"/>
      <c r="C63" s="18"/>
      <c r="D63" s="19" t="s">
        <v>191</v>
      </c>
      <c r="E63" s="80" t="s">
        <v>191</v>
      </c>
      <c r="F63" s="21" t="s">
        <v>192</v>
      </c>
    </row>
    <row r="64" spans="1:6" x14ac:dyDescent="0.35">
      <c r="B64" s="83" t="s">
        <v>196</v>
      </c>
      <c r="C64" s="99"/>
      <c r="D64" s="32">
        <v>6500000</v>
      </c>
      <c r="E64" s="17">
        <f>D64</f>
        <v>6500000</v>
      </c>
      <c r="F64" s="80"/>
    </row>
    <row r="65" spans="2:10" x14ac:dyDescent="0.35">
      <c r="B65" s="14"/>
      <c r="C65" s="22"/>
      <c r="D65" s="165"/>
      <c r="E65" s="23"/>
      <c r="F65" s="80"/>
    </row>
    <row r="66" spans="2:10" x14ac:dyDescent="0.35">
      <c r="B66" s="83" t="s">
        <v>174</v>
      </c>
      <c r="C66" s="22"/>
      <c r="D66" s="37">
        <v>1500000</v>
      </c>
      <c r="E66" s="23">
        <f>D66</f>
        <v>1500000</v>
      </c>
      <c r="F66" s="80"/>
    </row>
    <row r="67" spans="2:10" x14ac:dyDescent="0.35">
      <c r="B67" s="26" t="s">
        <v>201</v>
      </c>
      <c r="C67" s="24"/>
      <c r="D67" s="37">
        <v>2000000</v>
      </c>
      <c r="E67" s="23">
        <f>D67</f>
        <v>2000000</v>
      </c>
      <c r="F67" s="80"/>
    </row>
    <row r="68" spans="2:10" x14ac:dyDescent="0.35">
      <c r="B68" s="261" t="s">
        <v>108</v>
      </c>
      <c r="C68" s="25"/>
      <c r="D68" s="37"/>
      <c r="E68" s="23"/>
      <c r="F68" s="80"/>
    </row>
    <row r="69" spans="2:10" x14ac:dyDescent="0.35">
      <c r="B69" s="83" t="s">
        <v>176</v>
      </c>
      <c r="C69" s="308">
        <f>C56</f>
        <v>0.2</v>
      </c>
      <c r="D69" s="37">
        <f>D66*C56</f>
        <v>300000</v>
      </c>
      <c r="E69" s="23">
        <v>280000</v>
      </c>
      <c r="F69" s="80">
        <f>D69-E69</f>
        <v>20000</v>
      </c>
    </row>
    <row r="70" spans="2:10" x14ac:dyDescent="0.35">
      <c r="B70" s="103" t="s">
        <v>202</v>
      </c>
      <c r="C70" s="309">
        <f>C57</f>
        <v>0.15</v>
      </c>
      <c r="D70" s="32">
        <f>D67*C57</f>
        <v>300000</v>
      </c>
      <c r="E70" s="23">
        <v>360000</v>
      </c>
      <c r="F70" s="80">
        <f>D70-E70</f>
        <v>-60000</v>
      </c>
    </row>
    <row r="71" spans="2:10" x14ac:dyDescent="0.35">
      <c r="B71" s="329" t="s">
        <v>172</v>
      </c>
      <c r="C71" s="35"/>
      <c r="D71" s="37">
        <f>SUM(D66:D70)</f>
        <v>4100000</v>
      </c>
      <c r="E71" s="23"/>
      <c r="F71" s="80"/>
    </row>
    <row r="72" spans="2:10" x14ac:dyDescent="0.35">
      <c r="B72" s="18" t="s">
        <v>193</v>
      </c>
      <c r="C72" s="28"/>
      <c r="D72" s="32">
        <v>-300000</v>
      </c>
      <c r="E72" s="23">
        <f>D72</f>
        <v>-300000</v>
      </c>
      <c r="F72" s="80"/>
    </row>
    <row r="73" spans="2:10" x14ac:dyDescent="0.35">
      <c r="B73" s="26" t="s">
        <v>173</v>
      </c>
      <c r="C73" s="24"/>
      <c r="D73" s="37">
        <f>SUM(D71:D72)</f>
        <v>3800000</v>
      </c>
      <c r="E73" s="23"/>
      <c r="F73" s="80"/>
    </row>
    <row r="74" spans="2:10" x14ac:dyDescent="0.35">
      <c r="B74" s="18" t="s">
        <v>194</v>
      </c>
      <c r="C74" s="28"/>
      <c r="D74" s="32">
        <v>500000</v>
      </c>
      <c r="E74" s="23">
        <f>D74</f>
        <v>500000</v>
      </c>
      <c r="F74" s="80"/>
    </row>
    <row r="75" spans="2:10" x14ac:dyDescent="0.35">
      <c r="B75" s="26" t="s">
        <v>95</v>
      </c>
      <c r="C75" s="24"/>
      <c r="D75" s="37">
        <f>SUM(D73:D74)</f>
        <v>4300000</v>
      </c>
      <c r="E75" s="23"/>
      <c r="F75" s="80"/>
    </row>
    <row r="76" spans="2:10" x14ac:dyDescent="0.35">
      <c r="B76" s="18" t="s">
        <v>10</v>
      </c>
      <c r="C76" s="309">
        <f>C58</f>
        <v>0.05</v>
      </c>
      <c r="D76" s="32">
        <f>D75*C76</f>
        <v>215000</v>
      </c>
      <c r="E76" s="23">
        <v>270000</v>
      </c>
      <c r="F76" s="80">
        <f>D76-E76</f>
        <v>-55000</v>
      </c>
    </row>
    <row r="77" spans="2:10" x14ac:dyDescent="0.35">
      <c r="B77" s="83" t="s">
        <v>96</v>
      </c>
      <c r="C77" s="22"/>
      <c r="D77" s="37">
        <f>SUM(D75:D76)</f>
        <v>4515000</v>
      </c>
      <c r="E77" s="23"/>
      <c r="F77" s="80"/>
    </row>
    <row r="78" spans="2:10" x14ac:dyDescent="0.35">
      <c r="B78" s="18"/>
      <c r="C78" s="28"/>
      <c r="D78" s="32"/>
      <c r="E78" s="23"/>
      <c r="F78" s="80"/>
      <c r="J78" s="13"/>
    </row>
    <row r="79" spans="2:10" x14ac:dyDescent="0.35">
      <c r="B79" s="83" t="s">
        <v>97</v>
      </c>
      <c r="C79" s="22"/>
      <c r="D79" s="37">
        <f>D64-D77</f>
        <v>1985000</v>
      </c>
      <c r="E79" s="23"/>
      <c r="F79" s="80"/>
    </row>
    <row r="80" spans="2:10" x14ac:dyDescent="0.35">
      <c r="B80" s="83" t="s">
        <v>198</v>
      </c>
      <c r="C80" s="28"/>
      <c r="D80" s="32">
        <f>F80</f>
        <v>-95000</v>
      </c>
      <c r="E80" s="21"/>
      <c r="F80" s="78">
        <f>SUM(F69:F76)</f>
        <v>-95000</v>
      </c>
    </row>
    <row r="81" spans="1:6" x14ac:dyDescent="0.35">
      <c r="B81" s="82" t="s">
        <v>98</v>
      </c>
      <c r="C81" s="14"/>
      <c r="D81" s="17">
        <f>SUM(D79:D80)</f>
        <v>1890000</v>
      </c>
      <c r="E81" s="23">
        <f>E64-SUM(E66:E76)</f>
        <v>1890000</v>
      </c>
      <c r="F81" s="27"/>
    </row>
    <row r="82" spans="1:6" ht="18.5" x14ac:dyDescent="0.35">
      <c r="B82" s="94" t="s">
        <v>361</v>
      </c>
      <c r="C82" s="58"/>
      <c r="D82" s="23"/>
      <c r="E82" s="23"/>
      <c r="F82" s="89"/>
    </row>
    <row r="83" spans="1:6" x14ac:dyDescent="0.35">
      <c r="B83" s="92" t="s">
        <v>176</v>
      </c>
      <c r="C83" s="83"/>
      <c r="D83" s="330"/>
      <c r="E83" s="23">
        <v>200000</v>
      </c>
      <c r="F83" s="17"/>
    </row>
    <row r="84" spans="1:6" x14ac:dyDescent="0.35">
      <c r="B84" s="22" t="s">
        <v>202</v>
      </c>
      <c r="C84" s="83"/>
      <c r="D84" s="330"/>
      <c r="E84" s="23">
        <v>600000</v>
      </c>
      <c r="F84" s="23"/>
    </row>
    <row r="85" spans="1:6" x14ac:dyDescent="0.35">
      <c r="B85" s="22" t="s">
        <v>20</v>
      </c>
      <c r="C85" s="83"/>
      <c r="D85" s="330"/>
      <c r="E85" s="23">
        <v>750000</v>
      </c>
      <c r="F85" s="23"/>
    </row>
    <row r="86" spans="1:6" x14ac:dyDescent="0.35">
      <c r="B86" s="96" t="s">
        <v>251</v>
      </c>
      <c r="C86" s="18"/>
      <c r="D86" s="21"/>
      <c r="E86" s="21"/>
      <c r="F86" s="21"/>
    </row>
    <row r="87" spans="1:6" x14ac:dyDescent="0.35">
      <c r="B87" s="18" t="s">
        <v>144</v>
      </c>
      <c r="C87" s="99"/>
      <c r="D87" s="27"/>
      <c r="E87" s="21">
        <f>E81-SUM(E83:E85)</f>
        <v>340000</v>
      </c>
      <c r="F87" s="27"/>
    </row>
    <row r="90" spans="1:6" x14ac:dyDescent="0.35">
      <c r="A90" s="11" t="s">
        <v>184</v>
      </c>
      <c r="B90" s="1" t="s">
        <v>390</v>
      </c>
    </row>
    <row r="91" spans="1:6" x14ac:dyDescent="0.35">
      <c r="B91" s="1" t="s">
        <v>388</v>
      </c>
    </row>
    <row r="92" spans="1:6" x14ac:dyDescent="0.35">
      <c r="B92" s="1" t="s">
        <v>256</v>
      </c>
    </row>
    <row r="93" spans="1:6" x14ac:dyDescent="0.35">
      <c r="B93" s="1"/>
    </row>
    <row r="94" spans="1:6" x14ac:dyDescent="0.35">
      <c r="B94" s="11" t="s">
        <v>100</v>
      </c>
    </row>
    <row r="95" spans="1:6" x14ac:dyDescent="0.35">
      <c r="B95" s="11" t="s">
        <v>101</v>
      </c>
    </row>
    <row r="96" spans="1:6" x14ac:dyDescent="0.35">
      <c r="B96" s="11" t="s">
        <v>109</v>
      </c>
    </row>
    <row r="97" spans="1:8" x14ac:dyDescent="0.35">
      <c r="B97" s="11" t="s">
        <v>11</v>
      </c>
    </row>
    <row r="98" spans="1:8" x14ac:dyDescent="0.35">
      <c r="B98" s="11" t="s">
        <v>12</v>
      </c>
    </row>
    <row r="100" spans="1:8" x14ac:dyDescent="0.35">
      <c r="A100" s="1" t="s">
        <v>102</v>
      </c>
      <c r="B100" s="1" t="s">
        <v>391</v>
      </c>
    </row>
    <row r="103" spans="1:8" x14ac:dyDescent="0.35">
      <c r="A103" s="1" t="s">
        <v>94</v>
      </c>
      <c r="B103" s="1" t="s">
        <v>47</v>
      </c>
      <c r="C103" s="1"/>
      <c r="D103" s="13">
        <f>E64</f>
        <v>6500000</v>
      </c>
    </row>
    <row r="104" spans="1:8" x14ac:dyDescent="0.35">
      <c r="B104" s="1" t="s">
        <v>48</v>
      </c>
      <c r="C104" s="1"/>
      <c r="D104" s="13">
        <f>E81</f>
        <v>1890000</v>
      </c>
      <c r="E104" s="11"/>
      <c r="F104" s="11"/>
      <c r="G104" s="11"/>
      <c r="H104" s="11"/>
    </row>
    <row r="105" spans="1:8" x14ac:dyDescent="0.35">
      <c r="B105" s="1" t="s">
        <v>83</v>
      </c>
      <c r="C105" s="1"/>
      <c r="D105" s="13">
        <f>E83+E84+E85</f>
        <v>1550000</v>
      </c>
      <c r="E105" s="11"/>
      <c r="F105" s="11"/>
      <c r="G105" s="11"/>
      <c r="H105" s="11"/>
    </row>
    <row r="107" spans="1:8" x14ac:dyDescent="0.35">
      <c r="B107" s="1" t="s">
        <v>49</v>
      </c>
      <c r="C107" s="1"/>
      <c r="D107" s="29">
        <f>D104/D103</f>
        <v>0.29076923076923078</v>
      </c>
      <c r="E107" s="11"/>
      <c r="F107" s="11"/>
      <c r="G107" s="11"/>
      <c r="H107" s="11"/>
    </row>
    <row r="109" spans="1:8" x14ac:dyDescent="0.35">
      <c r="B109" s="1" t="s">
        <v>50</v>
      </c>
      <c r="C109" s="1"/>
      <c r="D109" s="13">
        <f>D105/D107</f>
        <v>5330687.8306878302</v>
      </c>
      <c r="E109" s="11"/>
      <c r="F109" s="11"/>
      <c r="G109" s="11"/>
      <c r="H109" s="11"/>
    </row>
    <row r="111" spans="1:8" x14ac:dyDescent="0.35">
      <c r="B111" s="1" t="s">
        <v>51</v>
      </c>
      <c r="C111" s="1"/>
      <c r="D111" s="13">
        <f>D103-D109</f>
        <v>1169312.1693121698</v>
      </c>
    </row>
    <row r="112" spans="1:8" x14ac:dyDescent="0.35">
      <c r="B112" s="1" t="s">
        <v>52</v>
      </c>
      <c r="C112" s="1"/>
      <c r="D112" s="29">
        <f>D111/D103</f>
        <v>0.17989417989417997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6" fitToHeight="0" orientation="portrait" r:id="rId1"/>
  <headerFooter alignWithMargins="0">
    <oddHeader>&amp;A&amp;RSide &amp;P</oddHeader>
    <oddFooter>&amp;CLøsninger kapittel 4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>
    <pageSetUpPr fitToPage="1"/>
  </sheetPr>
  <dimension ref="A1:G185"/>
  <sheetViews>
    <sheetView zoomScale="110" zoomScaleNormal="110" zoomScalePageLayoutView="95" workbookViewId="0"/>
  </sheetViews>
  <sheetFormatPr baseColWidth="10" defaultColWidth="11.453125" defaultRowHeight="15.5" x14ac:dyDescent="0.35"/>
  <cols>
    <col min="1" max="1" width="3.453125" style="1" customWidth="1"/>
    <col min="2" max="2" width="43.453125" style="1" customWidth="1"/>
    <col min="3" max="4" width="13.453125" style="1" customWidth="1"/>
    <col min="5" max="5" width="12" style="1" customWidth="1"/>
    <col min="6" max="6" width="16" style="1" customWidth="1"/>
    <col min="7" max="7" width="13.7265625" style="1" customWidth="1"/>
    <col min="8" max="16384" width="11.453125" style="1"/>
  </cols>
  <sheetData>
    <row r="1" spans="1:4" x14ac:dyDescent="0.35">
      <c r="A1" s="164" t="s">
        <v>23</v>
      </c>
    </row>
    <row r="3" spans="1:4" x14ac:dyDescent="0.35">
      <c r="A3" s="10" t="str">
        <f>'4.10'!B8</f>
        <v xml:space="preserve">Klikk på cellene for å se utregningene </v>
      </c>
    </row>
    <row r="5" spans="1:4" x14ac:dyDescent="0.35">
      <c r="B5" s="102" t="s">
        <v>363</v>
      </c>
      <c r="C5" s="64"/>
    </row>
    <row r="6" spans="1:4" x14ac:dyDescent="0.35">
      <c r="B6" s="107" t="s">
        <v>196</v>
      </c>
      <c r="C6" s="8"/>
      <c r="D6" s="8">
        <v>1000000</v>
      </c>
    </row>
    <row r="7" spans="1:4" x14ac:dyDescent="0.35">
      <c r="C7" s="2"/>
      <c r="D7" s="105"/>
    </row>
    <row r="8" spans="1:4" x14ac:dyDescent="0.35">
      <c r="B8" s="106" t="s">
        <v>110</v>
      </c>
      <c r="C8" s="105"/>
      <c r="D8" s="2"/>
    </row>
    <row r="9" spans="1:4" x14ac:dyDescent="0.35">
      <c r="B9" s="2" t="s">
        <v>174</v>
      </c>
      <c r="C9" s="2"/>
      <c r="D9" s="3">
        <v>300000</v>
      </c>
    </row>
    <row r="10" spans="1:4" x14ac:dyDescent="0.35">
      <c r="B10" s="5" t="s">
        <v>201</v>
      </c>
      <c r="C10" s="3"/>
      <c r="D10" s="3">
        <v>200000</v>
      </c>
    </row>
    <row r="11" spans="1:4" x14ac:dyDescent="0.35">
      <c r="B11" s="7" t="s">
        <v>175</v>
      </c>
      <c r="C11" s="3"/>
      <c r="D11" s="3"/>
    </row>
    <row r="12" spans="1:4" x14ac:dyDescent="0.35">
      <c r="B12" s="5" t="s">
        <v>111</v>
      </c>
      <c r="C12" s="3">
        <v>45000</v>
      </c>
      <c r="D12" s="3"/>
    </row>
    <row r="13" spans="1:4" x14ac:dyDescent="0.35">
      <c r="B13" s="6" t="s">
        <v>112</v>
      </c>
      <c r="C13" s="3">
        <v>15000</v>
      </c>
      <c r="D13" s="3">
        <f>SUM(C12:C13)</f>
        <v>60000</v>
      </c>
    </row>
    <row r="14" spans="1:4" x14ac:dyDescent="0.35">
      <c r="B14" s="5" t="s">
        <v>113</v>
      </c>
      <c r="C14" s="3">
        <v>60000</v>
      </c>
      <c r="D14" s="3"/>
    </row>
    <row r="15" spans="1:4" x14ac:dyDescent="0.35">
      <c r="B15" s="107" t="s">
        <v>114</v>
      </c>
      <c r="C15" s="8">
        <v>20000</v>
      </c>
      <c r="D15" s="8">
        <f>SUM(C14:C15)</f>
        <v>80000</v>
      </c>
    </row>
    <row r="16" spans="1:4" x14ac:dyDescent="0.35">
      <c r="B16" s="2" t="s">
        <v>182</v>
      </c>
      <c r="C16" s="3"/>
      <c r="D16" s="3">
        <f>SUM(D9:D15)</f>
        <v>640000</v>
      </c>
    </row>
    <row r="17" spans="1:5" x14ac:dyDescent="0.35">
      <c r="B17" s="107" t="s">
        <v>115</v>
      </c>
      <c r="C17" s="8"/>
      <c r="D17" s="8">
        <f>D16*0.1</f>
        <v>64000</v>
      </c>
    </row>
    <row r="18" spans="1:5" x14ac:dyDescent="0.35">
      <c r="B18" s="2" t="s">
        <v>178</v>
      </c>
      <c r="C18" s="3"/>
      <c r="D18" s="3">
        <f>SUM(D16:D17)</f>
        <v>704000</v>
      </c>
    </row>
    <row r="19" spans="1:5" x14ac:dyDescent="0.35">
      <c r="B19" s="107"/>
      <c r="C19" s="8"/>
      <c r="D19" s="8"/>
    </row>
    <row r="20" spans="1:5" x14ac:dyDescent="0.35">
      <c r="B20" s="107" t="s">
        <v>197</v>
      </c>
      <c r="C20" s="8"/>
      <c r="D20" s="8">
        <f>D6-D18</f>
        <v>296000</v>
      </c>
    </row>
    <row r="23" spans="1:5" x14ac:dyDescent="0.35">
      <c r="B23" s="108" t="s">
        <v>207</v>
      </c>
      <c r="C23" s="86"/>
      <c r="D23" s="86"/>
    </row>
    <row r="24" spans="1:5" x14ac:dyDescent="0.35">
      <c r="B24" s="86" t="s">
        <v>176</v>
      </c>
      <c r="C24" s="86" t="s">
        <v>150</v>
      </c>
      <c r="D24" s="98">
        <f>C12/D9</f>
        <v>0.15</v>
      </c>
      <c r="E24" s="98"/>
    </row>
    <row r="25" spans="1:5" x14ac:dyDescent="0.35">
      <c r="C25" s="86" t="s">
        <v>151</v>
      </c>
      <c r="D25" s="98">
        <f>C13/D9</f>
        <v>0.05</v>
      </c>
      <c r="E25" s="98">
        <f>SUM(D24:D25)</f>
        <v>0.2</v>
      </c>
    </row>
    <row r="26" spans="1:5" x14ac:dyDescent="0.35">
      <c r="B26" s="86"/>
      <c r="C26" s="86"/>
      <c r="D26" s="98"/>
      <c r="E26" s="98"/>
    </row>
    <row r="27" spans="1:5" x14ac:dyDescent="0.35">
      <c r="B27" s="86" t="s">
        <v>211</v>
      </c>
      <c r="C27" s="86" t="str">
        <f>C24</f>
        <v>Faste:</v>
      </c>
      <c r="D27" s="98">
        <f>C14/D10</f>
        <v>0.3</v>
      </c>
      <c r="E27" s="98"/>
    </row>
    <row r="28" spans="1:5" x14ac:dyDescent="0.35">
      <c r="B28" s="86"/>
      <c r="C28" s="86" t="str">
        <f>C25</f>
        <v>Variable:</v>
      </c>
      <c r="D28" s="98">
        <f>C15/D10</f>
        <v>0.1</v>
      </c>
      <c r="E28" s="98">
        <f>SUM(D27:D28)</f>
        <v>0.4</v>
      </c>
    </row>
    <row r="29" spans="1:5" x14ac:dyDescent="0.35">
      <c r="B29" s="86"/>
      <c r="C29" s="86"/>
      <c r="D29" s="87"/>
      <c r="E29" s="87"/>
    </row>
    <row r="30" spans="1:5" x14ac:dyDescent="0.35">
      <c r="B30" s="86" t="s">
        <v>229</v>
      </c>
      <c r="C30" s="86" t="str">
        <f>C27</f>
        <v>Faste:</v>
      </c>
      <c r="D30" s="87">
        <f>D17/D16</f>
        <v>0.1</v>
      </c>
      <c r="E30" s="87">
        <f>SUM(D30)</f>
        <v>0.1</v>
      </c>
    </row>
    <row r="31" spans="1:5" x14ac:dyDescent="0.35">
      <c r="B31" s="86"/>
      <c r="C31" s="86"/>
      <c r="D31" s="86"/>
      <c r="E31" s="87"/>
    </row>
    <row r="32" spans="1:5" x14ac:dyDescent="0.35">
      <c r="A32" s="1" t="s">
        <v>183</v>
      </c>
      <c r="B32" s="30" t="s">
        <v>62</v>
      </c>
      <c r="C32" s="351" t="s">
        <v>123</v>
      </c>
      <c r="D32" s="352"/>
    </row>
    <row r="33" spans="2:7" x14ac:dyDescent="0.35">
      <c r="C33" s="204" t="s">
        <v>124</v>
      </c>
      <c r="D33" s="205" t="s">
        <v>125</v>
      </c>
    </row>
    <row r="34" spans="2:7" x14ac:dyDescent="0.35">
      <c r="B34" s="48" t="str">
        <f>B9</f>
        <v>Direkte materialer</v>
      </c>
      <c r="C34" s="90">
        <v>50000</v>
      </c>
      <c r="D34" s="90">
        <v>40000</v>
      </c>
    </row>
    <row r="35" spans="2:7" x14ac:dyDescent="0.35">
      <c r="B35" s="54" t="str">
        <f>B10</f>
        <v xml:space="preserve">Direkte lønn </v>
      </c>
      <c r="C35" s="55">
        <v>35000</v>
      </c>
      <c r="D35" s="55">
        <v>25000</v>
      </c>
    </row>
    <row r="36" spans="2:7" x14ac:dyDescent="0.35">
      <c r="B36" s="54" t="str">
        <f>B13</f>
        <v xml:space="preserve">   Materialavdelingen (variable)</v>
      </c>
      <c r="C36" s="55">
        <f>C34*$D$25</f>
        <v>2500</v>
      </c>
      <c r="D36" s="55">
        <f>D34*$D$25</f>
        <v>2000</v>
      </c>
    </row>
    <row r="37" spans="2:7" x14ac:dyDescent="0.35">
      <c r="B37" s="51" t="str">
        <f>B15</f>
        <v xml:space="preserve">   Tilvirkningsavdelingen (variable)</v>
      </c>
      <c r="C37" s="60">
        <f>C35*$D$28</f>
        <v>3500</v>
      </c>
      <c r="D37" s="60">
        <f>D35*$D$28</f>
        <v>2500</v>
      </c>
    </row>
    <row r="38" spans="2:7" x14ac:dyDescent="0.35">
      <c r="B38" s="128" t="s">
        <v>126</v>
      </c>
      <c r="C38" s="60">
        <f>SUM(C34:C37)</f>
        <v>91000</v>
      </c>
      <c r="D38" s="60">
        <f>SUM(D34:D37)</f>
        <v>69500</v>
      </c>
      <c r="F38" s="64"/>
    </row>
    <row r="39" spans="2:7" x14ac:dyDescent="0.35">
      <c r="B39" s="128" t="s">
        <v>362</v>
      </c>
      <c r="C39" s="353">
        <f>C38-D38</f>
        <v>21500</v>
      </c>
      <c r="D39" s="354"/>
    </row>
    <row r="41" spans="2:7" x14ac:dyDescent="0.35">
      <c r="C41" s="351" t="s">
        <v>127</v>
      </c>
      <c r="D41" s="352"/>
    </row>
    <row r="42" spans="2:7" x14ac:dyDescent="0.35">
      <c r="C42" s="206" t="s">
        <v>124</v>
      </c>
      <c r="D42" s="206" t="s">
        <v>125</v>
      </c>
      <c r="F42" s="64"/>
    </row>
    <row r="43" spans="2:7" x14ac:dyDescent="0.35">
      <c r="B43" s="129" t="s">
        <v>174</v>
      </c>
      <c r="C43" s="90">
        <v>75000</v>
      </c>
      <c r="D43" s="90">
        <v>0</v>
      </c>
    </row>
    <row r="44" spans="2:7" x14ac:dyDescent="0.35">
      <c r="B44" s="92" t="s">
        <v>201</v>
      </c>
      <c r="C44" s="55">
        <v>50000</v>
      </c>
      <c r="D44" s="55">
        <v>0</v>
      </c>
    </row>
    <row r="45" spans="2:7" x14ac:dyDescent="0.35">
      <c r="B45" s="92" t="s">
        <v>112</v>
      </c>
      <c r="C45" s="55">
        <f>C43*$D$25</f>
        <v>3750</v>
      </c>
      <c r="D45" s="55">
        <f>D43*$D$25</f>
        <v>0</v>
      </c>
    </row>
    <row r="46" spans="2:7" x14ac:dyDescent="0.35">
      <c r="B46" s="96" t="s">
        <v>114</v>
      </c>
      <c r="C46" s="60">
        <f>C44*$D$28</f>
        <v>5000</v>
      </c>
      <c r="D46" s="60">
        <f>D44*$D$28</f>
        <v>0</v>
      </c>
      <c r="G46" s="64"/>
    </row>
    <row r="47" spans="2:7" x14ac:dyDescent="0.35">
      <c r="B47" s="128" t="s">
        <v>126</v>
      </c>
      <c r="C47" s="60">
        <f>SUM(C43:C46)</f>
        <v>133750</v>
      </c>
      <c r="D47" s="60">
        <f>SUM(D43:D46)</f>
        <v>0</v>
      </c>
    </row>
    <row r="48" spans="2:7" x14ac:dyDescent="0.35">
      <c r="B48" s="128" t="s">
        <v>362</v>
      </c>
      <c r="C48" s="353">
        <f>C47-D47</f>
        <v>133750</v>
      </c>
      <c r="D48" s="354"/>
    </row>
    <row r="49" spans="2:5" x14ac:dyDescent="0.35">
      <c r="B49" s="86"/>
      <c r="C49" s="86"/>
      <c r="D49" s="86"/>
    </row>
    <row r="51" spans="2:5" x14ac:dyDescent="0.35">
      <c r="B51" s="30" t="s">
        <v>171</v>
      </c>
      <c r="C51" s="64"/>
      <c r="D51" s="64"/>
      <c r="E51" s="64"/>
    </row>
    <row r="52" spans="2:5" x14ac:dyDescent="0.35">
      <c r="B52" s="30"/>
      <c r="C52" s="64"/>
      <c r="D52" s="64"/>
      <c r="E52" s="64"/>
    </row>
    <row r="53" spans="2:5" x14ac:dyDescent="0.35">
      <c r="B53" s="48"/>
      <c r="C53" s="88" t="s">
        <v>152</v>
      </c>
      <c r="D53" s="89" t="s">
        <v>189</v>
      </c>
      <c r="E53" s="90" t="s">
        <v>190</v>
      </c>
    </row>
    <row r="54" spans="2:5" x14ac:dyDescent="0.35">
      <c r="B54" s="51"/>
      <c r="C54" s="52" t="s">
        <v>191</v>
      </c>
      <c r="D54" s="61" t="s">
        <v>191</v>
      </c>
      <c r="E54" s="60" t="s">
        <v>192</v>
      </c>
    </row>
    <row r="55" spans="2:5" x14ac:dyDescent="0.35">
      <c r="B55" s="96" t="s">
        <v>196</v>
      </c>
      <c r="C55" s="60">
        <v>1000000</v>
      </c>
      <c r="D55" s="55">
        <f>C55</f>
        <v>1000000</v>
      </c>
      <c r="E55" s="55"/>
    </row>
    <row r="56" spans="2:5" x14ac:dyDescent="0.35">
      <c r="B56" s="54"/>
      <c r="C56" s="79"/>
      <c r="D56" s="57"/>
      <c r="E56" s="55"/>
    </row>
    <row r="57" spans="2:5" x14ac:dyDescent="0.35">
      <c r="B57" s="58" t="s">
        <v>110</v>
      </c>
      <c r="C57" s="55"/>
      <c r="D57" s="55"/>
      <c r="E57" s="55"/>
    </row>
    <row r="58" spans="2:5" x14ac:dyDescent="0.35">
      <c r="B58" s="54" t="s">
        <v>118</v>
      </c>
      <c r="C58" s="55">
        <v>350000</v>
      </c>
      <c r="D58" s="55">
        <f>C58</f>
        <v>350000</v>
      </c>
      <c r="E58" s="55"/>
    </row>
    <row r="59" spans="2:5" x14ac:dyDescent="0.35">
      <c r="B59" s="100" t="s">
        <v>201</v>
      </c>
      <c r="C59" s="55">
        <v>250000</v>
      </c>
      <c r="D59" s="55">
        <f>C59</f>
        <v>250000</v>
      </c>
      <c r="E59" s="55"/>
    </row>
    <row r="60" spans="2:5" x14ac:dyDescent="0.35">
      <c r="B60" s="58" t="s">
        <v>122</v>
      </c>
      <c r="C60" s="55"/>
      <c r="D60" s="55"/>
      <c r="E60" s="55"/>
    </row>
    <row r="61" spans="2:5" x14ac:dyDescent="0.35">
      <c r="B61" s="54" t="s">
        <v>128</v>
      </c>
      <c r="C61" s="55">
        <f>C58*D25</f>
        <v>17500</v>
      </c>
      <c r="D61" s="55">
        <v>21900</v>
      </c>
      <c r="E61" s="55">
        <f>C61-D61</f>
        <v>-4400</v>
      </c>
    </row>
    <row r="62" spans="2:5" x14ac:dyDescent="0.35">
      <c r="B62" s="96" t="s">
        <v>130</v>
      </c>
      <c r="C62" s="60">
        <f>C59*D28</f>
        <v>25000</v>
      </c>
      <c r="D62" s="55">
        <v>22500</v>
      </c>
      <c r="E62" s="55">
        <f>C62-D62</f>
        <v>2500</v>
      </c>
    </row>
    <row r="63" spans="2:5" x14ac:dyDescent="0.35">
      <c r="B63" s="54" t="s">
        <v>172</v>
      </c>
      <c r="C63" s="55">
        <f>SUM(C58:C62)</f>
        <v>642500</v>
      </c>
      <c r="D63" s="55"/>
      <c r="E63" s="55"/>
    </row>
    <row r="64" spans="2:5" x14ac:dyDescent="0.35">
      <c r="B64" s="96" t="s">
        <v>129</v>
      </c>
      <c r="C64" s="60">
        <f>C39</f>
        <v>21500</v>
      </c>
      <c r="D64" s="55">
        <f>C64</f>
        <v>21500</v>
      </c>
      <c r="E64" s="55"/>
    </row>
    <row r="65" spans="2:5" x14ac:dyDescent="0.35">
      <c r="B65" s="54" t="s">
        <v>119</v>
      </c>
      <c r="C65" s="55">
        <f>SUM(C63:C64)</f>
        <v>664000</v>
      </c>
      <c r="D65" s="55"/>
      <c r="E65" s="55"/>
    </row>
    <row r="66" spans="2:5" x14ac:dyDescent="0.35">
      <c r="B66" s="96" t="s">
        <v>120</v>
      </c>
      <c r="C66" s="60">
        <f>C48</f>
        <v>133750</v>
      </c>
      <c r="D66" s="55">
        <f>C66</f>
        <v>133750</v>
      </c>
      <c r="E66" s="55"/>
    </row>
    <row r="67" spans="2:5" x14ac:dyDescent="0.35">
      <c r="B67" s="54" t="s">
        <v>121</v>
      </c>
      <c r="C67" s="55">
        <f>SUM(C65:C66)</f>
        <v>797750</v>
      </c>
      <c r="D67" s="55"/>
      <c r="E67" s="55"/>
    </row>
    <row r="68" spans="2:5" x14ac:dyDescent="0.35">
      <c r="B68" s="54" t="s">
        <v>230</v>
      </c>
      <c r="C68" s="55"/>
      <c r="D68" s="55"/>
      <c r="E68" s="55"/>
    </row>
    <row r="69" spans="2:5" x14ac:dyDescent="0.35">
      <c r="B69" s="96" t="s">
        <v>231</v>
      </c>
      <c r="C69" s="60">
        <v>0</v>
      </c>
      <c r="D69" s="55"/>
      <c r="E69" s="55"/>
    </row>
    <row r="70" spans="2:5" x14ac:dyDescent="0.35">
      <c r="B70" s="54" t="s">
        <v>96</v>
      </c>
      <c r="C70" s="55">
        <f>SUM(C67:C69)</f>
        <v>797750</v>
      </c>
      <c r="D70" s="55"/>
      <c r="E70" s="55"/>
    </row>
    <row r="71" spans="2:5" x14ac:dyDescent="0.35">
      <c r="B71" s="96"/>
      <c r="C71" s="60"/>
      <c r="D71" s="55"/>
      <c r="E71" s="55"/>
    </row>
    <row r="72" spans="2:5" x14ac:dyDescent="0.35">
      <c r="B72" s="54" t="s">
        <v>97</v>
      </c>
      <c r="C72" s="55">
        <f>C55-C70</f>
        <v>202250</v>
      </c>
      <c r="E72" s="55"/>
    </row>
    <row r="73" spans="2:5" x14ac:dyDescent="0.35">
      <c r="B73" s="96" t="s">
        <v>198</v>
      </c>
      <c r="C73" s="60">
        <f>E73</f>
        <v>-1900</v>
      </c>
      <c r="D73" s="55"/>
      <c r="E73" s="95">
        <f>SUM(E61:E72)</f>
        <v>-1900</v>
      </c>
    </row>
    <row r="74" spans="2:5" x14ac:dyDescent="0.35">
      <c r="B74" s="2" t="s">
        <v>98</v>
      </c>
      <c r="C74" s="90">
        <f>SUM(C72:C73)</f>
        <v>200350</v>
      </c>
      <c r="D74" s="3">
        <f>D55-SUM(D58:D66)</f>
        <v>200350</v>
      </c>
      <c r="E74" s="44"/>
    </row>
    <row r="75" spans="2:5" x14ac:dyDescent="0.35">
      <c r="B75" s="58" t="s">
        <v>83</v>
      </c>
      <c r="C75" s="55"/>
      <c r="D75" s="3"/>
      <c r="E75" s="95" t="s">
        <v>251</v>
      </c>
    </row>
    <row r="76" spans="2:5" x14ac:dyDescent="0.35">
      <c r="B76" s="54" t="s">
        <v>56</v>
      </c>
      <c r="C76" s="55">
        <f>C12</f>
        <v>45000</v>
      </c>
      <c r="D76" s="57">
        <f>D114-D61</f>
        <v>47100</v>
      </c>
      <c r="E76" s="90">
        <f>C76-D76</f>
        <v>-2100</v>
      </c>
    </row>
    <row r="77" spans="2:5" x14ac:dyDescent="0.35">
      <c r="B77" s="54" t="s">
        <v>57</v>
      </c>
      <c r="C77" s="55">
        <f>C14</f>
        <v>60000</v>
      </c>
      <c r="D77" s="57">
        <f>D115-D62</f>
        <v>72500</v>
      </c>
      <c r="E77" s="55">
        <f t="shared" ref="E77:E78" si="0">C77-D77</f>
        <v>-12500</v>
      </c>
    </row>
    <row r="78" spans="2:5" x14ac:dyDescent="0.35">
      <c r="B78" s="54" t="s">
        <v>232</v>
      </c>
      <c r="C78" s="55">
        <f>D17</f>
        <v>64000</v>
      </c>
      <c r="D78" s="57">
        <f>D121</f>
        <v>80000</v>
      </c>
      <c r="E78" s="55">
        <f t="shared" si="0"/>
        <v>-16000</v>
      </c>
    </row>
    <row r="79" spans="2:5" x14ac:dyDescent="0.35">
      <c r="B79" s="54" t="s">
        <v>252</v>
      </c>
      <c r="C79" s="60">
        <f>E79</f>
        <v>-30600</v>
      </c>
      <c r="D79" s="57"/>
      <c r="E79" s="60">
        <f>SUM(E76:E78)</f>
        <v>-30600</v>
      </c>
    </row>
    <row r="80" spans="2:5" ht="16" thickBot="1" x14ac:dyDescent="0.4">
      <c r="B80" s="207" t="s">
        <v>144</v>
      </c>
      <c r="C80" s="97">
        <f>C74-C76-C77-C78+C79</f>
        <v>750</v>
      </c>
      <c r="D80" s="97">
        <f>D74-D76-D77-D78</f>
        <v>750</v>
      </c>
    </row>
    <row r="81" spans="1:4" ht="16" thickTop="1" x14ac:dyDescent="0.35"/>
    <row r="83" spans="1:4" x14ac:dyDescent="0.35">
      <c r="A83" s="1" t="s">
        <v>184</v>
      </c>
      <c r="B83" s="1" t="s">
        <v>364</v>
      </c>
    </row>
    <row r="84" spans="1:4" x14ac:dyDescent="0.35">
      <c r="B84" s="1" t="s">
        <v>365</v>
      </c>
    </row>
    <row r="86" spans="1:4" x14ac:dyDescent="0.35">
      <c r="B86" s="30" t="s">
        <v>63</v>
      </c>
      <c r="C86" s="351" t="s">
        <v>123</v>
      </c>
      <c r="D86" s="352"/>
    </row>
    <row r="87" spans="1:4" x14ac:dyDescent="0.35">
      <c r="C87" s="206" t="s">
        <v>124</v>
      </c>
      <c r="D87" s="206" t="s">
        <v>125</v>
      </c>
    </row>
    <row r="88" spans="1:4" x14ac:dyDescent="0.35">
      <c r="B88" s="48" t="s">
        <v>174</v>
      </c>
      <c r="C88" s="90">
        <v>50000</v>
      </c>
      <c r="D88" s="90">
        <v>40000</v>
      </c>
    </row>
    <row r="89" spans="1:4" x14ac:dyDescent="0.35">
      <c r="B89" s="54" t="s">
        <v>201</v>
      </c>
      <c r="C89" s="55">
        <v>35000</v>
      </c>
      <c r="D89" s="55">
        <v>25000</v>
      </c>
    </row>
    <row r="90" spans="1:4" x14ac:dyDescent="0.35">
      <c r="B90" s="54" t="s">
        <v>131</v>
      </c>
      <c r="C90" s="55">
        <f>C88*$E$25</f>
        <v>10000</v>
      </c>
      <c r="D90" s="55">
        <f>D88*$E$25</f>
        <v>8000</v>
      </c>
    </row>
    <row r="91" spans="1:4" x14ac:dyDescent="0.35">
      <c r="B91" s="51" t="s">
        <v>132</v>
      </c>
      <c r="C91" s="60">
        <f>C89*$E$28</f>
        <v>14000</v>
      </c>
      <c r="D91" s="60">
        <f>D89*$E$28</f>
        <v>10000</v>
      </c>
    </row>
    <row r="92" spans="1:4" x14ac:dyDescent="0.35">
      <c r="B92" s="128" t="s">
        <v>182</v>
      </c>
      <c r="C92" s="60">
        <f>SUM(C88:C91)</f>
        <v>109000</v>
      </c>
      <c r="D92" s="60">
        <f>SUM(D88:D91)</f>
        <v>83000</v>
      </c>
    </row>
    <row r="93" spans="1:4" x14ac:dyDescent="0.35">
      <c r="B93" s="128" t="s">
        <v>362</v>
      </c>
      <c r="C93" s="353">
        <f>C92-D92</f>
        <v>26000</v>
      </c>
      <c r="D93" s="354"/>
    </row>
    <row r="95" spans="1:4" x14ac:dyDescent="0.35">
      <c r="C95" s="351" t="s">
        <v>127</v>
      </c>
      <c r="D95" s="352"/>
    </row>
    <row r="96" spans="1:4" x14ac:dyDescent="0.35">
      <c r="C96" s="206" t="s">
        <v>124</v>
      </c>
      <c r="D96" s="206" t="s">
        <v>125</v>
      </c>
    </row>
    <row r="97" spans="2:5" x14ac:dyDescent="0.35">
      <c r="B97" s="129" t="s">
        <v>174</v>
      </c>
      <c r="C97" s="90">
        <v>75000</v>
      </c>
      <c r="D97" s="90">
        <v>0</v>
      </c>
    </row>
    <row r="98" spans="2:5" x14ac:dyDescent="0.35">
      <c r="B98" s="92" t="s">
        <v>201</v>
      </c>
      <c r="C98" s="55">
        <v>50000</v>
      </c>
      <c r="D98" s="55">
        <v>0</v>
      </c>
    </row>
    <row r="99" spans="2:5" x14ac:dyDescent="0.35">
      <c r="B99" s="92" t="s">
        <v>133</v>
      </c>
      <c r="C99" s="55">
        <f>C97*$E$25</f>
        <v>15000</v>
      </c>
      <c r="D99" s="55">
        <f>D97*$E$25</f>
        <v>0</v>
      </c>
    </row>
    <row r="100" spans="2:5" x14ac:dyDescent="0.35">
      <c r="B100" s="96" t="s">
        <v>134</v>
      </c>
      <c r="C100" s="60">
        <f>C98*$E$28</f>
        <v>20000</v>
      </c>
      <c r="D100" s="60">
        <f>D98*$E$28</f>
        <v>0</v>
      </c>
    </row>
    <row r="101" spans="2:5" x14ac:dyDescent="0.35">
      <c r="B101" s="128" t="s">
        <v>182</v>
      </c>
      <c r="C101" s="60">
        <f>SUM(C97:C100)</f>
        <v>160000</v>
      </c>
      <c r="D101" s="60">
        <f>SUM(D97:D100)</f>
        <v>0</v>
      </c>
    </row>
    <row r="102" spans="2:5" x14ac:dyDescent="0.35">
      <c r="B102" s="128" t="s">
        <v>362</v>
      </c>
      <c r="C102" s="353">
        <f>C101-D101</f>
        <v>160000</v>
      </c>
      <c r="D102" s="354"/>
    </row>
    <row r="104" spans="2:5" x14ac:dyDescent="0.35">
      <c r="B104" s="30" t="s">
        <v>177</v>
      </c>
    </row>
    <row r="106" spans="2:5" x14ac:dyDescent="0.35">
      <c r="B106" s="48"/>
      <c r="C106" s="88" t="s">
        <v>152</v>
      </c>
      <c r="D106" s="89" t="s">
        <v>189</v>
      </c>
      <c r="E106" s="90" t="s">
        <v>190</v>
      </c>
    </row>
    <row r="107" spans="2:5" x14ac:dyDescent="0.35">
      <c r="B107" s="51"/>
      <c r="C107" s="52" t="s">
        <v>191</v>
      </c>
      <c r="D107" s="61" t="s">
        <v>191</v>
      </c>
      <c r="E107" s="60" t="s">
        <v>192</v>
      </c>
    </row>
    <row r="108" spans="2:5" x14ac:dyDescent="0.35">
      <c r="B108" s="96" t="s">
        <v>196</v>
      </c>
      <c r="C108" s="60">
        <f>C55</f>
        <v>1000000</v>
      </c>
      <c r="D108" s="55">
        <f>C108</f>
        <v>1000000</v>
      </c>
      <c r="E108" s="55"/>
    </row>
    <row r="109" spans="2:5" x14ac:dyDescent="0.35">
      <c r="B109" s="54"/>
      <c r="C109" s="79"/>
      <c r="D109" s="57"/>
      <c r="E109" s="55"/>
    </row>
    <row r="110" spans="2:5" x14ac:dyDescent="0.35">
      <c r="B110" s="91" t="s">
        <v>110</v>
      </c>
      <c r="C110" s="79"/>
      <c r="D110" s="57"/>
      <c r="E110" s="55"/>
    </row>
    <row r="111" spans="2:5" x14ac:dyDescent="0.35">
      <c r="B111" s="92" t="s">
        <v>174</v>
      </c>
      <c r="C111" s="55">
        <f>C58</f>
        <v>350000</v>
      </c>
      <c r="D111" s="55">
        <f>C111</f>
        <v>350000</v>
      </c>
      <c r="E111" s="55"/>
    </row>
    <row r="112" spans="2:5" x14ac:dyDescent="0.35">
      <c r="B112" s="93" t="s">
        <v>201</v>
      </c>
      <c r="C112" s="55">
        <f>C59</f>
        <v>250000</v>
      </c>
      <c r="D112" s="55">
        <f>C112</f>
        <v>250000</v>
      </c>
      <c r="E112" s="55"/>
    </row>
    <row r="113" spans="1:5" x14ac:dyDescent="0.35">
      <c r="B113" s="94" t="s">
        <v>175</v>
      </c>
      <c r="C113" s="55"/>
      <c r="D113" s="55"/>
      <c r="E113" s="55"/>
    </row>
    <row r="114" spans="1:5" x14ac:dyDescent="0.35">
      <c r="B114" s="93" t="s">
        <v>135</v>
      </c>
      <c r="C114" s="55">
        <f>C111*E25</f>
        <v>70000</v>
      </c>
      <c r="D114" s="55">
        <v>69000</v>
      </c>
      <c r="E114" s="55">
        <f>C114-D114</f>
        <v>1000</v>
      </c>
    </row>
    <row r="115" spans="1:5" x14ac:dyDescent="0.35">
      <c r="B115" s="85" t="s">
        <v>53</v>
      </c>
      <c r="C115" s="60">
        <f>C112*E28</f>
        <v>100000</v>
      </c>
      <c r="D115" s="57">
        <v>95000</v>
      </c>
      <c r="E115" s="55">
        <f>C115-D115</f>
        <v>5000</v>
      </c>
    </row>
    <row r="116" spans="1:5" x14ac:dyDescent="0.35">
      <c r="B116" s="92" t="s">
        <v>203</v>
      </c>
      <c r="C116" s="55">
        <f>SUM(C111:C115)</f>
        <v>770000</v>
      </c>
      <c r="D116" s="55"/>
      <c r="E116" s="55"/>
    </row>
    <row r="117" spans="1:5" x14ac:dyDescent="0.35">
      <c r="B117" s="101" t="s">
        <v>54</v>
      </c>
      <c r="C117" s="60">
        <f>C93</f>
        <v>26000</v>
      </c>
      <c r="D117" s="55">
        <f>C117</f>
        <v>26000</v>
      </c>
      <c r="E117" s="55"/>
    </row>
    <row r="118" spans="1:5" x14ac:dyDescent="0.35">
      <c r="B118" s="92" t="s">
        <v>116</v>
      </c>
      <c r="C118" s="55">
        <f>SUM(C116:C117)</f>
        <v>796000</v>
      </c>
      <c r="D118" s="55"/>
      <c r="E118" s="55"/>
    </row>
    <row r="119" spans="1:5" x14ac:dyDescent="0.35">
      <c r="B119" s="96" t="s">
        <v>55</v>
      </c>
      <c r="C119" s="60">
        <f>C102</f>
        <v>160000</v>
      </c>
      <c r="D119" s="55">
        <f>C119</f>
        <v>160000</v>
      </c>
      <c r="E119" s="55"/>
    </row>
    <row r="120" spans="1:5" x14ac:dyDescent="0.35">
      <c r="B120" s="92" t="s">
        <v>117</v>
      </c>
      <c r="C120" s="55">
        <f>SUM(C118:C119)</f>
        <v>956000</v>
      </c>
      <c r="D120" s="55"/>
      <c r="E120" s="55"/>
    </row>
    <row r="121" spans="1:5" x14ac:dyDescent="0.35">
      <c r="B121" s="96" t="s">
        <v>115</v>
      </c>
      <c r="C121" s="60">
        <f>C120*E30</f>
        <v>95600</v>
      </c>
      <c r="D121" s="55">
        <v>80000</v>
      </c>
      <c r="E121" s="55">
        <f>C121-D121</f>
        <v>15600</v>
      </c>
    </row>
    <row r="122" spans="1:5" x14ac:dyDescent="0.35">
      <c r="B122" s="92" t="s">
        <v>58</v>
      </c>
      <c r="C122" s="55">
        <f>SUM(C120:C121)</f>
        <v>1051600</v>
      </c>
      <c r="D122" s="55"/>
      <c r="E122" s="55"/>
    </row>
    <row r="123" spans="1:5" x14ac:dyDescent="0.35">
      <c r="B123" s="96"/>
      <c r="C123" s="60"/>
      <c r="D123" s="55"/>
      <c r="E123" s="55"/>
    </row>
    <row r="124" spans="1:5" x14ac:dyDescent="0.35">
      <c r="B124" s="92" t="s">
        <v>197</v>
      </c>
      <c r="C124" s="55">
        <f>C108-C122</f>
        <v>-51600</v>
      </c>
      <c r="D124" s="55"/>
      <c r="E124" s="55"/>
    </row>
    <row r="125" spans="1:5" x14ac:dyDescent="0.35">
      <c r="B125" s="96" t="s">
        <v>198</v>
      </c>
      <c r="C125" s="60">
        <f>E125</f>
        <v>21600</v>
      </c>
      <c r="D125" s="55"/>
      <c r="E125" s="95">
        <f>SUM(E114:E122)</f>
        <v>21600</v>
      </c>
    </row>
    <row r="126" spans="1:5" x14ac:dyDescent="0.35">
      <c r="B126" s="96" t="s">
        <v>199</v>
      </c>
      <c r="C126" s="95">
        <f>SUM(C124:C125)</f>
        <v>-30000</v>
      </c>
      <c r="D126" s="95">
        <f>D108-SUM(D111:D121)</f>
        <v>-30000</v>
      </c>
      <c r="E126" s="60"/>
    </row>
    <row r="128" spans="1:5" x14ac:dyDescent="0.35">
      <c r="A128" s="1" t="s">
        <v>102</v>
      </c>
      <c r="B128" s="1" t="s">
        <v>366</v>
      </c>
    </row>
    <row r="129" spans="1:5" x14ac:dyDescent="0.35">
      <c r="B129" s="1" t="s">
        <v>367</v>
      </c>
    </row>
    <row r="131" spans="1:5" x14ac:dyDescent="0.35">
      <c r="B131" s="1" t="s">
        <v>103</v>
      </c>
      <c r="C131" s="64"/>
      <c r="D131" s="64">
        <f>D126</f>
        <v>-30000</v>
      </c>
    </row>
    <row r="132" spans="1:5" x14ac:dyDescent="0.35">
      <c r="B132" s="1" t="s">
        <v>104</v>
      </c>
      <c r="C132" s="64"/>
      <c r="D132" s="64">
        <f>D80</f>
        <v>750</v>
      </c>
    </row>
    <row r="133" spans="1:5" x14ac:dyDescent="0.35">
      <c r="B133" s="208" t="s">
        <v>105</v>
      </c>
      <c r="C133" s="178"/>
      <c r="D133" s="178">
        <f>D131-D132</f>
        <v>-30750</v>
      </c>
    </row>
    <row r="134" spans="1:5" x14ac:dyDescent="0.35">
      <c r="C134" s="64"/>
      <c r="D134" s="64"/>
    </row>
    <row r="135" spans="1:5" x14ac:dyDescent="0.35">
      <c r="B135" s="1" t="s">
        <v>219</v>
      </c>
      <c r="C135" s="64"/>
      <c r="D135" s="64">
        <f>D64+D66</f>
        <v>155250</v>
      </c>
      <c r="E135" s="209"/>
    </row>
    <row r="136" spans="1:5" x14ac:dyDescent="0.35">
      <c r="B136" s="1" t="s">
        <v>64</v>
      </c>
      <c r="C136" s="64"/>
      <c r="D136" s="64">
        <f>$D$117+$D$119</f>
        <v>186000</v>
      </c>
    </row>
    <row r="137" spans="1:5" x14ac:dyDescent="0.35">
      <c r="B137" s="208" t="str">
        <f>B133</f>
        <v>Differanse</v>
      </c>
      <c r="C137" s="178"/>
      <c r="D137" s="178">
        <f>D135-D136</f>
        <v>-30750</v>
      </c>
    </row>
    <row r="139" spans="1:5" x14ac:dyDescent="0.35">
      <c r="B139" s="1" t="s">
        <v>106</v>
      </c>
    </row>
    <row r="140" spans="1:5" x14ac:dyDescent="0.35">
      <c r="B140" s="1" t="s">
        <v>107</v>
      </c>
    </row>
    <row r="141" spans="1:5" x14ac:dyDescent="0.35">
      <c r="B141" s="1" t="s">
        <v>65</v>
      </c>
    </row>
    <row r="142" spans="1:5" x14ac:dyDescent="0.35">
      <c r="B142" s="1" t="s">
        <v>66</v>
      </c>
    </row>
    <row r="144" spans="1:5" x14ac:dyDescent="0.35">
      <c r="A144" s="1" t="s">
        <v>94</v>
      </c>
      <c r="B144" s="30" t="s">
        <v>61</v>
      </c>
    </row>
    <row r="146" spans="2:7" x14ac:dyDescent="0.35">
      <c r="B146" s="1" t="s">
        <v>368</v>
      </c>
    </row>
    <row r="147" spans="2:7" x14ac:dyDescent="0.35">
      <c r="B147" s="1" t="s">
        <v>369</v>
      </c>
    </row>
    <row r="148" spans="2:7" x14ac:dyDescent="0.35">
      <c r="C148" s="64"/>
      <c r="D148" s="64"/>
      <c r="E148" s="64"/>
      <c r="F148" s="64"/>
      <c r="G148" s="64"/>
    </row>
    <row r="149" spans="2:7" ht="21.75" customHeight="1" x14ac:dyDescent="0.35">
      <c r="B149" s="349"/>
      <c r="C149" s="210" t="s">
        <v>152</v>
      </c>
      <c r="D149" s="210" t="s">
        <v>153</v>
      </c>
      <c r="E149" s="210" t="s">
        <v>189</v>
      </c>
      <c r="F149" s="210" t="s">
        <v>342</v>
      </c>
      <c r="G149" s="210" t="s">
        <v>247</v>
      </c>
    </row>
    <row r="150" spans="2:7" ht="18.5" x14ac:dyDescent="0.35">
      <c r="B150" s="349"/>
      <c r="C150" s="211" t="s">
        <v>191</v>
      </c>
      <c r="D150" s="211" t="s">
        <v>237</v>
      </c>
      <c r="E150" s="211" t="s">
        <v>191</v>
      </c>
      <c r="F150" s="211" t="s">
        <v>154</v>
      </c>
      <c r="G150" s="211" t="s">
        <v>154</v>
      </c>
    </row>
    <row r="151" spans="2:7" x14ac:dyDescent="0.35">
      <c r="B151" s="212" t="s">
        <v>233</v>
      </c>
      <c r="C151" s="213">
        <v>1</v>
      </c>
      <c r="D151" s="213">
        <v>2</v>
      </c>
      <c r="E151" s="213">
        <v>3</v>
      </c>
      <c r="F151" s="213" t="s">
        <v>292</v>
      </c>
      <c r="G151" s="213" t="s">
        <v>293</v>
      </c>
    </row>
    <row r="152" spans="2:7" x14ac:dyDescent="0.35">
      <c r="B152" s="212" t="s">
        <v>161</v>
      </c>
      <c r="C152" s="214">
        <f>350000*15%</f>
        <v>52500</v>
      </c>
      <c r="D152" s="214">
        <v>45000</v>
      </c>
      <c r="E152" s="214">
        <v>47100</v>
      </c>
      <c r="F152" s="214">
        <f>C152-D152</f>
        <v>7500</v>
      </c>
      <c r="G152" s="214">
        <f>D152-E152</f>
        <v>-2100</v>
      </c>
    </row>
    <row r="153" spans="2:7" x14ac:dyDescent="0.35">
      <c r="B153" s="212" t="s">
        <v>163</v>
      </c>
      <c r="C153" s="214">
        <f>350000*5%</f>
        <v>17500</v>
      </c>
      <c r="D153" s="214">
        <f>C153</f>
        <v>17500</v>
      </c>
      <c r="E153" s="214">
        <v>21900</v>
      </c>
      <c r="F153" s="214" t="s">
        <v>157</v>
      </c>
      <c r="G153" s="214">
        <f>D153-E153</f>
        <v>-4400</v>
      </c>
    </row>
    <row r="154" spans="2:7" x14ac:dyDescent="0.35">
      <c r="B154" s="212"/>
      <c r="C154" s="215">
        <f>SUM(C152:C153)</f>
        <v>70000</v>
      </c>
      <c r="D154" s="215">
        <f>SUM(D152:D153)</f>
        <v>62500</v>
      </c>
      <c r="E154" s="215">
        <f>SUM(E152:E153)</f>
        <v>69000</v>
      </c>
      <c r="F154" s="214"/>
      <c r="G154" s="214"/>
    </row>
    <row r="155" spans="2:7" x14ac:dyDescent="0.35">
      <c r="B155" s="216" t="s">
        <v>155</v>
      </c>
      <c r="C155" s="214"/>
      <c r="D155" s="214"/>
      <c r="E155" s="214"/>
      <c r="F155" s="214"/>
      <c r="G155" s="214"/>
    </row>
    <row r="156" spans="2:7" x14ac:dyDescent="0.35">
      <c r="B156" s="216" t="s">
        <v>150</v>
      </c>
      <c r="C156" s="214">
        <f>250000*30%</f>
        <v>75000</v>
      </c>
      <c r="D156" s="214">
        <v>60000</v>
      </c>
      <c r="E156" s="214">
        <v>72500</v>
      </c>
      <c r="F156" s="214">
        <f>C156-D156</f>
        <v>15000</v>
      </c>
      <c r="G156" s="214">
        <f>D156-E156</f>
        <v>-12500</v>
      </c>
    </row>
    <row r="157" spans="2:7" x14ac:dyDescent="0.35">
      <c r="B157" s="216" t="s">
        <v>151</v>
      </c>
      <c r="C157" s="214">
        <f>250000*10%</f>
        <v>25000</v>
      </c>
      <c r="D157" s="214">
        <f>C157</f>
        <v>25000</v>
      </c>
      <c r="E157" s="214">
        <v>22500</v>
      </c>
      <c r="F157" s="214" t="s">
        <v>157</v>
      </c>
      <c r="G157" s="214">
        <f>D157-E157</f>
        <v>2500</v>
      </c>
    </row>
    <row r="158" spans="2:7" x14ac:dyDescent="0.35">
      <c r="B158" s="216"/>
      <c r="C158" s="215">
        <f>SUM(C156:C157)</f>
        <v>100000</v>
      </c>
      <c r="D158" s="215">
        <f>SUM(D156:D157)</f>
        <v>85000</v>
      </c>
      <c r="E158" s="215">
        <f>SUM(E156:E157)</f>
        <v>95000</v>
      </c>
      <c r="F158" s="214"/>
      <c r="G158" s="214"/>
    </row>
    <row r="159" spans="2:7" x14ac:dyDescent="0.35">
      <c r="B159" s="216" t="s">
        <v>164</v>
      </c>
      <c r="C159" s="214"/>
      <c r="D159" s="214"/>
      <c r="E159" s="214"/>
      <c r="F159" s="214"/>
      <c r="G159" s="214"/>
    </row>
    <row r="160" spans="2:7" x14ac:dyDescent="0.35">
      <c r="B160" s="216" t="s">
        <v>150</v>
      </c>
      <c r="C160" s="215">
        <f>C120*10%</f>
        <v>95600</v>
      </c>
      <c r="D160" s="215">
        <v>64000</v>
      </c>
      <c r="E160" s="215">
        <v>80000</v>
      </c>
      <c r="F160" s="214">
        <f>C160-D160</f>
        <v>31600</v>
      </c>
      <c r="G160" s="214">
        <f>D160-E160</f>
        <v>-16000</v>
      </c>
    </row>
    <row r="161" spans="2:7" x14ac:dyDescent="0.35">
      <c r="B161" s="216"/>
      <c r="C161" s="214"/>
      <c r="D161" s="214"/>
      <c r="E161" s="214"/>
      <c r="F161" s="214"/>
      <c r="G161" s="214"/>
    </row>
    <row r="162" spans="2:7" x14ac:dyDescent="0.35">
      <c r="B162" s="216"/>
      <c r="C162" s="217">
        <f>SUM(C152:C161)</f>
        <v>435600</v>
      </c>
      <c r="D162" s="217">
        <f>SUM(D152:D161)</f>
        <v>359000</v>
      </c>
      <c r="E162" s="217">
        <f>SUM(E152:E161)</f>
        <v>408000</v>
      </c>
      <c r="F162" s="218"/>
      <c r="G162" s="218"/>
    </row>
    <row r="163" spans="2:7" x14ac:dyDescent="0.35">
      <c r="B163" s="216" t="s">
        <v>156</v>
      </c>
      <c r="C163" s="219"/>
      <c r="D163" s="219"/>
      <c r="E163" s="220"/>
      <c r="F163" s="218">
        <f>SUM(F152:F162)</f>
        <v>54100</v>
      </c>
      <c r="G163" s="218">
        <f>SUM(G152:G162)</f>
        <v>-32500</v>
      </c>
    </row>
    <row r="164" spans="2:7" x14ac:dyDescent="0.35">
      <c r="B164" s="221" t="s">
        <v>234</v>
      </c>
      <c r="C164" s="222"/>
      <c r="D164" s="222"/>
      <c r="E164" s="223"/>
      <c r="F164" s="350">
        <f>F163+G163</f>
        <v>21600</v>
      </c>
      <c r="G164" s="348"/>
    </row>
    <row r="166" spans="2:7" x14ac:dyDescent="0.35">
      <c r="B166" s="1" t="s">
        <v>227</v>
      </c>
    </row>
    <row r="168" spans="2:7" x14ac:dyDescent="0.35">
      <c r="B168" s="1" t="s">
        <v>235</v>
      </c>
    </row>
    <row r="169" spans="2:7" x14ac:dyDescent="0.35">
      <c r="B169" s="67" t="s">
        <v>343</v>
      </c>
    </row>
    <row r="170" spans="2:7" x14ac:dyDescent="0.35">
      <c r="B170" s="1" t="s">
        <v>370</v>
      </c>
    </row>
    <row r="171" spans="2:7" x14ac:dyDescent="0.35">
      <c r="B171" s="67" t="s">
        <v>236</v>
      </c>
      <c r="C171" s="64"/>
      <c r="D171" s="64"/>
      <c r="E171" s="64"/>
    </row>
    <row r="172" spans="2:7" x14ac:dyDescent="0.35">
      <c r="C172" s="64"/>
      <c r="D172" s="64"/>
    </row>
    <row r="173" spans="2:7" x14ac:dyDescent="0.35">
      <c r="C173" s="64"/>
      <c r="D173" s="64"/>
    </row>
    <row r="174" spans="2:7" x14ac:dyDescent="0.35">
      <c r="C174" s="64"/>
      <c r="D174" s="64"/>
    </row>
    <row r="175" spans="2:7" x14ac:dyDescent="0.35">
      <c r="B175" s="1" t="s">
        <v>291</v>
      </c>
      <c r="C175" s="1" t="s">
        <v>67</v>
      </c>
      <c r="D175" s="64"/>
      <c r="F175" s="64"/>
      <c r="G175" s="64"/>
    </row>
    <row r="176" spans="2:7" x14ac:dyDescent="0.35">
      <c r="D176" s="64"/>
      <c r="F176" s="64"/>
      <c r="G176" s="64"/>
    </row>
    <row r="177" spans="2:7" x14ac:dyDescent="0.35">
      <c r="B177" s="1" t="s">
        <v>248</v>
      </c>
      <c r="C177" s="1" t="s">
        <v>160</v>
      </c>
      <c r="E177" s="64"/>
      <c r="F177" s="64"/>
      <c r="G177" s="64"/>
    </row>
    <row r="178" spans="2:7" x14ac:dyDescent="0.35">
      <c r="C178" s="67" t="s">
        <v>167</v>
      </c>
      <c r="E178" s="64"/>
      <c r="F178" s="64"/>
      <c r="G178" s="64"/>
    </row>
    <row r="179" spans="2:7" x14ac:dyDescent="0.35">
      <c r="C179" s="1" t="s">
        <v>166</v>
      </c>
      <c r="D179" s="64"/>
      <c r="E179" s="64"/>
      <c r="F179" s="64"/>
      <c r="G179" s="64"/>
    </row>
    <row r="180" spans="2:7" x14ac:dyDescent="0.35">
      <c r="C180" s="1" t="s">
        <v>167</v>
      </c>
      <c r="D180" s="64"/>
      <c r="E180" s="64"/>
      <c r="F180" s="64"/>
      <c r="G180" s="64"/>
    </row>
    <row r="181" spans="2:7" x14ac:dyDescent="0.35">
      <c r="C181" s="64"/>
      <c r="D181" s="64"/>
      <c r="E181" s="64"/>
      <c r="F181" s="64"/>
      <c r="G181" s="64"/>
    </row>
    <row r="182" spans="2:7" x14ac:dyDescent="0.35">
      <c r="C182" s="64" t="s">
        <v>249</v>
      </c>
      <c r="D182" s="64"/>
      <c r="E182" s="64"/>
      <c r="F182" s="64"/>
      <c r="G182" s="64"/>
    </row>
    <row r="183" spans="2:7" x14ac:dyDescent="0.35">
      <c r="C183" s="64" t="s">
        <v>68</v>
      </c>
      <c r="D183" s="64"/>
      <c r="E183" s="64"/>
      <c r="F183" s="64"/>
      <c r="G183" s="64"/>
    </row>
    <row r="184" spans="2:7" x14ac:dyDescent="0.35">
      <c r="C184" s="166" t="s">
        <v>371</v>
      </c>
      <c r="D184" s="64"/>
      <c r="E184" s="64"/>
      <c r="F184" s="64"/>
      <c r="G184" s="64"/>
    </row>
    <row r="185" spans="2:7" x14ac:dyDescent="0.35">
      <c r="C185" s="64"/>
      <c r="D185" s="64"/>
      <c r="E185" s="64"/>
      <c r="F185" s="64"/>
      <c r="G185" s="64"/>
    </row>
  </sheetData>
  <mergeCells count="10">
    <mergeCell ref="B149:B150"/>
    <mergeCell ref="F164:G164"/>
    <mergeCell ref="C32:D32"/>
    <mergeCell ref="C41:D41"/>
    <mergeCell ref="C86:D86"/>
    <mergeCell ref="C95:D95"/>
    <mergeCell ref="C39:D39"/>
    <mergeCell ref="C48:D48"/>
    <mergeCell ref="C93:D93"/>
    <mergeCell ref="C102:D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&amp;A&amp;RSide &amp;P</oddHeader>
    <oddFooter>&amp;CLøsninger kapittel 4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>
    <pageSetUpPr fitToPage="1"/>
  </sheetPr>
  <dimension ref="A1:I55"/>
  <sheetViews>
    <sheetView topLeftCell="A13" zoomScale="110" zoomScaleNormal="110" workbookViewId="0">
      <selection activeCell="K30" sqref="K30"/>
    </sheetView>
  </sheetViews>
  <sheetFormatPr baseColWidth="10" defaultRowHeight="15.5" x14ac:dyDescent="0.35"/>
  <cols>
    <col min="1" max="1" width="3.81640625" style="1" customWidth="1"/>
    <col min="2" max="2" width="32.453125" style="1" customWidth="1"/>
    <col min="3" max="257" width="11.453125" style="1"/>
    <col min="258" max="258" width="32.453125" style="1" customWidth="1"/>
    <col min="259" max="513" width="11.453125" style="1"/>
    <col min="514" max="514" width="32.453125" style="1" customWidth="1"/>
    <col min="515" max="769" width="11.453125" style="1"/>
    <col min="770" max="770" width="32.453125" style="1" customWidth="1"/>
    <col min="771" max="1025" width="11.453125" style="1"/>
    <col min="1026" max="1026" width="32.453125" style="1" customWidth="1"/>
    <col min="1027" max="1281" width="11.453125" style="1"/>
    <col min="1282" max="1282" width="32.453125" style="1" customWidth="1"/>
    <col min="1283" max="1537" width="11.453125" style="1"/>
    <col min="1538" max="1538" width="32.453125" style="1" customWidth="1"/>
    <col min="1539" max="1793" width="11.453125" style="1"/>
    <col min="1794" max="1794" width="32.453125" style="1" customWidth="1"/>
    <col min="1795" max="2049" width="11.453125" style="1"/>
    <col min="2050" max="2050" width="32.453125" style="1" customWidth="1"/>
    <col min="2051" max="2305" width="11.453125" style="1"/>
    <col min="2306" max="2306" width="32.453125" style="1" customWidth="1"/>
    <col min="2307" max="2561" width="11.453125" style="1"/>
    <col min="2562" max="2562" width="32.453125" style="1" customWidth="1"/>
    <col min="2563" max="2817" width="11.453125" style="1"/>
    <col min="2818" max="2818" width="32.453125" style="1" customWidth="1"/>
    <col min="2819" max="3073" width="11.453125" style="1"/>
    <col min="3074" max="3074" width="32.453125" style="1" customWidth="1"/>
    <col min="3075" max="3329" width="11.453125" style="1"/>
    <col min="3330" max="3330" width="32.453125" style="1" customWidth="1"/>
    <col min="3331" max="3585" width="11.453125" style="1"/>
    <col min="3586" max="3586" width="32.453125" style="1" customWidth="1"/>
    <col min="3587" max="3841" width="11.453125" style="1"/>
    <col min="3842" max="3842" width="32.453125" style="1" customWidth="1"/>
    <col min="3843" max="4097" width="11.453125" style="1"/>
    <col min="4098" max="4098" width="32.453125" style="1" customWidth="1"/>
    <col min="4099" max="4353" width="11.453125" style="1"/>
    <col min="4354" max="4354" width="32.453125" style="1" customWidth="1"/>
    <col min="4355" max="4609" width="11.453125" style="1"/>
    <col min="4610" max="4610" width="32.453125" style="1" customWidth="1"/>
    <col min="4611" max="4865" width="11.453125" style="1"/>
    <col min="4866" max="4866" width="32.453125" style="1" customWidth="1"/>
    <col min="4867" max="5121" width="11.453125" style="1"/>
    <col min="5122" max="5122" width="32.453125" style="1" customWidth="1"/>
    <col min="5123" max="5377" width="11.453125" style="1"/>
    <col min="5378" max="5378" width="32.453125" style="1" customWidth="1"/>
    <col min="5379" max="5633" width="11.453125" style="1"/>
    <col min="5634" max="5634" width="32.453125" style="1" customWidth="1"/>
    <col min="5635" max="5889" width="11.453125" style="1"/>
    <col min="5890" max="5890" width="32.453125" style="1" customWidth="1"/>
    <col min="5891" max="6145" width="11.453125" style="1"/>
    <col min="6146" max="6146" width="32.453125" style="1" customWidth="1"/>
    <col min="6147" max="6401" width="11.453125" style="1"/>
    <col min="6402" max="6402" width="32.453125" style="1" customWidth="1"/>
    <col min="6403" max="6657" width="11.453125" style="1"/>
    <col min="6658" max="6658" width="32.453125" style="1" customWidth="1"/>
    <col min="6659" max="6913" width="11.453125" style="1"/>
    <col min="6914" max="6914" width="32.453125" style="1" customWidth="1"/>
    <col min="6915" max="7169" width="11.453125" style="1"/>
    <col min="7170" max="7170" width="32.453125" style="1" customWidth="1"/>
    <col min="7171" max="7425" width="11.453125" style="1"/>
    <col min="7426" max="7426" width="32.453125" style="1" customWidth="1"/>
    <col min="7427" max="7681" width="11.453125" style="1"/>
    <col min="7682" max="7682" width="32.453125" style="1" customWidth="1"/>
    <col min="7683" max="7937" width="11.453125" style="1"/>
    <col min="7938" max="7938" width="32.453125" style="1" customWidth="1"/>
    <col min="7939" max="8193" width="11.453125" style="1"/>
    <col min="8194" max="8194" width="32.453125" style="1" customWidth="1"/>
    <col min="8195" max="8449" width="11.453125" style="1"/>
    <col min="8450" max="8450" width="32.453125" style="1" customWidth="1"/>
    <col min="8451" max="8705" width="11.453125" style="1"/>
    <col min="8706" max="8706" width="32.453125" style="1" customWidth="1"/>
    <col min="8707" max="8961" width="11.453125" style="1"/>
    <col min="8962" max="8962" width="32.453125" style="1" customWidth="1"/>
    <col min="8963" max="9217" width="11.453125" style="1"/>
    <col min="9218" max="9218" width="32.453125" style="1" customWidth="1"/>
    <col min="9219" max="9473" width="11.453125" style="1"/>
    <col min="9474" max="9474" width="32.453125" style="1" customWidth="1"/>
    <col min="9475" max="9729" width="11.453125" style="1"/>
    <col min="9730" max="9730" width="32.453125" style="1" customWidth="1"/>
    <col min="9731" max="9985" width="11.453125" style="1"/>
    <col min="9986" max="9986" width="32.453125" style="1" customWidth="1"/>
    <col min="9987" max="10241" width="11.453125" style="1"/>
    <col min="10242" max="10242" width="32.453125" style="1" customWidth="1"/>
    <col min="10243" max="10497" width="11.453125" style="1"/>
    <col min="10498" max="10498" width="32.453125" style="1" customWidth="1"/>
    <col min="10499" max="10753" width="11.453125" style="1"/>
    <col min="10754" max="10754" width="32.453125" style="1" customWidth="1"/>
    <col min="10755" max="11009" width="11.453125" style="1"/>
    <col min="11010" max="11010" width="32.453125" style="1" customWidth="1"/>
    <col min="11011" max="11265" width="11.453125" style="1"/>
    <col min="11266" max="11266" width="32.453125" style="1" customWidth="1"/>
    <col min="11267" max="11521" width="11.453125" style="1"/>
    <col min="11522" max="11522" width="32.453125" style="1" customWidth="1"/>
    <col min="11523" max="11777" width="11.453125" style="1"/>
    <col min="11778" max="11778" width="32.453125" style="1" customWidth="1"/>
    <col min="11779" max="12033" width="11.453125" style="1"/>
    <col min="12034" max="12034" width="32.453125" style="1" customWidth="1"/>
    <col min="12035" max="12289" width="11.453125" style="1"/>
    <col min="12290" max="12290" width="32.453125" style="1" customWidth="1"/>
    <col min="12291" max="12545" width="11.453125" style="1"/>
    <col min="12546" max="12546" width="32.453125" style="1" customWidth="1"/>
    <col min="12547" max="12801" width="11.453125" style="1"/>
    <col min="12802" max="12802" width="32.453125" style="1" customWidth="1"/>
    <col min="12803" max="13057" width="11.453125" style="1"/>
    <col min="13058" max="13058" width="32.453125" style="1" customWidth="1"/>
    <col min="13059" max="13313" width="11.453125" style="1"/>
    <col min="13314" max="13314" width="32.453125" style="1" customWidth="1"/>
    <col min="13315" max="13569" width="11.453125" style="1"/>
    <col min="13570" max="13570" width="32.453125" style="1" customWidth="1"/>
    <col min="13571" max="13825" width="11.453125" style="1"/>
    <col min="13826" max="13826" width="32.453125" style="1" customWidth="1"/>
    <col min="13827" max="14081" width="11.453125" style="1"/>
    <col min="14082" max="14082" width="32.453125" style="1" customWidth="1"/>
    <col min="14083" max="14337" width="11.453125" style="1"/>
    <col min="14338" max="14338" width="32.453125" style="1" customWidth="1"/>
    <col min="14339" max="14593" width="11.453125" style="1"/>
    <col min="14594" max="14594" width="32.453125" style="1" customWidth="1"/>
    <col min="14595" max="14849" width="11.453125" style="1"/>
    <col min="14850" max="14850" width="32.453125" style="1" customWidth="1"/>
    <col min="14851" max="15105" width="11.453125" style="1"/>
    <col min="15106" max="15106" width="32.453125" style="1" customWidth="1"/>
    <col min="15107" max="15361" width="11.453125" style="1"/>
    <col min="15362" max="15362" width="32.453125" style="1" customWidth="1"/>
    <col min="15363" max="15617" width="11.453125" style="1"/>
    <col min="15618" max="15618" width="32.453125" style="1" customWidth="1"/>
    <col min="15619" max="15873" width="11.453125" style="1"/>
    <col min="15874" max="15874" width="32.453125" style="1" customWidth="1"/>
    <col min="15875" max="16129" width="11.453125" style="1"/>
    <col min="16130" max="16130" width="32.453125" style="1" customWidth="1"/>
    <col min="16131" max="16384" width="11.453125" style="1"/>
  </cols>
  <sheetData>
    <row r="1" spans="1:9" x14ac:dyDescent="0.35">
      <c r="A1" s="164" t="s">
        <v>1</v>
      </c>
    </row>
    <row r="2" spans="1:9" x14ac:dyDescent="0.35">
      <c r="B2" s="4"/>
    </row>
    <row r="3" spans="1:9" x14ac:dyDescent="0.35">
      <c r="B3" s="125" t="s">
        <v>374</v>
      </c>
      <c r="C3" s="126"/>
    </row>
    <row r="4" spans="1:9" x14ac:dyDescent="0.35">
      <c r="B4" s="1" t="s">
        <v>36</v>
      </c>
      <c r="C4" s="127">
        <v>0.1</v>
      </c>
    </row>
    <row r="5" spans="1:9" x14ac:dyDescent="0.35">
      <c r="B5" s="1" t="s">
        <v>0</v>
      </c>
      <c r="C5" s="127">
        <v>0.3</v>
      </c>
    </row>
    <row r="6" spans="1:9" x14ac:dyDescent="0.35">
      <c r="B6" s="1" t="s">
        <v>2</v>
      </c>
      <c r="C6" s="127">
        <v>0.2</v>
      </c>
    </row>
    <row r="7" spans="1:9" x14ac:dyDescent="0.35">
      <c r="C7" s="127"/>
    </row>
    <row r="8" spans="1:9" ht="18" x14ac:dyDescent="0.4">
      <c r="B8" s="277" t="s">
        <v>187</v>
      </c>
      <c r="C8" s="127"/>
    </row>
    <row r="10" spans="1:9" x14ac:dyDescent="0.35">
      <c r="A10" s="1" t="s">
        <v>372</v>
      </c>
      <c r="B10" s="1" t="s">
        <v>373</v>
      </c>
      <c r="C10" s="64"/>
      <c r="D10" s="64"/>
      <c r="H10" s="64"/>
      <c r="I10" s="64"/>
    </row>
    <row r="11" spans="1:9" x14ac:dyDescent="0.35">
      <c r="B11" s="1" t="s">
        <v>3</v>
      </c>
    </row>
    <row r="13" spans="1:9" x14ac:dyDescent="0.35">
      <c r="B13" s="128"/>
      <c r="C13" s="276">
        <v>101</v>
      </c>
      <c r="D13" s="276">
        <v>102</v>
      </c>
    </row>
    <row r="14" spans="1:9" x14ac:dyDescent="0.35">
      <c r="B14" s="92"/>
      <c r="C14" s="276" t="s">
        <v>238</v>
      </c>
      <c r="D14" s="276" t="s">
        <v>123</v>
      </c>
    </row>
    <row r="15" spans="1:9" x14ac:dyDescent="0.35">
      <c r="B15" s="92" t="s">
        <v>174</v>
      </c>
      <c r="C15" s="55">
        <v>20000</v>
      </c>
      <c r="D15" s="55">
        <v>12000</v>
      </c>
    </row>
    <row r="16" spans="1:9" x14ac:dyDescent="0.35">
      <c r="B16" s="92" t="s">
        <v>180</v>
      </c>
      <c r="C16" s="55">
        <v>10000</v>
      </c>
      <c r="D16" s="55">
        <v>8000</v>
      </c>
    </row>
    <row r="17" spans="2:9" x14ac:dyDescent="0.35">
      <c r="B17" s="94" t="s">
        <v>175</v>
      </c>
      <c r="C17" s="55"/>
      <c r="D17" s="55"/>
    </row>
    <row r="18" spans="2:9" x14ac:dyDescent="0.35">
      <c r="B18" s="92" t="s">
        <v>176</v>
      </c>
      <c r="C18" s="55">
        <f>C15*$C$4</f>
        <v>2000</v>
      </c>
      <c r="D18" s="55">
        <f>D15*$C$4</f>
        <v>1200</v>
      </c>
    </row>
    <row r="19" spans="2:9" x14ac:dyDescent="0.35">
      <c r="B19" s="54" t="s">
        <v>84</v>
      </c>
      <c r="C19" s="55">
        <f>C16*$C$5</f>
        <v>3000</v>
      </c>
      <c r="D19" s="55">
        <f>D16*$C$5</f>
        <v>2400</v>
      </c>
    </row>
    <row r="20" spans="2:9" x14ac:dyDescent="0.35">
      <c r="B20" s="128" t="s">
        <v>37</v>
      </c>
      <c r="C20" s="95">
        <f>SUM(C15:C19)</f>
        <v>35000</v>
      </c>
      <c r="D20" s="95">
        <f>SUM(D15:D19)</f>
        <v>23600</v>
      </c>
    </row>
    <row r="22" spans="2:9" x14ac:dyDescent="0.35">
      <c r="B22" s="1" t="s">
        <v>375</v>
      </c>
    </row>
    <row r="24" spans="2:9" x14ac:dyDescent="0.35">
      <c r="B24" s="1" t="s">
        <v>177</v>
      </c>
    </row>
    <row r="26" spans="2:9" x14ac:dyDescent="0.35">
      <c r="B26" s="129"/>
      <c r="C26" s="353" t="s">
        <v>76</v>
      </c>
      <c r="D26" s="353"/>
      <c r="E26" s="353"/>
      <c r="F26" s="353"/>
      <c r="G26" s="353"/>
      <c r="H26" s="90" t="s">
        <v>189</v>
      </c>
      <c r="I26" s="90" t="s">
        <v>190</v>
      </c>
    </row>
    <row r="27" spans="2:9" x14ac:dyDescent="0.35">
      <c r="B27" s="96"/>
      <c r="C27" s="276">
        <v>101</v>
      </c>
      <c r="D27" s="276">
        <v>102</v>
      </c>
      <c r="E27" s="276">
        <v>103</v>
      </c>
      <c r="F27" s="276">
        <v>104</v>
      </c>
      <c r="G27" s="276" t="s">
        <v>4</v>
      </c>
      <c r="H27" s="60" t="s">
        <v>191</v>
      </c>
      <c r="I27" s="60" t="s">
        <v>192</v>
      </c>
    </row>
    <row r="28" spans="2:9" x14ac:dyDescent="0.35">
      <c r="B28" s="92" t="s">
        <v>196</v>
      </c>
      <c r="C28" s="60">
        <v>60000</v>
      </c>
      <c r="D28" s="60">
        <v>60000</v>
      </c>
      <c r="E28" s="60">
        <v>15000</v>
      </c>
      <c r="F28" s="60">
        <v>0</v>
      </c>
      <c r="G28" s="60">
        <f t="shared" ref="G28" si="0">SUM(C28:F28)</f>
        <v>135000</v>
      </c>
      <c r="H28" s="55">
        <f>G28</f>
        <v>135000</v>
      </c>
      <c r="I28" s="55"/>
    </row>
    <row r="29" spans="2:9" x14ac:dyDescent="0.35">
      <c r="B29" s="92"/>
      <c r="C29" s="79"/>
      <c r="D29" s="79"/>
      <c r="E29" s="79"/>
      <c r="F29" s="79"/>
      <c r="G29" s="79"/>
      <c r="H29" s="55"/>
      <c r="I29" s="55"/>
    </row>
    <row r="30" spans="2:9" x14ac:dyDescent="0.35">
      <c r="B30" s="92" t="s">
        <v>174</v>
      </c>
      <c r="C30" s="55"/>
      <c r="D30" s="55">
        <v>12000</v>
      </c>
      <c r="E30" s="55">
        <v>10000</v>
      </c>
      <c r="F30" s="55">
        <v>3000</v>
      </c>
      <c r="G30" s="55">
        <f>SUM(C30:F30)</f>
        <v>25000</v>
      </c>
      <c r="H30" s="55">
        <f>G30</f>
        <v>25000</v>
      </c>
      <c r="I30" s="55"/>
    </row>
    <row r="31" spans="2:9" x14ac:dyDescent="0.35">
      <c r="B31" s="93" t="s">
        <v>201</v>
      </c>
      <c r="C31" s="55"/>
      <c r="D31" s="55">
        <v>8000</v>
      </c>
      <c r="E31" s="55">
        <v>3000</v>
      </c>
      <c r="F31" s="55">
        <v>2000</v>
      </c>
      <c r="G31" s="55">
        <f>SUM(C31:F31)</f>
        <v>13000</v>
      </c>
      <c r="H31" s="55">
        <f>G31</f>
        <v>13000</v>
      </c>
      <c r="I31" s="55"/>
    </row>
    <row r="32" spans="2:9" x14ac:dyDescent="0.35">
      <c r="B32" s="94" t="s">
        <v>175</v>
      </c>
      <c r="C32" s="55"/>
      <c r="D32" s="55"/>
      <c r="E32" s="55"/>
      <c r="F32" s="55"/>
      <c r="G32" s="55"/>
      <c r="H32" s="55"/>
      <c r="I32" s="55"/>
    </row>
    <row r="33" spans="1:9" x14ac:dyDescent="0.35">
      <c r="B33" s="92" t="s">
        <v>176</v>
      </c>
      <c r="C33" s="55"/>
      <c r="D33" s="55">
        <f>D30*$C$4</f>
        <v>1200</v>
      </c>
      <c r="E33" s="55">
        <f t="shared" ref="E33:F33" si="1">E30*$C$4</f>
        <v>1000</v>
      </c>
      <c r="F33" s="55">
        <f t="shared" si="1"/>
        <v>300</v>
      </c>
      <c r="G33" s="55">
        <f t="shared" ref="G33:G43" si="2">SUM(C33:F33)</f>
        <v>2500</v>
      </c>
      <c r="H33" s="55">
        <v>3220</v>
      </c>
      <c r="I33" s="55">
        <f>G33-H33</f>
        <v>-720</v>
      </c>
    </row>
    <row r="34" spans="1:9" x14ac:dyDescent="0.35">
      <c r="B34" s="176" t="s">
        <v>202</v>
      </c>
      <c r="C34" s="130"/>
      <c r="D34" s="130">
        <f>D31*$C$5</f>
        <v>2400</v>
      </c>
      <c r="E34" s="130">
        <f t="shared" ref="E34:F34" si="3">E31*$C$5</f>
        <v>900</v>
      </c>
      <c r="F34" s="130">
        <f t="shared" si="3"/>
        <v>600</v>
      </c>
      <c r="G34" s="60">
        <f t="shared" si="2"/>
        <v>3900</v>
      </c>
      <c r="H34" s="55">
        <v>5000</v>
      </c>
      <c r="I34" s="55">
        <f>G34-H34</f>
        <v>-1100</v>
      </c>
    </row>
    <row r="35" spans="1:9" x14ac:dyDescent="0.35">
      <c r="B35" s="92" t="s">
        <v>37</v>
      </c>
      <c r="C35" s="55"/>
      <c r="D35" s="55">
        <f>SUM(D30:D34)</f>
        <v>23600</v>
      </c>
      <c r="E35" s="55">
        <f>SUM(E30:E34)</f>
        <v>14900</v>
      </c>
      <c r="F35" s="55">
        <f>SUM(F30:F34)</f>
        <v>5900</v>
      </c>
      <c r="G35" s="55">
        <f t="shared" si="2"/>
        <v>44400</v>
      </c>
      <c r="H35" s="55"/>
      <c r="I35" s="55"/>
    </row>
    <row r="36" spans="1:9" x14ac:dyDescent="0.35">
      <c r="B36" s="96" t="s">
        <v>193</v>
      </c>
      <c r="C36" s="60"/>
      <c r="D36" s="60">
        <f>D20</f>
        <v>23600</v>
      </c>
      <c r="E36" s="60"/>
      <c r="F36" s="60">
        <f>-F35</f>
        <v>-5900</v>
      </c>
      <c r="G36" s="60">
        <f t="shared" si="2"/>
        <v>17700</v>
      </c>
      <c r="H36" s="55">
        <f>G36</f>
        <v>17700</v>
      </c>
      <c r="I36" s="55"/>
    </row>
    <row r="37" spans="1:9" x14ac:dyDescent="0.35">
      <c r="B37" s="93" t="s">
        <v>38</v>
      </c>
      <c r="C37" s="55"/>
      <c r="D37" s="55">
        <f>SUM(D35:D36)</f>
        <v>47200</v>
      </c>
      <c r="E37" s="55">
        <f>SUM(E35:E36)</f>
        <v>14900</v>
      </c>
      <c r="F37" s="55">
        <f>SUM(F35:F36)</f>
        <v>0</v>
      </c>
      <c r="G37" s="55">
        <f t="shared" si="2"/>
        <v>62100</v>
      </c>
      <c r="H37" s="55"/>
      <c r="I37" s="55"/>
    </row>
    <row r="38" spans="1:9" x14ac:dyDescent="0.35">
      <c r="B38" s="96" t="s">
        <v>194</v>
      </c>
      <c r="C38" s="60">
        <f>C20</f>
        <v>35000</v>
      </c>
      <c r="D38" s="60">
        <v>0</v>
      </c>
      <c r="E38" s="60">
        <v>0</v>
      </c>
      <c r="F38" s="60">
        <v>0</v>
      </c>
      <c r="G38" s="60">
        <f t="shared" si="2"/>
        <v>35000</v>
      </c>
      <c r="H38" s="55">
        <f>G38</f>
        <v>35000</v>
      </c>
      <c r="I38" s="55"/>
    </row>
    <row r="39" spans="1:9" x14ac:dyDescent="0.35">
      <c r="B39" s="93" t="s">
        <v>39</v>
      </c>
      <c r="C39" s="55">
        <f>SUM(C37:C38)</f>
        <v>35000</v>
      </c>
      <c r="D39" s="55">
        <f>SUM(D37:D38)</f>
        <v>47200</v>
      </c>
      <c r="E39" s="55">
        <f>SUM(E37:E38)</f>
        <v>14900</v>
      </c>
      <c r="F39" s="55">
        <f>SUM(F37:F38)</f>
        <v>0</v>
      </c>
      <c r="G39" s="55">
        <f t="shared" si="2"/>
        <v>97100</v>
      </c>
      <c r="H39" s="55"/>
      <c r="I39" s="55"/>
    </row>
    <row r="40" spans="1:9" x14ac:dyDescent="0.35">
      <c r="B40" s="96" t="s">
        <v>195</v>
      </c>
      <c r="C40" s="60">
        <f>C39*$C$6</f>
        <v>7000</v>
      </c>
      <c r="D40" s="60">
        <f t="shared" ref="D40:E40" si="4">D39*$C$6</f>
        <v>9440</v>
      </c>
      <c r="E40" s="60">
        <f t="shared" si="4"/>
        <v>2980</v>
      </c>
      <c r="F40" s="60">
        <f>F39*$C$6</f>
        <v>0</v>
      </c>
      <c r="G40" s="60">
        <f t="shared" si="2"/>
        <v>19420</v>
      </c>
      <c r="H40" s="55">
        <v>14900</v>
      </c>
      <c r="I40" s="55">
        <f>G40-H40</f>
        <v>4520</v>
      </c>
    </row>
    <row r="41" spans="1:9" x14ac:dyDescent="0.35">
      <c r="B41" s="92" t="s">
        <v>178</v>
      </c>
      <c r="C41" s="55">
        <f>SUM(C39:C40)</f>
        <v>42000</v>
      </c>
      <c r="D41" s="55">
        <f>SUM(D39:D40)</f>
        <v>56640</v>
      </c>
      <c r="E41" s="55">
        <f>SUM(E39:E40)</f>
        <v>17880</v>
      </c>
      <c r="F41" s="55">
        <f>SUM(F39:F40)</f>
        <v>0</v>
      </c>
      <c r="G41" s="55">
        <f t="shared" si="2"/>
        <v>116520</v>
      </c>
      <c r="H41" s="55"/>
      <c r="I41" s="55"/>
    </row>
    <row r="42" spans="1:9" x14ac:dyDescent="0.35">
      <c r="B42" s="92"/>
      <c r="C42" s="60"/>
      <c r="D42" s="60"/>
      <c r="E42" s="60"/>
      <c r="F42" s="60"/>
      <c r="G42" s="60"/>
      <c r="H42" s="55"/>
      <c r="I42" s="55"/>
    </row>
    <row r="43" spans="1:9" x14ac:dyDescent="0.35">
      <c r="B43" s="128" t="s">
        <v>197</v>
      </c>
      <c r="C43" s="95">
        <f>C28-C41</f>
        <v>18000</v>
      </c>
      <c r="D43" s="95">
        <f t="shared" ref="D43:F43" si="5">D28-D41</f>
        <v>3360</v>
      </c>
      <c r="E43" s="95">
        <f t="shared" si="5"/>
        <v>-2880</v>
      </c>
      <c r="F43" s="95">
        <f t="shared" si="5"/>
        <v>0</v>
      </c>
      <c r="G43" s="55">
        <f t="shared" si="2"/>
        <v>18480</v>
      </c>
      <c r="H43" s="55"/>
      <c r="I43" s="55"/>
    </row>
    <row r="44" spans="1:9" x14ac:dyDescent="0.35">
      <c r="B44" s="128" t="s">
        <v>198</v>
      </c>
      <c r="C44" s="44"/>
      <c r="D44" s="3"/>
      <c r="E44" s="3"/>
      <c r="F44" s="57"/>
      <c r="G44" s="61">
        <f>I44</f>
        <v>2700</v>
      </c>
      <c r="H44" s="55"/>
      <c r="I44" s="95">
        <f>SUM(I33:I40)</f>
        <v>2700</v>
      </c>
    </row>
    <row r="45" spans="1:9" x14ac:dyDescent="0.35">
      <c r="B45" s="128" t="s">
        <v>199</v>
      </c>
      <c r="C45" s="177"/>
      <c r="D45" s="178"/>
      <c r="E45" s="178"/>
      <c r="F45" s="131"/>
      <c r="G45" s="131">
        <f>SUM(G43:G44)</f>
        <v>21180</v>
      </c>
      <c r="H45" s="95">
        <f>H28-SUM(H30:H40)</f>
        <v>21180</v>
      </c>
      <c r="I45" s="60"/>
    </row>
    <row r="48" spans="1:9" x14ac:dyDescent="0.35">
      <c r="A48" s="86" t="s">
        <v>184</v>
      </c>
      <c r="B48" s="86" t="s">
        <v>40</v>
      </c>
    </row>
    <row r="49" spans="1:2" x14ac:dyDescent="0.35">
      <c r="B49" s="86" t="s">
        <v>5</v>
      </c>
    </row>
    <row r="51" spans="1:2" x14ac:dyDescent="0.35">
      <c r="A51" s="86" t="s">
        <v>102</v>
      </c>
      <c r="B51" s="331" t="s">
        <v>376</v>
      </c>
    </row>
    <row r="52" spans="1:2" x14ac:dyDescent="0.35">
      <c r="B52" s="86" t="s">
        <v>6</v>
      </c>
    </row>
    <row r="54" spans="1:2" x14ac:dyDescent="0.35">
      <c r="B54" s="1" t="s">
        <v>377</v>
      </c>
    </row>
    <row r="55" spans="1:2" x14ac:dyDescent="0.35">
      <c r="B55" s="1" t="s">
        <v>378</v>
      </c>
    </row>
  </sheetData>
  <mergeCells count="1">
    <mergeCell ref="C26:G26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>&amp;A</oddHeader>
    <oddFooter>&amp;CLøsninger kapittel 4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>
    <pageSetUpPr fitToPage="1"/>
  </sheetPr>
  <dimension ref="A1:J73"/>
  <sheetViews>
    <sheetView topLeftCell="A28" workbookViewId="0">
      <selection activeCell="F71" sqref="F71"/>
    </sheetView>
  </sheetViews>
  <sheetFormatPr baseColWidth="10" defaultRowHeight="14" x14ac:dyDescent="0.3"/>
  <cols>
    <col min="1" max="1" width="3.453125" style="132" customWidth="1"/>
    <col min="2" max="2" width="32.1796875" style="132" customWidth="1"/>
    <col min="3" max="3" width="12.81640625" style="132" bestFit="1" customWidth="1"/>
    <col min="4" max="4" width="11.453125" style="132" bestFit="1" customWidth="1"/>
    <col min="5" max="256" width="10.81640625" style="132"/>
    <col min="257" max="257" width="3.453125" style="132" customWidth="1"/>
    <col min="258" max="258" width="32.1796875" style="132" customWidth="1"/>
    <col min="259" max="259" width="12.81640625" style="132" bestFit="1" customWidth="1"/>
    <col min="260" max="260" width="11.453125" style="132" bestFit="1" customWidth="1"/>
    <col min="261" max="512" width="10.81640625" style="132"/>
    <col min="513" max="513" width="3.453125" style="132" customWidth="1"/>
    <col min="514" max="514" width="32.1796875" style="132" customWidth="1"/>
    <col min="515" max="515" width="12.81640625" style="132" bestFit="1" customWidth="1"/>
    <col min="516" max="516" width="11.453125" style="132" bestFit="1" customWidth="1"/>
    <col min="517" max="768" width="10.81640625" style="132"/>
    <col min="769" max="769" width="3.453125" style="132" customWidth="1"/>
    <col min="770" max="770" width="32.1796875" style="132" customWidth="1"/>
    <col min="771" max="771" width="12.81640625" style="132" bestFit="1" customWidth="1"/>
    <col min="772" max="772" width="11.453125" style="132" bestFit="1" customWidth="1"/>
    <col min="773" max="1024" width="10.81640625" style="132"/>
    <col min="1025" max="1025" width="3.453125" style="132" customWidth="1"/>
    <col min="1026" max="1026" width="32.1796875" style="132" customWidth="1"/>
    <col min="1027" max="1027" width="12.81640625" style="132" bestFit="1" customWidth="1"/>
    <col min="1028" max="1028" width="11.453125" style="132" bestFit="1" customWidth="1"/>
    <col min="1029" max="1280" width="10.81640625" style="132"/>
    <col min="1281" max="1281" width="3.453125" style="132" customWidth="1"/>
    <col min="1282" max="1282" width="32.1796875" style="132" customWidth="1"/>
    <col min="1283" max="1283" width="12.81640625" style="132" bestFit="1" customWidth="1"/>
    <col min="1284" max="1284" width="11.453125" style="132" bestFit="1" customWidth="1"/>
    <col min="1285" max="1536" width="10.81640625" style="132"/>
    <col min="1537" max="1537" width="3.453125" style="132" customWidth="1"/>
    <col min="1538" max="1538" width="32.1796875" style="132" customWidth="1"/>
    <col min="1539" max="1539" width="12.81640625" style="132" bestFit="1" customWidth="1"/>
    <col min="1540" max="1540" width="11.453125" style="132" bestFit="1" customWidth="1"/>
    <col min="1541" max="1792" width="10.81640625" style="132"/>
    <col min="1793" max="1793" width="3.453125" style="132" customWidth="1"/>
    <col min="1794" max="1794" width="32.1796875" style="132" customWidth="1"/>
    <col min="1795" max="1795" width="12.81640625" style="132" bestFit="1" customWidth="1"/>
    <col min="1796" max="1796" width="11.453125" style="132" bestFit="1" customWidth="1"/>
    <col min="1797" max="2048" width="10.81640625" style="132"/>
    <col min="2049" max="2049" width="3.453125" style="132" customWidth="1"/>
    <col min="2050" max="2050" width="32.1796875" style="132" customWidth="1"/>
    <col min="2051" max="2051" width="12.81640625" style="132" bestFit="1" customWidth="1"/>
    <col min="2052" max="2052" width="11.453125" style="132" bestFit="1" customWidth="1"/>
    <col min="2053" max="2304" width="10.81640625" style="132"/>
    <col min="2305" max="2305" width="3.453125" style="132" customWidth="1"/>
    <col min="2306" max="2306" width="32.1796875" style="132" customWidth="1"/>
    <col min="2307" max="2307" width="12.81640625" style="132" bestFit="1" customWidth="1"/>
    <col min="2308" max="2308" width="11.453125" style="132" bestFit="1" customWidth="1"/>
    <col min="2309" max="2560" width="10.81640625" style="132"/>
    <col min="2561" max="2561" width="3.453125" style="132" customWidth="1"/>
    <col min="2562" max="2562" width="32.1796875" style="132" customWidth="1"/>
    <col min="2563" max="2563" width="12.81640625" style="132" bestFit="1" customWidth="1"/>
    <col min="2564" max="2564" width="11.453125" style="132" bestFit="1" customWidth="1"/>
    <col min="2565" max="2816" width="10.81640625" style="132"/>
    <col min="2817" max="2817" width="3.453125" style="132" customWidth="1"/>
    <col min="2818" max="2818" width="32.1796875" style="132" customWidth="1"/>
    <col min="2819" max="2819" width="12.81640625" style="132" bestFit="1" customWidth="1"/>
    <col min="2820" max="2820" width="11.453125" style="132" bestFit="1" customWidth="1"/>
    <col min="2821" max="3072" width="10.81640625" style="132"/>
    <col min="3073" max="3073" width="3.453125" style="132" customWidth="1"/>
    <col min="3074" max="3074" width="32.1796875" style="132" customWidth="1"/>
    <col min="3075" max="3075" width="12.81640625" style="132" bestFit="1" customWidth="1"/>
    <col min="3076" max="3076" width="11.453125" style="132" bestFit="1" customWidth="1"/>
    <col min="3077" max="3328" width="10.81640625" style="132"/>
    <col min="3329" max="3329" width="3.453125" style="132" customWidth="1"/>
    <col min="3330" max="3330" width="32.1796875" style="132" customWidth="1"/>
    <col min="3331" max="3331" width="12.81640625" style="132" bestFit="1" customWidth="1"/>
    <col min="3332" max="3332" width="11.453125" style="132" bestFit="1" customWidth="1"/>
    <col min="3333" max="3584" width="10.81640625" style="132"/>
    <col min="3585" max="3585" width="3.453125" style="132" customWidth="1"/>
    <col min="3586" max="3586" width="32.1796875" style="132" customWidth="1"/>
    <col min="3587" max="3587" width="12.81640625" style="132" bestFit="1" customWidth="1"/>
    <col min="3588" max="3588" width="11.453125" style="132" bestFit="1" customWidth="1"/>
    <col min="3589" max="3840" width="10.81640625" style="132"/>
    <col min="3841" max="3841" width="3.453125" style="132" customWidth="1"/>
    <col min="3842" max="3842" width="32.1796875" style="132" customWidth="1"/>
    <col min="3843" max="3843" width="12.81640625" style="132" bestFit="1" customWidth="1"/>
    <col min="3844" max="3844" width="11.453125" style="132" bestFit="1" customWidth="1"/>
    <col min="3845" max="4096" width="10.81640625" style="132"/>
    <col min="4097" max="4097" width="3.453125" style="132" customWidth="1"/>
    <col min="4098" max="4098" width="32.1796875" style="132" customWidth="1"/>
    <col min="4099" max="4099" width="12.81640625" style="132" bestFit="1" customWidth="1"/>
    <col min="4100" max="4100" width="11.453125" style="132" bestFit="1" customWidth="1"/>
    <col min="4101" max="4352" width="10.81640625" style="132"/>
    <col min="4353" max="4353" width="3.453125" style="132" customWidth="1"/>
    <col min="4354" max="4354" width="32.1796875" style="132" customWidth="1"/>
    <col min="4355" max="4355" width="12.81640625" style="132" bestFit="1" customWidth="1"/>
    <col min="4356" max="4356" width="11.453125" style="132" bestFit="1" customWidth="1"/>
    <col min="4357" max="4608" width="10.81640625" style="132"/>
    <col min="4609" max="4609" width="3.453125" style="132" customWidth="1"/>
    <col min="4610" max="4610" width="32.1796875" style="132" customWidth="1"/>
    <col min="4611" max="4611" width="12.81640625" style="132" bestFit="1" customWidth="1"/>
    <col min="4612" max="4612" width="11.453125" style="132" bestFit="1" customWidth="1"/>
    <col min="4613" max="4864" width="10.81640625" style="132"/>
    <col min="4865" max="4865" width="3.453125" style="132" customWidth="1"/>
    <col min="4866" max="4866" width="32.1796875" style="132" customWidth="1"/>
    <col min="4867" max="4867" width="12.81640625" style="132" bestFit="1" customWidth="1"/>
    <col min="4868" max="4868" width="11.453125" style="132" bestFit="1" customWidth="1"/>
    <col min="4869" max="5120" width="10.81640625" style="132"/>
    <col min="5121" max="5121" width="3.453125" style="132" customWidth="1"/>
    <col min="5122" max="5122" width="32.1796875" style="132" customWidth="1"/>
    <col min="5123" max="5123" width="12.81640625" style="132" bestFit="1" customWidth="1"/>
    <col min="5124" max="5124" width="11.453125" style="132" bestFit="1" customWidth="1"/>
    <col min="5125" max="5376" width="10.81640625" style="132"/>
    <col min="5377" max="5377" width="3.453125" style="132" customWidth="1"/>
    <col min="5378" max="5378" width="32.1796875" style="132" customWidth="1"/>
    <col min="5379" max="5379" width="12.81640625" style="132" bestFit="1" customWidth="1"/>
    <col min="5380" max="5380" width="11.453125" style="132" bestFit="1" customWidth="1"/>
    <col min="5381" max="5632" width="10.81640625" style="132"/>
    <col min="5633" max="5633" width="3.453125" style="132" customWidth="1"/>
    <col min="5634" max="5634" width="32.1796875" style="132" customWidth="1"/>
    <col min="5635" max="5635" width="12.81640625" style="132" bestFit="1" customWidth="1"/>
    <col min="5636" max="5636" width="11.453125" style="132" bestFit="1" customWidth="1"/>
    <col min="5637" max="5888" width="10.81640625" style="132"/>
    <col min="5889" max="5889" width="3.453125" style="132" customWidth="1"/>
    <col min="5890" max="5890" width="32.1796875" style="132" customWidth="1"/>
    <col min="5891" max="5891" width="12.81640625" style="132" bestFit="1" customWidth="1"/>
    <col min="5892" max="5892" width="11.453125" style="132" bestFit="1" customWidth="1"/>
    <col min="5893" max="6144" width="10.81640625" style="132"/>
    <col min="6145" max="6145" width="3.453125" style="132" customWidth="1"/>
    <col min="6146" max="6146" width="32.1796875" style="132" customWidth="1"/>
    <col min="6147" max="6147" width="12.81640625" style="132" bestFit="1" customWidth="1"/>
    <col min="6148" max="6148" width="11.453125" style="132" bestFit="1" customWidth="1"/>
    <col min="6149" max="6400" width="10.81640625" style="132"/>
    <col min="6401" max="6401" width="3.453125" style="132" customWidth="1"/>
    <col min="6402" max="6402" width="32.1796875" style="132" customWidth="1"/>
    <col min="6403" max="6403" width="12.81640625" style="132" bestFit="1" customWidth="1"/>
    <col min="6404" max="6404" width="11.453125" style="132" bestFit="1" customWidth="1"/>
    <col min="6405" max="6656" width="10.81640625" style="132"/>
    <col min="6657" max="6657" width="3.453125" style="132" customWidth="1"/>
    <col min="6658" max="6658" width="32.1796875" style="132" customWidth="1"/>
    <col min="6659" max="6659" width="12.81640625" style="132" bestFit="1" customWidth="1"/>
    <col min="6660" max="6660" width="11.453125" style="132" bestFit="1" customWidth="1"/>
    <col min="6661" max="6912" width="10.81640625" style="132"/>
    <col min="6913" max="6913" width="3.453125" style="132" customWidth="1"/>
    <col min="6914" max="6914" width="32.1796875" style="132" customWidth="1"/>
    <col min="6915" max="6915" width="12.81640625" style="132" bestFit="1" customWidth="1"/>
    <col min="6916" max="6916" width="11.453125" style="132" bestFit="1" customWidth="1"/>
    <col min="6917" max="7168" width="10.81640625" style="132"/>
    <col min="7169" max="7169" width="3.453125" style="132" customWidth="1"/>
    <col min="7170" max="7170" width="32.1796875" style="132" customWidth="1"/>
    <col min="7171" max="7171" width="12.81640625" style="132" bestFit="1" customWidth="1"/>
    <col min="7172" max="7172" width="11.453125" style="132" bestFit="1" customWidth="1"/>
    <col min="7173" max="7424" width="10.81640625" style="132"/>
    <col min="7425" max="7425" width="3.453125" style="132" customWidth="1"/>
    <col min="7426" max="7426" width="32.1796875" style="132" customWidth="1"/>
    <col min="7427" max="7427" width="12.81640625" style="132" bestFit="1" customWidth="1"/>
    <col min="7428" max="7428" width="11.453125" style="132" bestFit="1" customWidth="1"/>
    <col min="7429" max="7680" width="10.81640625" style="132"/>
    <col min="7681" max="7681" width="3.453125" style="132" customWidth="1"/>
    <col min="7682" max="7682" width="32.1796875" style="132" customWidth="1"/>
    <col min="7683" max="7683" width="12.81640625" style="132" bestFit="1" customWidth="1"/>
    <col min="7684" max="7684" width="11.453125" style="132" bestFit="1" customWidth="1"/>
    <col min="7685" max="7936" width="10.81640625" style="132"/>
    <col min="7937" max="7937" width="3.453125" style="132" customWidth="1"/>
    <col min="7938" max="7938" width="32.1796875" style="132" customWidth="1"/>
    <col min="7939" max="7939" width="12.81640625" style="132" bestFit="1" customWidth="1"/>
    <col min="7940" max="7940" width="11.453125" style="132" bestFit="1" customWidth="1"/>
    <col min="7941" max="8192" width="10.81640625" style="132"/>
    <col min="8193" max="8193" width="3.453125" style="132" customWidth="1"/>
    <col min="8194" max="8194" width="32.1796875" style="132" customWidth="1"/>
    <col min="8195" max="8195" width="12.81640625" style="132" bestFit="1" customWidth="1"/>
    <col min="8196" max="8196" width="11.453125" style="132" bestFit="1" customWidth="1"/>
    <col min="8197" max="8448" width="10.81640625" style="132"/>
    <col min="8449" max="8449" width="3.453125" style="132" customWidth="1"/>
    <col min="8450" max="8450" width="32.1796875" style="132" customWidth="1"/>
    <col min="8451" max="8451" width="12.81640625" style="132" bestFit="1" customWidth="1"/>
    <col min="8452" max="8452" width="11.453125" style="132" bestFit="1" customWidth="1"/>
    <col min="8453" max="8704" width="10.81640625" style="132"/>
    <col min="8705" max="8705" width="3.453125" style="132" customWidth="1"/>
    <col min="8706" max="8706" width="32.1796875" style="132" customWidth="1"/>
    <col min="8707" max="8707" width="12.81640625" style="132" bestFit="1" customWidth="1"/>
    <col min="8708" max="8708" width="11.453125" style="132" bestFit="1" customWidth="1"/>
    <col min="8709" max="8960" width="10.81640625" style="132"/>
    <col min="8961" max="8961" width="3.453125" style="132" customWidth="1"/>
    <col min="8962" max="8962" width="32.1796875" style="132" customWidth="1"/>
    <col min="8963" max="8963" width="12.81640625" style="132" bestFit="1" customWidth="1"/>
    <col min="8964" max="8964" width="11.453125" style="132" bestFit="1" customWidth="1"/>
    <col min="8965" max="9216" width="10.81640625" style="132"/>
    <col min="9217" max="9217" width="3.453125" style="132" customWidth="1"/>
    <col min="9218" max="9218" width="32.1796875" style="132" customWidth="1"/>
    <col min="9219" max="9219" width="12.81640625" style="132" bestFit="1" customWidth="1"/>
    <col min="9220" max="9220" width="11.453125" style="132" bestFit="1" customWidth="1"/>
    <col min="9221" max="9472" width="10.81640625" style="132"/>
    <col min="9473" max="9473" width="3.453125" style="132" customWidth="1"/>
    <col min="9474" max="9474" width="32.1796875" style="132" customWidth="1"/>
    <col min="9475" max="9475" width="12.81640625" style="132" bestFit="1" customWidth="1"/>
    <col min="9476" max="9476" width="11.453125" style="132" bestFit="1" customWidth="1"/>
    <col min="9477" max="9728" width="10.81640625" style="132"/>
    <col min="9729" max="9729" width="3.453125" style="132" customWidth="1"/>
    <col min="9730" max="9730" width="32.1796875" style="132" customWidth="1"/>
    <col min="9731" max="9731" width="12.81640625" style="132" bestFit="1" customWidth="1"/>
    <col min="9732" max="9732" width="11.453125" style="132" bestFit="1" customWidth="1"/>
    <col min="9733" max="9984" width="10.81640625" style="132"/>
    <col min="9985" max="9985" width="3.453125" style="132" customWidth="1"/>
    <col min="9986" max="9986" width="32.1796875" style="132" customWidth="1"/>
    <col min="9987" max="9987" width="12.81640625" style="132" bestFit="1" customWidth="1"/>
    <col min="9988" max="9988" width="11.453125" style="132" bestFit="1" customWidth="1"/>
    <col min="9989" max="10240" width="10.81640625" style="132"/>
    <col min="10241" max="10241" width="3.453125" style="132" customWidth="1"/>
    <col min="10242" max="10242" width="32.1796875" style="132" customWidth="1"/>
    <col min="10243" max="10243" width="12.81640625" style="132" bestFit="1" customWidth="1"/>
    <col min="10244" max="10244" width="11.453125" style="132" bestFit="1" customWidth="1"/>
    <col min="10245" max="10496" width="10.81640625" style="132"/>
    <col min="10497" max="10497" width="3.453125" style="132" customWidth="1"/>
    <col min="10498" max="10498" width="32.1796875" style="132" customWidth="1"/>
    <col min="10499" max="10499" width="12.81640625" style="132" bestFit="1" customWidth="1"/>
    <col min="10500" max="10500" width="11.453125" style="132" bestFit="1" customWidth="1"/>
    <col min="10501" max="10752" width="10.81640625" style="132"/>
    <col min="10753" max="10753" width="3.453125" style="132" customWidth="1"/>
    <col min="10754" max="10754" width="32.1796875" style="132" customWidth="1"/>
    <col min="10755" max="10755" width="12.81640625" style="132" bestFit="1" customWidth="1"/>
    <col min="10756" max="10756" width="11.453125" style="132" bestFit="1" customWidth="1"/>
    <col min="10757" max="11008" width="10.81640625" style="132"/>
    <col min="11009" max="11009" width="3.453125" style="132" customWidth="1"/>
    <col min="11010" max="11010" width="32.1796875" style="132" customWidth="1"/>
    <col min="11011" max="11011" width="12.81640625" style="132" bestFit="1" customWidth="1"/>
    <col min="11012" max="11012" width="11.453125" style="132" bestFit="1" customWidth="1"/>
    <col min="11013" max="11264" width="10.81640625" style="132"/>
    <col min="11265" max="11265" width="3.453125" style="132" customWidth="1"/>
    <col min="11266" max="11266" width="32.1796875" style="132" customWidth="1"/>
    <col min="11267" max="11267" width="12.81640625" style="132" bestFit="1" customWidth="1"/>
    <col min="11268" max="11268" width="11.453125" style="132" bestFit="1" customWidth="1"/>
    <col min="11269" max="11520" width="10.81640625" style="132"/>
    <col min="11521" max="11521" width="3.453125" style="132" customWidth="1"/>
    <col min="11522" max="11522" width="32.1796875" style="132" customWidth="1"/>
    <col min="11523" max="11523" width="12.81640625" style="132" bestFit="1" customWidth="1"/>
    <col min="11524" max="11524" width="11.453125" style="132" bestFit="1" customWidth="1"/>
    <col min="11525" max="11776" width="10.81640625" style="132"/>
    <col min="11777" max="11777" width="3.453125" style="132" customWidth="1"/>
    <col min="11778" max="11778" width="32.1796875" style="132" customWidth="1"/>
    <col min="11779" max="11779" width="12.81640625" style="132" bestFit="1" customWidth="1"/>
    <col min="11780" max="11780" width="11.453125" style="132" bestFit="1" customWidth="1"/>
    <col min="11781" max="12032" width="10.81640625" style="132"/>
    <col min="12033" max="12033" width="3.453125" style="132" customWidth="1"/>
    <col min="12034" max="12034" width="32.1796875" style="132" customWidth="1"/>
    <col min="12035" max="12035" width="12.81640625" style="132" bestFit="1" customWidth="1"/>
    <col min="12036" max="12036" width="11.453125" style="132" bestFit="1" customWidth="1"/>
    <col min="12037" max="12288" width="10.81640625" style="132"/>
    <col min="12289" max="12289" width="3.453125" style="132" customWidth="1"/>
    <col min="12290" max="12290" width="32.1796875" style="132" customWidth="1"/>
    <col min="12291" max="12291" width="12.81640625" style="132" bestFit="1" customWidth="1"/>
    <col min="12292" max="12292" width="11.453125" style="132" bestFit="1" customWidth="1"/>
    <col min="12293" max="12544" width="10.81640625" style="132"/>
    <col min="12545" max="12545" width="3.453125" style="132" customWidth="1"/>
    <col min="12546" max="12546" width="32.1796875" style="132" customWidth="1"/>
    <col min="12547" max="12547" width="12.81640625" style="132" bestFit="1" customWidth="1"/>
    <col min="12548" max="12548" width="11.453125" style="132" bestFit="1" customWidth="1"/>
    <col min="12549" max="12800" width="10.81640625" style="132"/>
    <col min="12801" max="12801" width="3.453125" style="132" customWidth="1"/>
    <col min="12802" max="12802" width="32.1796875" style="132" customWidth="1"/>
    <col min="12803" max="12803" width="12.81640625" style="132" bestFit="1" customWidth="1"/>
    <col min="12804" max="12804" width="11.453125" style="132" bestFit="1" customWidth="1"/>
    <col min="12805" max="13056" width="10.81640625" style="132"/>
    <col min="13057" max="13057" width="3.453125" style="132" customWidth="1"/>
    <col min="13058" max="13058" width="32.1796875" style="132" customWidth="1"/>
    <col min="13059" max="13059" width="12.81640625" style="132" bestFit="1" customWidth="1"/>
    <col min="13060" max="13060" width="11.453125" style="132" bestFit="1" customWidth="1"/>
    <col min="13061" max="13312" width="10.81640625" style="132"/>
    <col min="13313" max="13313" width="3.453125" style="132" customWidth="1"/>
    <col min="13314" max="13314" width="32.1796875" style="132" customWidth="1"/>
    <col min="13315" max="13315" width="12.81640625" style="132" bestFit="1" customWidth="1"/>
    <col min="13316" max="13316" width="11.453125" style="132" bestFit="1" customWidth="1"/>
    <col min="13317" max="13568" width="10.81640625" style="132"/>
    <col min="13569" max="13569" width="3.453125" style="132" customWidth="1"/>
    <col min="13570" max="13570" width="32.1796875" style="132" customWidth="1"/>
    <col min="13571" max="13571" width="12.81640625" style="132" bestFit="1" customWidth="1"/>
    <col min="13572" max="13572" width="11.453125" style="132" bestFit="1" customWidth="1"/>
    <col min="13573" max="13824" width="10.81640625" style="132"/>
    <col min="13825" max="13825" width="3.453125" style="132" customWidth="1"/>
    <col min="13826" max="13826" width="32.1796875" style="132" customWidth="1"/>
    <col min="13827" max="13827" width="12.81640625" style="132" bestFit="1" customWidth="1"/>
    <col min="13828" max="13828" width="11.453125" style="132" bestFit="1" customWidth="1"/>
    <col min="13829" max="14080" width="10.81640625" style="132"/>
    <col min="14081" max="14081" width="3.453125" style="132" customWidth="1"/>
    <col min="14082" max="14082" width="32.1796875" style="132" customWidth="1"/>
    <col min="14083" max="14083" width="12.81640625" style="132" bestFit="1" customWidth="1"/>
    <col min="14084" max="14084" width="11.453125" style="132" bestFit="1" customWidth="1"/>
    <col min="14085" max="14336" width="10.81640625" style="132"/>
    <col min="14337" max="14337" width="3.453125" style="132" customWidth="1"/>
    <col min="14338" max="14338" width="32.1796875" style="132" customWidth="1"/>
    <col min="14339" max="14339" width="12.81640625" style="132" bestFit="1" customWidth="1"/>
    <col min="14340" max="14340" width="11.453125" style="132" bestFit="1" customWidth="1"/>
    <col min="14341" max="14592" width="10.81640625" style="132"/>
    <col min="14593" max="14593" width="3.453125" style="132" customWidth="1"/>
    <col min="14594" max="14594" width="32.1796875" style="132" customWidth="1"/>
    <col min="14595" max="14595" width="12.81640625" style="132" bestFit="1" customWidth="1"/>
    <col min="14596" max="14596" width="11.453125" style="132" bestFit="1" customWidth="1"/>
    <col min="14597" max="14848" width="10.81640625" style="132"/>
    <col min="14849" max="14849" width="3.453125" style="132" customWidth="1"/>
    <col min="14850" max="14850" width="32.1796875" style="132" customWidth="1"/>
    <col min="14851" max="14851" width="12.81640625" style="132" bestFit="1" customWidth="1"/>
    <col min="14852" max="14852" width="11.453125" style="132" bestFit="1" customWidth="1"/>
    <col min="14853" max="15104" width="10.81640625" style="132"/>
    <col min="15105" max="15105" width="3.453125" style="132" customWidth="1"/>
    <col min="15106" max="15106" width="32.1796875" style="132" customWidth="1"/>
    <col min="15107" max="15107" width="12.81640625" style="132" bestFit="1" customWidth="1"/>
    <col min="15108" max="15108" width="11.453125" style="132" bestFit="1" customWidth="1"/>
    <col min="15109" max="15360" width="10.81640625" style="132"/>
    <col min="15361" max="15361" width="3.453125" style="132" customWidth="1"/>
    <col min="15362" max="15362" width="32.1796875" style="132" customWidth="1"/>
    <col min="15363" max="15363" width="12.81640625" style="132" bestFit="1" customWidth="1"/>
    <col min="15364" max="15364" width="11.453125" style="132" bestFit="1" customWidth="1"/>
    <col min="15365" max="15616" width="10.81640625" style="132"/>
    <col min="15617" max="15617" width="3.453125" style="132" customWidth="1"/>
    <col min="15618" max="15618" width="32.1796875" style="132" customWidth="1"/>
    <col min="15619" max="15619" width="12.81640625" style="132" bestFit="1" customWidth="1"/>
    <col min="15620" max="15620" width="11.453125" style="132" bestFit="1" customWidth="1"/>
    <col min="15621" max="15872" width="10.81640625" style="132"/>
    <col min="15873" max="15873" width="3.453125" style="132" customWidth="1"/>
    <col min="15874" max="15874" width="32.1796875" style="132" customWidth="1"/>
    <col min="15875" max="15875" width="12.81640625" style="132" bestFit="1" customWidth="1"/>
    <col min="15876" max="15876" width="11.453125" style="132" bestFit="1" customWidth="1"/>
    <col min="15877" max="16128" width="10.81640625" style="132"/>
    <col min="16129" max="16129" width="3.453125" style="132" customWidth="1"/>
    <col min="16130" max="16130" width="32.1796875" style="132" customWidth="1"/>
    <col min="16131" max="16131" width="12.81640625" style="132" bestFit="1" customWidth="1"/>
    <col min="16132" max="16132" width="11.453125" style="132" bestFit="1" customWidth="1"/>
    <col min="16133" max="16384" width="10.81640625" style="132"/>
  </cols>
  <sheetData>
    <row r="1" spans="1:10" x14ac:dyDescent="0.3">
      <c r="A1" s="109" t="s">
        <v>26</v>
      </c>
    </row>
    <row r="3" spans="1:10" x14ac:dyDescent="0.3">
      <c r="A3" s="109" t="s">
        <v>73</v>
      </c>
    </row>
    <row r="5" spans="1:10" x14ac:dyDescent="0.3">
      <c r="B5" s="110" t="s">
        <v>363</v>
      </c>
    </row>
    <row r="6" spans="1:10" x14ac:dyDescent="0.3">
      <c r="B6" s="110"/>
    </row>
    <row r="7" spans="1:10" x14ac:dyDescent="0.3">
      <c r="B7" s="134" t="s">
        <v>118</v>
      </c>
      <c r="C7" s="135">
        <v>2500000</v>
      </c>
      <c r="D7" s="136"/>
      <c r="E7" s="136"/>
    </row>
    <row r="8" spans="1:10" x14ac:dyDescent="0.3">
      <c r="B8" s="137" t="s">
        <v>209</v>
      </c>
      <c r="C8" s="138">
        <v>1000000</v>
      </c>
      <c r="D8" s="136"/>
      <c r="E8" s="136"/>
    </row>
    <row r="9" spans="1:10" x14ac:dyDescent="0.3">
      <c r="B9" s="137" t="s">
        <v>208</v>
      </c>
      <c r="C9" s="138">
        <v>800000</v>
      </c>
      <c r="D9" s="139"/>
      <c r="E9" s="139"/>
    </row>
    <row r="10" spans="1:10" x14ac:dyDescent="0.3">
      <c r="B10" s="137"/>
      <c r="C10" s="138"/>
      <c r="D10" s="140" t="s">
        <v>161</v>
      </c>
      <c r="E10" s="141" t="s">
        <v>163</v>
      </c>
    </row>
    <row r="11" spans="1:10" x14ac:dyDescent="0.3">
      <c r="B11" s="137" t="s">
        <v>74</v>
      </c>
      <c r="C11" s="138">
        <v>250000</v>
      </c>
      <c r="D11" s="142">
        <v>160000</v>
      </c>
      <c r="E11" s="135">
        <f>C11-D11</f>
        <v>90000</v>
      </c>
    </row>
    <row r="12" spans="1:10" x14ac:dyDescent="0.3">
      <c r="B12" s="137" t="s">
        <v>75</v>
      </c>
      <c r="C12" s="138">
        <v>500000</v>
      </c>
      <c r="D12" s="143">
        <v>270000</v>
      </c>
      <c r="E12" s="138">
        <f>C12-D12</f>
        <v>230000</v>
      </c>
    </row>
    <row r="13" spans="1:10" x14ac:dyDescent="0.3">
      <c r="B13" s="144" t="s">
        <v>186</v>
      </c>
      <c r="C13" s="145">
        <v>500000</v>
      </c>
      <c r="D13" s="143">
        <v>400000</v>
      </c>
      <c r="E13" s="138">
        <f>C13-D13</f>
        <v>100000</v>
      </c>
      <c r="J13" s="146"/>
    </row>
    <row r="14" spans="1:10" x14ac:dyDescent="0.3">
      <c r="B14" s="137" t="s">
        <v>182</v>
      </c>
      <c r="C14" s="138">
        <f>SUM(C7:C13)</f>
        <v>5550000</v>
      </c>
      <c r="D14" s="143"/>
      <c r="E14" s="138"/>
      <c r="J14" s="146"/>
    </row>
    <row r="15" spans="1:10" x14ac:dyDescent="0.3">
      <c r="B15" s="144" t="s">
        <v>7</v>
      </c>
      <c r="C15" s="145">
        <f>D15</f>
        <v>277500</v>
      </c>
      <c r="D15" s="147">
        <f>C14*0.05</f>
        <v>277500</v>
      </c>
      <c r="E15" s="145"/>
      <c r="J15" s="146"/>
    </row>
    <row r="16" spans="1:10" x14ac:dyDescent="0.3">
      <c r="D16" s="136"/>
      <c r="E16" s="136"/>
      <c r="J16" s="146"/>
    </row>
    <row r="17" spans="1:10" x14ac:dyDescent="0.3">
      <c r="D17" s="136"/>
      <c r="E17" s="136"/>
      <c r="J17" s="146"/>
    </row>
    <row r="18" spans="1:10" x14ac:dyDescent="0.3">
      <c r="D18" s="136"/>
      <c r="E18" s="136"/>
      <c r="J18" s="146"/>
    </row>
    <row r="19" spans="1:10" x14ac:dyDescent="0.3">
      <c r="A19" s="170" t="s">
        <v>183</v>
      </c>
      <c r="B19" s="133" t="s">
        <v>207</v>
      </c>
      <c r="C19" s="148" t="s">
        <v>162</v>
      </c>
      <c r="D19" s="149" t="s">
        <v>161</v>
      </c>
      <c r="E19" s="148" t="s">
        <v>163</v>
      </c>
      <c r="J19" s="146"/>
    </row>
    <row r="20" spans="1:10" x14ac:dyDescent="0.3">
      <c r="B20" s="134" t="str">
        <f>B11</f>
        <v>Materialforvaltning</v>
      </c>
      <c r="C20" s="171">
        <f>C11/C7</f>
        <v>0.1</v>
      </c>
      <c r="D20" s="171">
        <f>D11/C7</f>
        <v>6.4000000000000001E-2</v>
      </c>
      <c r="E20" s="171">
        <f>E11/C7</f>
        <v>3.5999999999999997E-2</v>
      </c>
    </row>
    <row r="21" spans="1:10" x14ac:dyDescent="0.3">
      <c r="B21" s="137" t="str">
        <f>B12</f>
        <v xml:space="preserve">Tilvirkningsavdeling 1 </v>
      </c>
      <c r="C21" s="172">
        <f>C12/C8</f>
        <v>0.5</v>
      </c>
      <c r="D21" s="172">
        <f>D12/C8</f>
        <v>0.27</v>
      </c>
      <c r="E21" s="172">
        <f>E12/C8</f>
        <v>0.23</v>
      </c>
    </row>
    <row r="22" spans="1:10" x14ac:dyDescent="0.3">
      <c r="B22" s="137" t="str">
        <f>B13</f>
        <v>Tilvirkningsavdeling 2</v>
      </c>
      <c r="C22" s="172">
        <f>C13/C9</f>
        <v>0.625</v>
      </c>
      <c r="D22" s="172">
        <f>D13/C9</f>
        <v>0.5</v>
      </c>
      <c r="E22" s="172">
        <f>E13/C9</f>
        <v>0.125</v>
      </c>
    </row>
    <row r="23" spans="1:10" x14ac:dyDescent="0.3">
      <c r="B23" s="144" t="str">
        <f>B15</f>
        <v>Salgs- og adm.avdeling</v>
      </c>
      <c r="C23" s="173">
        <f>C15/C14</f>
        <v>0.05</v>
      </c>
      <c r="D23" s="173">
        <f>D15/C14</f>
        <v>0.05</v>
      </c>
      <c r="E23" s="174"/>
    </row>
    <row r="25" spans="1:10" x14ac:dyDescent="0.3">
      <c r="A25" s="170" t="s">
        <v>184</v>
      </c>
      <c r="B25" s="133" t="s">
        <v>177</v>
      </c>
      <c r="C25" s="150"/>
      <c r="D25" s="150"/>
      <c r="E25" s="150"/>
      <c r="F25" s="150"/>
      <c r="G25" s="150"/>
      <c r="H25" s="150"/>
      <c r="I25" s="150"/>
    </row>
    <row r="26" spans="1:10" x14ac:dyDescent="0.3">
      <c r="A26" s="170"/>
      <c r="B26" s="133"/>
      <c r="C26" s="150"/>
      <c r="D26" s="150"/>
      <c r="E26" s="150"/>
      <c r="F26" s="150"/>
      <c r="G26" s="150"/>
      <c r="H26" s="150"/>
      <c r="I26" s="150"/>
    </row>
    <row r="27" spans="1:10" x14ac:dyDescent="0.3">
      <c r="A27" s="170"/>
      <c r="B27" s="170" t="s">
        <v>379</v>
      </c>
      <c r="C27" s="150"/>
      <c r="D27" s="150"/>
      <c r="E27" s="150"/>
      <c r="F27" s="150"/>
      <c r="G27" s="150"/>
      <c r="H27" s="150"/>
      <c r="I27" s="150"/>
    </row>
    <row r="28" spans="1:10" x14ac:dyDescent="0.3">
      <c r="A28" s="170"/>
      <c r="B28" s="133"/>
      <c r="C28" s="150"/>
      <c r="D28" s="150"/>
      <c r="E28" s="150"/>
      <c r="F28" s="150"/>
      <c r="G28" s="150"/>
      <c r="H28" s="150"/>
      <c r="I28" s="150"/>
    </row>
    <row r="29" spans="1:10" ht="14.5" x14ac:dyDescent="0.35">
      <c r="A29" s="170"/>
      <c r="B29" s="332" t="s">
        <v>78</v>
      </c>
      <c r="C29" s="158">
        <f>C42</f>
        <v>101</v>
      </c>
      <c r="D29" s="158">
        <f>D42</f>
        <v>102</v>
      </c>
      <c r="E29" s="150"/>
      <c r="F29" s="150"/>
      <c r="G29" s="150"/>
      <c r="H29" s="150"/>
      <c r="I29" s="150"/>
    </row>
    <row r="30" spans="1:10" x14ac:dyDescent="0.3">
      <c r="A30" s="170"/>
      <c r="B30" s="159" t="str">
        <f t="shared" ref="B30:B37" si="0">B45</f>
        <v>Direkte materialer</v>
      </c>
      <c r="C30" s="154">
        <v>35000</v>
      </c>
      <c r="D30" s="154">
        <v>5000</v>
      </c>
      <c r="E30" s="150"/>
      <c r="F30" s="150"/>
      <c r="G30" s="150"/>
      <c r="H30" s="150"/>
      <c r="I30" s="150"/>
    </row>
    <row r="31" spans="1:10" x14ac:dyDescent="0.3">
      <c r="A31" s="170"/>
      <c r="B31" s="160" t="str">
        <f t="shared" si="0"/>
        <v>Direkte lønn 1</v>
      </c>
      <c r="C31" s="154">
        <v>25000</v>
      </c>
      <c r="D31" s="154">
        <v>3200</v>
      </c>
      <c r="E31" s="150"/>
      <c r="F31" s="150"/>
      <c r="G31" s="150"/>
      <c r="H31" s="150"/>
      <c r="I31" s="150"/>
    </row>
    <row r="32" spans="1:10" x14ac:dyDescent="0.3">
      <c r="A32" s="170"/>
      <c r="B32" s="160" t="str">
        <f t="shared" si="0"/>
        <v>Direkte lønn 2</v>
      </c>
      <c r="C32" s="154">
        <v>25000</v>
      </c>
      <c r="D32" s="154">
        <v>3000</v>
      </c>
      <c r="E32" s="150"/>
      <c r="F32" s="150"/>
      <c r="G32" s="150"/>
      <c r="H32" s="150"/>
      <c r="I32" s="150"/>
    </row>
    <row r="33" spans="1:9" x14ac:dyDescent="0.3">
      <c r="A33" s="170"/>
      <c r="B33" s="160" t="str">
        <f t="shared" si="0"/>
        <v>Indirekte tilvirkn.kostnader</v>
      </c>
      <c r="C33" s="154"/>
      <c r="D33" s="154"/>
      <c r="E33" s="150"/>
      <c r="F33" s="150"/>
      <c r="G33" s="150"/>
      <c r="H33" s="150"/>
      <c r="I33" s="150"/>
    </row>
    <row r="34" spans="1:9" x14ac:dyDescent="0.3">
      <c r="A34" s="170"/>
      <c r="B34" s="160" t="str">
        <f t="shared" si="0"/>
        <v>Materialforvaltning</v>
      </c>
      <c r="C34" s="154">
        <f>C30*'4.14'!$C$20</f>
        <v>3500</v>
      </c>
      <c r="D34" s="154">
        <f>D30*'4.14'!$C$20</f>
        <v>500</v>
      </c>
      <c r="E34" s="150"/>
      <c r="F34" s="150"/>
      <c r="G34" s="150"/>
      <c r="H34" s="150"/>
      <c r="I34" s="150"/>
    </row>
    <row r="35" spans="1:9" x14ac:dyDescent="0.3">
      <c r="A35" s="170"/>
      <c r="B35" s="160" t="str">
        <f t="shared" si="0"/>
        <v xml:space="preserve">Tilvirkningsavdeling 1 </v>
      </c>
      <c r="C35" s="154">
        <f>C31*'4.14'!$C$21</f>
        <v>12500</v>
      </c>
      <c r="D35" s="154">
        <f>D31*'4.14'!$C$21</f>
        <v>1600</v>
      </c>
      <c r="E35" s="150"/>
      <c r="F35" s="150"/>
      <c r="G35" s="150"/>
      <c r="H35" s="150"/>
      <c r="I35" s="150"/>
    </row>
    <row r="36" spans="1:9" x14ac:dyDescent="0.3">
      <c r="A36" s="170"/>
      <c r="B36" s="160" t="str">
        <f t="shared" si="0"/>
        <v>Tilvirkningsavdeling 2</v>
      </c>
      <c r="C36" s="154">
        <f>C32*'4.14'!$C$22</f>
        <v>15625</v>
      </c>
      <c r="D36" s="154">
        <f>D32*'4.14'!$C$22</f>
        <v>1875</v>
      </c>
      <c r="E36" s="150"/>
      <c r="F36" s="150"/>
      <c r="G36" s="150"/>
      <c r="H36" s="150"/>
      <c r="I36" s="150"/>
    </row>
    <row r="37" spans="1:9" x14ac:dyDescent="0.3">
      <c r="A37" s="170"/>
      <c r="B37" s="161" t="str">
        <f t="shared" si="0"/>
        <v>Kalkulert tilvirkningskost</v>
      </c>
      <c r="C37" s="157">
        <f>SUM(C30:C36)</f>
        <v>116625</v>
      </c>
      <c r="D37" s="157">
        <f>SUM(D30:D36)</f>
        <v>15175</v>
      </c>
      <c r="E37" s="150"/>
      <c r="F37" s="150"/>
      <c r="G37" s="150"/>
      <c r="H37" s="150"/>
      <c r="I37" s="150"/>
    </row>
    <row r="38" spans="1:9" x14ac:dyDescent="0.3">
      <c r="A38" s="170"/>
      <c r="B38" s="133"/>
      <c r="C38" s="150"/>
      <c r="D38" s="150"/>
      <c r="E38" s="150"/>
      <c r="F38" s="150"/>
      <c r="G38" s="150"/>
      <c r="H38" s="150"/>
      <c r="I38" s="150"/>
    </row>
    <row r="39" spans="1:9" x14ac:dyDescent="0.3">
      <c r="A39" s="170"/>
      <c r="B39" s="170" t="s">
        <v>380</v>
      </c>
      <c r="C39" s="150"/>
      <c r="D39" s="150"/>
      <c r="E39" s="150"/>
      <c r="F39" s="150"/>
      <c r="G39" s="150"/>
      <c r="H39" s="150"/>
      <c r="I39" s="150"/>
    </row>
    <row r="40" spans="1:9" x14ac:dyDescent="0.3">
      <c r="A40" s="170"/>
      <c r="B40" s="133"/>
      <c r="C40" s="150"/>
      <c r="D40" s="150"/>
      <c r="E40" s="150"/>
      <c r="F40" s="150"/>
      <c r="G40" s="150"/>
      <c r="H40" s="150"/>
      <c r="I40" s="150"/>
    </row>
    <row r="41" spans="1:9" x14ac:dyDescent="0.3">
      <c r="B41" s="134"/>
      <c r="C41" s="355" t="s">
        <v>76</v>
      </c>
      <c r="D41" s="355"/>
      <c r="E41" s="355"/>
      <c r="F41" s="355"/>
      <c r="G41" s="355"/>
      <c r="H41" s="151" t="s">
        <v>189</v>
      </c>
      <c r="I41" s="151" t="s">
        <v>190</v>
      </c>
    </row>
    <row r="42" spans="1:9" x14ac:dyDescent="0.3">
      <c r="B42" s="144"/>
      <c r="C42" s="152">
        <v>101</v>
      </c>
      <c r="D42" s="152">
        <v>102</v>
      </c>
      <c r="E42" s="152">
        <v>103</v>
      </c>
      <c r="F42" s="152">
        <v>104</v>
      </c>
      <c r="G42" s="152" t="s">
        <v>168</v>
      </c>
      <c r="H42" s="153" t="s">
        <v>191</v>
      </c>
      <c r="I42" s="153" t="s">
        <v>192</v>
      </c>
    </row>
    <row r="43" spans="1:9" x14ac:dyDescent="0.3">
      <c r="B43" s="137" t="s">
        <v>196</v>
      </c>
      <c r="C43" s="153">
        <v>140000</v>
      </c>
      <c r="D43" s="153">
        <v>300000</v>
      </c>
      <c r="E43" s="153">
        <v>110000</v>
      </c>
      <c r="F43" s="153"/>
      <c r="G43" s="153">
        <f t="shared" ref="G43" si="1">SUM(C43:F43)</f>
        <v>550000</v>
      </c>
      <c r="H43" s="154">
        <f>G43</f>
        <v>550000</v>
      </c>
      <c r="I43" s="154"/>
    </row>
    <row r="44" spans="1:9" x14ac:dyDescent="0.3">
      <c r="B44" s="137"/>
      <c r="C44" s="175"/>
      <c r="D44" s="175"/>
      <c r="E44" s="175"/>
      <c r="F44" s="175"/>
      <c r="G44" s="175"/>
      <c r="H44" s="154"/>
      <c r="I44" s="154"/>
    </row>
    <row r="45" spans="1:9" x14ac:dyDescent="0.3">
      <c r="B45" s="137" t="s">
        <v>174</v>
      </c>
      <c r="C45" s="154">
        <v>0</v>
      </c>
      <c r="D45" s="154">
        <v>100000</v>
      </c>
      <c r="E45" s="154">
        <v>65000</v>
      </c>
      <c r="F45" s="154">
        <v>25000</v>
      </c>
      <c r="G45" s="154">
        <f>SUM(C45:F45)</f>
        <v>190000</v>
      </c>
      <c r="H45" s="154">
        <f>G45</f>
        <v>190000</v>
      </c>
      <c r="I45" s="154"/>
    </row>
    <row r="46" spans="1:9" x14ac:dyDescent="0.3">
      <c r="B46" s="137" t="s">
        <v>180</v>
      </c>
      <c r="C46" s="154">
        <v>0</v>
      </c>
      <c r="D46" s="154">
        <v>50000</v>
      </c>
      <c r="E46" s="154">
        <v>30000</v>
      </c>
      <c r="F46" s="154">
        <v>13000</v>
      </c>
      <c r="G46" s="154">
        <f t="shared" ref="G46:G60" si="2">SUM(C46:F46)</f>
        <v>93000</v>
      </c>
      <c r="H46" s="154">
        <f>G46</f>
        <v>93000</v>
      </c>
      <c r="I46" s="154"/>
    </row>
    <row r="47" spans="1:9" x14ac:dyDescent="0.3">
      <c r="B47" s="137" t="s">
        <v>179</v>
      </c>
      <c r="C47" s="154">
        <v>0</v>
      </c>
      <c r="D47" s="154">
        <v>40000</v>
      </c>
      <c r="E47" s="154">
        <v>17000</v>
      </c>
      <c r="F47" s="154">
        <v>10000</v>
      </c>
      <c r="G47" s="154">
        <f t="shared" si="2"/>
        <v>67000</v>
      </c>
      <c r="H47" s="154">
        <f>G47</f>
        <v>67000</v>
      </c>
      <c r="I47" s="154"/>
    </row>
    <row r="48" spans="1:9" ht="14.5" x14ac:dyDescent="0.35">
      <c r="B48" s="155" t="s">
        <v>175</v>
      </c>
      <c r="C48" s="154"/>
      <c r="D48" s="154"/>
      <c r="E48" s="154"/>
      <c r="F48" s="154"/>
      <c r="G48" s="154"/>
      <c r="H48" s="154"/>
      <c r="I48" s="154"/>
    </row>
    <row r="49" spans="1:9" x14ac:dyDescent="0.3">
      <c r="B49" s="137" t="str">
        <f>B20</f>
        <v>Materialforvaltning</v>
      </c>
      <c r="C49" s="154">
        <f>C45*'4.14'!$C$20</f>
        <v>0</v>
      </c>
      <c r="D49" s="154">
        <f>D45*'4.14'!$C$20</f>
        <v>10000</v>
      </c>
      <c r="E49" s="154">
        <f>E45*'4.14'!$C$20</f>
        <v>6500</v>
      </c>
      <c r="F49" s="154">
        <f>F45*'4.14'!$C$20</f>
        <v>2500</v>
      </c>
      <c r="G49" s="154">
        <f t="shared" si="2"/>
        <v>19000</v>
      </c>
      <c r="H49" s="154">
        <v>15000</v>
      </c>
      <c r="I49" s="154">
        <f>G49-H49</f>
        <v>4000</v>
      </c>
    </row>
    <row r="50" spans="1:9" x14ac:dyDescent="0.3">
      <c r="B50" s="137" t="str">
        <f>B21</f>
        <v xml:space="preserve">Tilvirkningsavdeling 1 </v>
      </c>
      <c r="C50" s="156">
        <f>C46*'4.14'!$C$21</f>
        <v>0</v>
      </c>
      <c r="D50" s="156">
        <f>D46*'4.14'!$C$21</f>
        <v>25000</v>
      </c>
      <c r="E50" s="156">
        <f>E46*'4.14'!$C$21</f>
        <v>15000</v>
      </c>
      <c r="F50" s="156">
        <f>F46*'4.14'!$C$21</f>
        <v>6500</v>
      </c>
      <c r="G50" s="154">
        <f t="shared" si="2"/>
        <v>46500</v>
      </c>
      <c r="H50" s="154">
        <v>55000</v>
      </c>
      <c r="I50" s="154">
        <f>G50-H50</f>
        <v>-8500</v>
      </c>
    </row>
    <row r="51" spans="1:9" x14ac:dyDescent="0.3">
      <c r="B51" s="144" t="str">
        <f>B22</f>
        <v>Tilvirkningsavdeling 2</v>
      </c>
      <c r="C51" s="153">
        <f>C47*'4.14'!$C$22</f>
        <v>0</v>
      </c>
      <c r="D51" s="153">
        <f>D47*'4.14'!$C$22</f>
        <v>25000</v>
      </c>
      <c r="E51" s="153">
        <f>E47*'4.14'!$C$22</f>
        <v>10625</v>
      </c>
      <c r="F51" s="153">
        <f>F47*'4.14'!$C$22</f>
        <v>6250</v>
      </c>
      <c r="G51" s="153">
        <f t="shared" si="2"/>
        <v>41875</v>
      </c>
      <c r="H51" s="154">
        <v>80000</v>
      </c>
      <c r="I51" s="154">
        <f>G51-H51</f>
        <v>-38125</v>
      </c>
    </row>
    <row r="52" spans="1:9" x14ac:dyDescent="0.3">
      <c r="B52" s="137" t="s">
        <v>203</v>
      </c>
      <c r="C52" s="154">
        <f>SUM(C45:C51)</f>
        <v>0</v>
      </c>
      <c r="D52" s="154">
        <f>SUM(D45:D51)</f>
        <v>250000</v>
      </c>
      <c r="E52" s="154">
        <f>SUM(E45:E51)</f>
        <v>144125</v>
      </c>
      <c r="F52" s="154">
        <f>SUM(F45:F51)</f>
        <v>63250</v>
      </c>
      <c r="G52" s="154">
        <f t="shared" si="2"/>
        <v>457375</v>
      </c>
      <c r="H52" s="154"/>
      <c r="I52" s="154"/>
    </row>
    <row r="53" spans="1:9" x14ac:dyDescent="0.3">
      <c r="B53" s="144" t="s">
        <v>193</v>
      </c>
      <c r="C53" s="153">
        <v>0</v>
      </c>
      <c r="D53" s="153">
        <f>D37</f>
        <v>15175</v>
      </c>
      <c r="E53" s="153"/>
      <c r="F53" s="153">
        <v>0</v>
      </c>
      <c r="G53" s="153">
        <f t="shared" si="2"/>
        <v>15175</v>
      </c>
      <c r="H53" s="154">
        <f>G53</f>
        <v>15175</v>
      </c>
      <c r="I53" s="154"/>
    </row>
    <row r="54" spans="1:9" x14ac:dyDescent="0.3">
      <c r="B54" s="137" t="s">
        <v>77</v>
      </c>
      <c r="C54" s="154">
        <f>SUM(C52:C53)</f>
        <v>0</v>
      </c>
      <c r="D54" s="154">
        <f>SUM(D52:D53)</f>
        <v>265175</v>
      </c>
      <c r="E54" s="154">
        <f>SUM(E52:E53)</f>
        <v>144125</v>
      </c>
      <c r="F54" s="154">
        <f>SUM(F52:F53)</f>
        <v>63250</v>
      </c>
      <c r="G54" s="154">
        <f t="shared" si="2"/>
        <v>472550</v>
      </c>
      <c r="H54" s="154"/>
      <c r="I54" s="154"/>
    </row>
    <row r="55" spans="1:9" x14ac:dyDescent="0.3">
      <c r="B55" s="144" t="s">
        <v>194</v>
      </c>
      <c r="C55" s="153">
        <f>C37</f>
        <v>116625</v>
      </c>
      <c r="D55" s="153">
        <v>0</v>
      </c>
      <c r="E55" s="153">
        <v>0</v>
      </c>
      <c r="F55" s="153">
        <f>-F54</f>
        <v>-63250</v>
      </c>
      <c r="G55" s="153">
        <f t="shared" si="2"/>
        <v>53375</v>
      </c>
      <c r="H55" s="154">
        <f>G55</f>
        <v>53375</v>
      </c>
      <c r="I55" s="154"/>
    </row>
    <row r="56" spans="1:9" x14ac:dyDescent="0.3">
      <c r="B56" s="137" t="s">
        <v>205</v>
      </c>
      <c r="C56" s="154">
        <f>SUM(C54:C55)</f>
        <v>116625</v>
      </c>
      <c r="D56" s="154">
        <f>SUM(D54:D55)</f>
        <v>265175</v>
      </c>
      <c r="E56" s="154">
        <f>SUM(E54:E55)</f>
        <v>144125</v>
      </c>
      <c r="F56" s="154">
        <f>SUM(F54:F55)</f>
        <v>0</v>
      </c>
      <c r="G56" s="154">
        <f t="shared" si="2"/>
        <v>525925</v>
      </c>
      <c r="H56" s="154"/>
      <c r="I56" s="154"/>
    </row>
    <row r="57" spans="1:9" x14ac:dyDescent="0.3">
      <c r="B57" s="144" t="str">
        <f>B23</f>
        <v>Salgs- og adm.avdeling</v>
      </c>
      <c r="C57" s="153">
        <f>C56*'4.14'!$C$23</f>
        <v>5831.25</v>
      </c>
      <c r="D57" s="153">
        <f>D56*'4.14'!$C$23</f>
        <v>13258.75</v>
      </c>
      <c r="E57" s="153">
        <f>E56*'4.14'!$C$23</f>
        <v>7206.25</v>
      </c>
      <c r="F57" s="153">
        <f>F56*'4.14'!$C$23</f>
        <v>0</v>
      </c>
      <c r="G57" s="153">
        <f t="shared" si="2"/>
        <v>26296.25</v>
      </c>
      <c r="H57" s="154">
        <v>42500</v>
      </c>
      <c r="I57" s="154">
        <f>G57-H57</f>
        <v>-16203.75</v>
      </c>
    </row>
    <row r="58" spans="1:9" x14ac:dyDescent="0.3">
      <c r="B58" s="137" t="s">
        <v>58</v>
      </c>
      <c r="C58" s="154">
        <f>SUM(C56:C57)</f>
        <v>122456.25</v>
      </c>
      <c r="D58" s="154">
        <f>SUM(D56:D57)</f>
        <v>278433.75</v>
      </c>
      <c r="E58" s="154">
        <f>SUM(E56:E57)</f>
        <v>151331.25</v>
      </c>
      <c r="F58" s="154">
        <f>SUM(F56:F57)</f>
        <v>0</v>
      </c>
      <c r="G58" s="154">
        <f t="shared" si="2"/>
        <v>552221.25</v>
      </c>
      <c r="H58" s="154"/>
      <c r="I58" s="154"/>
    </row>
    <row r="59" spans="1:9" x14ac:dyDescent="0.3">
      <c r="B59" s="144"/>
      <c r="C59" s="153"/>
      <c r="D59" s="153"/>
      <c r="E59" s="153"/>
      <c r="F59" s="153"/>
      <c r="G59" s="154"/>
      <c r="H59" s="154"/>
      <c r="I59" s="154"/>
    </row>
    <row r="60" spans="1:9" x14ac:dyDescent="0.3">
      <c r="B60" s="137" t="s">
        <v>197</v>
      </c>
      <c r="C60" s="154">
        <f>C43-C58</f>
        <v>17543.75</v>
      </c>
      <c r="D60" s="154">
        <f t="shared" ref="D60:F60" si="3">D43-D58</f>
        <v>21566.25</v>
      </c>
      <c r="E60" s="154">
        <f t="shared" si="3"/>
        <v>-41331.25</v>
      </c>
      <c r="F60" s="154">
        <f t="shared" si="3"/>
        <v>0</v>
      </c>
      <c r="G60" s="154">
        <f t="shared" si="2"/>
        <v>-2221.25</v>
      </c>
      <c r="H60" s="154"/>
      <c r="I60" s="154"/>
    </row>
    <row r="61" spans="1:9" x14ac:dyDescent="0.3">
      <c r="B61" s="137" t="s">
        <v>198</v>
      </c>
      <c r="C61" s="154"/>
      <c r="D61" s="154"/>
      <c r="E61" s="154"/>
      <c r="F61" s="154"/>
      <c r="G61" s="153">
        <f>I61</f>
        <v>-58828.75</v>
      </c>
      <c r="H61" s="154"/>
      <c r="I61" s="157">
        <f>SUM(I49:I57)</f>
        <v>-58828.75</v>
      </c>
    </row>
    <row r="62" spans="1:9" x14ac:dyDescent="0.3">
      <c r="B62" s="144" t="s">
        <v>199</v>
      </c>
      <c r="C62" s="153"/>
      <c r="D62" s="153"/>
      <c r="E62" s="153"/>
      <c r="F62" s="153"/>
      <c r="G62" s="157">
        <f>SUM(G60:G61)</f>
        <v>-61050</v>
      </c>
      <c r="H62" s="157">
        <f>H43-SUM(H45:H57)</f>
        <v>-61050</v>
      </c>
      <c r="I62" s="153"/>
    </row>
    <row r="64" spans="1:9" x14ac:dyDescent="0.3">
      <c r="A64" s="170" t="s">
        <v>102</v>
      </c>
      <c r="B64" s="170" t="s">
        <v>27</v>
      </c>
      <c r="F64" s="146"/>
    </row>
    <row r="65" spans="1:9" x14ac:dyDescent="0.3">
      <c r="F65" s="146"/>
      <c r="H65" s="146"/>
    </row>
    <row r="66" spans="1:9" x14ac:dyDescent="0.3">
      <c r="A66" s="170" t="s">
        <v>94</v>
      </c>
      <c r="B66" s="170" t="s">
        <v>239</v>
      </c>
      <c r="F66" s="146"/>
      <c r="H66" s="146"/>
    </row>
    <row r="67" spans="1:9" x14ac:dyDescent="0.3">
      <c r="B67" s="132" t="s">
        <v>41</v>
      </c>
      <c r="F67" s="146"/>
      <c r="H67" s="146"/>
    </row>
    <row r="68" spans="1:9" x14ac:dyDescent="0.3">
      <c r="F68" s="146"/>
      <c r="H68" s="146"/>
    </row>
    <row r="69" spans="1:9" x14ac:dyDescent="0.3">
      <c r="F69" s="146"/>
      <c r="H69" s="146"/>
    </row>
    <row r="70" spans="1:9" x14ac:dyDescent="0.3">
      <c r="F70" s="146"/>
      <c r="H70" s="146"/>
    </row>
    <row r="71" spans="1:9" x14ac:dyDescent="0.3">
      <c r="F71" s="146"/>
      <c r="H71" s="146"/>
    </row>
    <row r="72" spans="1:9" x14ac:dyDescent="0.3">
      <c r="E72" s="146"/>
      <c r="F72" s="146"/>
      <c r="G72" s="146"/>
      <c r="H72" s="146"/>
      <c r="I72" s="146"/>
    </row>
    <row r="73" spans="1:9" x14ac:dyDescent="0.3">
      <c r="B73" s="146"/>
      <c r="C73" s="146"/>
      <c r="D73" s="146"/>
      <c r="E73" s="146"/>
      <c r="F73" s="146"/>
      <c r="G73" s="146"/>
      <c r="H73" s="146"/>
      <c r="I73" s="146"/>
    </row>
  </sheetData>
  <mergeCells count="1">
    <mergeCell ref="C41:G41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76" fitToHeight="0" orientation="portrait" r:id="rId1"/>
  <headerFooter alignWithMargins="0">
    <oddHeader>&amp;A</oddHeader>
    <oddFooter>&amp;CLøsninger kapittel 4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>
    <pageSetUpPr fitToPage="1"/>
  </sheetPr>
  <dimension ref="A1:M74"/>
  <sheetViews>
    <sheetView topLeftCell="A31" zoomScale="96" zoomScaleNormal="96" zoomScalePageLayoutView="96" workbookViewId="0">
      <selection activeCell="B75" sqref="B75"/>
    </sheetView>
  </sheetViews>
  <sheetFormatPr baseColWidth="10" defaultColWidth="11.453125" defaultRowHeight="15.5" x14ac:dyDescent="0.35"/>
  <cols>
    <col min="1" max="1" width="3" style="1" customWidth="1"/>
    <col min="2" max="2" width="36.1796875" style="1" customWidth="1"/>
    <col min="3" max="3" width="14.1796875" style="64" customWidth="1"/>
    <col min="4" max="7" width="12.7265625" style="64" customWidth="1"/>
    <col min="8" max="13" width="11.453125" style="64"/>
    <col min="14" max="16384" width="11.453125" style="1"/>
  </cols>
  <sheetData>
    <row r="1" spans="1:7" x14ac:dyDescent="0.35">
      <c r="A1" s="10" t="s">
        <v>24</v>
      </c>
      <c r="B1" s="4"/>
    </row>
    <row r="3" spans="1:7" x14ac:dyDescent="0.35">
      <c r="B3" s="4" t="s">
        <v>187</v>
      </c>
    </row>
    <row r="5" spans="1:7" x14ac:dyDescent="0.35">
      <c r="B5" s="30" t="s">
        <v>200</v>
      </c>
    </row>
    <row r="6" spans="1:7" x14ac:dyDescent="0.35">
      <c r="B6" s="1" t="str">
        <f t="shared" ref="B6:B12" si="0">B29</f>
        <v>Direkte materialer</v>
      </c>
      <c r="C6" s="64">
        <v>320000</v>
      </c>
    </row>
    <row r="7" spans="1:7" x14ac:dyDescent="0.35">
      <c r="B7" s="1" t="str">
        <f t="shared" si="0"/>
        <v>Direkte lønn avdeling 1</v>
      </c>
      <c r="C7" s="64">
        <v>180000</v>
      </c>
    </row>
    <row r="8" spans="1:7" x14ac:dyDescent="0.35">
      <c r="B8" s="1" t="str">
        <f t="shared" si="0"/>
        <v>Direkte lønn avdeling 2</v>
      </c>
      <c r="C8" s="64">
        <v>160000</v>
      </c>
    </row>
    <row r="9" spans="1:7" x14ac:dyDescent="0.35">
      <c r="B9" s="125" t="str">
        <f t="shared" si="0"/>
        <v>Indirekte tilvirkn.kostnader</v>
      </c>
    </row>
    <row r="10" spans="1:7" x14ac:dyDescent="0.35">
      <c r="B10" s="1" t="str">
        <f t="shared" si="0"/>
        <v>Materialavdelingen</v>
      </c>
      <c r="C10" s="64">
        <v>32000</v>
      </c>
    </row>
    <row r="11" spans="1:7" x14ac:dyDescent="0.35">
      <c r="B11" s="2" t="str">
        <f t="shared" si="0"/>
        <v>Tilvirkningsavdeling 1</v>
      </c>
      <c r="C11" s="3">
        <v>90000</v>
      </c>
      <c r="D11" s="3"/>
      <c r="E11" s="3"/>
      <c r="F11" s="3"/>
      <c r="G11" s="3"/>
    </row>
    <row r="12" spans="1:7" x14ac:dyDescent="0.35">
      <c r="B12" s="9" t="str">
        <f t="shared" si="0"/>
        <v>Tilvirkningsavdeling 2</v>
      </c>
      <c r="C12" s="8">
        <v>176000</v>
      </c>
      <c r="D12" s="3"/>
      <c r="E12" s="3"/>
      <c r="F12" s="3"/>
      <c r="G12" s="3"/>
    </row>
    <row r="13" spans="1:7" x14ac:dyDescent="0.35">
      <c r="B13" s="1" t="s">
        <v>182</v>
      </c>
      <c r="C13" s="64">
        <f>SUM(C6:C12)</f>
        <v>958000</v>
      </c>
    </row>
    <row r="14" spans="1:7" x14ac:dyDescent="0.35">
      <c r="B14" s="1" t="str">
        <f>B41</f>
        <v>Administrasjonsavd.</v>
      </c>
      <c r="C14" s="64">
        <v>95800</v>
      </c>
    </row>
    <row r="15" spans="1:7" x14ac:dyDescent="0.35">
      <c r="B15" s="208" t="s">
        <v>206</v>
      </c>
      <c r="C15" s="178">
        <f>SUM(C13:C14)</f>
        <v>1053800</v>
      </c>
      <c r="D15" s="3"/>
      <c r="E15" s="3"/>
      <c r="F15" s="3"/>
      <c r="G15" s="3"/>
    </row>
    <row r="16" spans="1:7" x14ac:dyDescent="0.35">
      <c r="B16" s="2"/>
      <c r="C16" s="3"/>
      <c r="D16" s="3"/>
      <c r="E16" s="3"/>
      <c r="F16" s="3"/>
      <c r="G16" s="3"/>
    </row>
    <row r="18" spans="1:9" x14ac:dyDescent="0.35">
      <c r="A18" s="1" t="s">
        <v>183</v>
      </c>
      <c r="B18" s="30" t="s">
        <v>207</v>
      </c>
    </row>
    <row r="19" spans="1:9" x14ac:dyDescent="0.35">
      <c r="B19" s="1" t="str">
        <f>B10</f>
        <v>Materialavdelingen</v>
      </c>
      <c r="C19" s="187">
        <f>C10/C6</f>
        <v>0.1</v>
      </c>
      <c r="D19" s="187"/>
      <c r="E19" s="187"/>
      <c r="F19" s="187"/>
      <c r="G19" s="187"/>
    </row>
    <row r="20" spans="1:9" x14ac:dyDescent="0.35">
      <c r="B20" s="1" t="str">
        <f>B11</f>
        <v>Tilvirkningsavdeling 1</v>
      </c>
      <c r="C20" s="187">
        <f>C11/C7</f>
        <v>0.5</v>
      </c>
      <c r="D20" s="187"/>
      <c r="E20" s="187"/>
      <c r="F20" s="187"/>
      <c r="G20" s="187"/>
    </row>
    <row r="21" spans="1:9" x14ac:dyDescent="0.35">
      <c r="B21" s="1" t="str">
        <f>B12</f>
        <v>Tilvirkningsavdeling 2</v>
      </c>
      <c r="C21" s="187">
        <f>C12/C8</f>
        <v>1.1000000000000001</v>
      </c>
      <c r="D21" s="187"/>
      <c r="E21" s="187"/>
      <c r="F21" s="187"/>
      <c r="G21" s="187"/>
    </row>
    <row r="22" spans="1:9" x14ac:dyDescent="0.35">
      <c r="B22" s="1" t="str">
        <f>B14</f>
        <v>Administrasjonsavd.</v>
      </c>
      <c r="C22" s="187">
        <f>C14/C13</f>
        <v>0.1</v>
      </c>
      <c r="D22" s="187"/>
      <c r="E22" s="187"/>
      <c r="F22" s="187"/>
      <c r="G22" s="187"/>
    </row>
    <row r="23" spans="1:9" x14ac:dyDescent="0.35">
      <c r="C23" s="187"/>
      <c r="D23" s="187"/>
      <c r="E23" s="187"/>
      <c r="F23" s="187"/>
      <c r="G23" s="187"/>
    </row>
    <row r="24" spans="1:9" x14ac:dyDescent="0.35">
      <c r="A24" s="1" t="s">
        <v>184</v>
      </c>
      <c r="B24" s="30" t="s">
        <v>177</v>
      </c>
    </row>
    <row r="25" spans="1:9" x14ac:dyDescent="0.35">
      <c r="B25" s="48"/>
      <c r="C25" s="356" t="s">
        <v>169</v>
      </c>
      <c r="D25" s="357"/>
      <c r="E25" s="357"/>
      <c r="F25" s="357"/>
      <c r="G25" s="358"/>
      <c r="H25" s="89" t="s">
        <v>189</v>
      </c>
      <c r="I25" s="90" t="s">
        <v>190</v>
      </c>
    </row>
    <row r="26" spans="1:9" x14ac:dyDescent="0.35">
      <c r="B26" s="51"/>
      <c r="C26" s="52" t="s">
        <v>240</v>
      </c>
      <c r="D26" s="53" t="s">
        <v>241</v>
      </c>
      <c r="E26" s="53" t="s">
        <v>242</v>
      </c>
      <c r="F26" s="53" t="s">
        <v>243</v>
      </c>
      <c r="G26" s="53" t="s">
        <v>162</v>
      </c>
      <c r="H26" s="57" t="s">
        <v>191</v>
      </c>
      <c r="I26" s="60" t="s">
        <v>192</v>
      </c>
    </row>
    <row r="27" spans="1:9" x14ac:dyDescent="0.35">
      <c r="B27" s="274" t="s">
        <v>196</v>
      </c>
      <c r="C27" s="60">
        <v>21000</v>
      </c>
      <c r="D27" s="60">
        <v>43000</v>
      </c>
      <c r="E27" s="60">
        <v>36000</v>
      </c>
      <c r="F27" s="60"/>
      <c r="G27" s="130">
        <f t="shared" ref="G27" si="1">SUM(C27:F27)</f>
        <v>100000</v>
      </c>
      <c r="H27" s="90">
        <f>G27</f>
        <v>100000</v>
      </c>
      <c r="I27" s="57"/>
    </row>
    <row r="28" spans="1:9" x14ac:dyDescent="0.35">
      <c r="B28" s="54"/>
      <c r="C28" s="79"/>
      <c r="D28" s="333"/>
      <c r="E28" s="333"/>
      <c r="F28" s="333"/>
      <c r="G28" s="105"/>
      <c r="H28" s="55"/>
      <c r="I28" s="57"/>
    </row>
    <row r="29" spans="1:9" x14ac:dyDescent="0.35">
      <c r="B29" s="92" t="s">
        <v>174</v>
      </c>
      <c r="C29" s="55">
        <v>5000</v>
      </c>
      <c r="D29" s="55">
        <v>12000</v>
      </c>
      <c r="E29" s="55">
        <v>10000</v>
      </c>
      <c r="F29" s="55">
        <v>3000</v>
      </c>
      <c r="G29" s="44">
        <f>SUM(C29:F29)</f>
        <v>30000</v>
      </c>
      <c r="H29" s="55">
        <f>G29</f>
        <v>30000</v>
      </c>
      <c r="I29" s="57"/>
    </row>
    <row r="30" spans="1:9" x14ac:dyDescent="0.35">
      <c r="B30" s="93" t="s">
        <v>209</v>
      </c>
      <c r="C30" s="55">
        <v>4000</v>
      </c>
      <c r="D30" s="55">
        <v>8000</v>
      </c>
      <c r="E30" s="55">
        <v>3000</v>
      </c>
      <c r="F30" s="55">
        <v>2000</v>
      </c>
      <c r="G30" s="44">
        <f t="shared" ref="G30:G44" si="2">SUM(C30:F30)</f>
        <v>17000</v>
      </c>
      <c r="H30" s="55">
        <f>G30</f>
        <v>17000</v>
      </c>
      <c r="I30" s="57"/>
    </row>
    <row r="31" spans="1:9" x14ac:dyDescent="0.35">
      <c r="B31" s="334" t="s">
        <v>208</v>
      </c>
      <c r="C31" s="55">
        <v>3000</v>
      </c>
      <c r="D31" s="55">
        <v>5000</v>
      </c>
      <c r="E31" s="55">
        <v>7000</v>
      </c>
      <c r="F31" s="55">
        <v>0</v>
      </c>
      <c r="G31" s="44">
        <f t="shared" si="2"/>
        <v>15000</v>
      </c>
      <c r="H31" s="55">
        <f>G31</f>
        <v>15000</v>
      </c>
      <c r="I31" s="57"/>
    </row>
    <row r="32" spans="1:9" x14ac:dyDescent="0.35">
      <c r="B32" s="94" t="s">
        <v>175</v>
      </c>
      <c r="C32" s="55"/>
      <c r="D32" s="55"/>
      <c r="E32" s="55"/>
      <c r="F32" s="55"/>
      <c r="G32" s="44"/>
      <c r="H32" s="55"/>
      <c r="I32" s="57"/>
    </row>
    <row r="33" spans="2:9" x14ac:dyDescent="0.35">
      <c r="B33" s="92" t="s">
        <v>176</v>
      </c>
      <c r="C33" s="55">
        <f>C29*$C$19</f>
        <v>500</v>
      </c>
      <c r="D33" s="55">
        <f>D29*$C$19</f>
        <v>1200</v>
      </c>
      <c r="E33" s="55">
        <f>E29*$C$19</f>
        <v>1000</v>
      </c>
      <c r="F33" s="55">
        <f>F29*$C$19</f>
        <v>300</v>
      </c>
      <c r="G33" s="44">
        <f t="shared" si="2"/>
        <v>3000</v>
      </c>
      <c r="H33" s="55">
        <v>3220</v>
      </c>
      <c r="I33" s="57">
        <f>G33-H33</f>
        <v>-220</v>
      </c>
    </row>
    <row r="34" spans="2:9" x14ac:dyDescent="0.35">
      <c r="B34" s="273" t="s">
        <v>181</v>
      </c>
      <c r="C34" s="55">
        <f>C30*$C$20</f>
        <v>2000</v>
      </c>
      <c r="D34" s="55">
        <f>D30*$C$20</f>
        <v>4000</v>
      </c>
      <c r="E34" s="55">
        <f>E30*$C$20</f>
        <v>1500</v>
      </c>
      <c r="F34" s="55">
        <f>F30*$C$20</f>
        <v>1000</v>
      </c>
      <c r="G34" s="44">
        <f t="shared" si="2"/>
        <v>8500</v>
      </c>
      <c r="H34" s="55">
        <v>8000</v>
      </c>
      <c r="I34" s="57">
        <f>G34-H34</f>
        <v>500</v>
      </c>
    </row>
    <row r="35" spans="2:9" x14ac:dyDescent="0.35">
      <c r="B35" s="274" t="s">
        <v>186</v>
      </c>
      <c r="C35" s="60">
        <f>$C$21*C31</f>
        <v>3300.0000000000005</v>
      </c>
      <c r="D35" s="60">
        <f>$C$21*D31</f>
        <v>5500</v>
      </c>
      <c r="E35" s="60">
        <f>$C$21*E31</f>
        <v>7700.0000000000009</v>
      </c>
      <c r="F35" s="60">
        <f>$C$21*F31</f>
        <v>0</v>
      </c>
      <c r="G35" s="130">
        <f t="shared" si="2"/>
        <v>16500</v>
      </c>
      <c r="H35" s="55">
        <v>15900</v>
      </c>
      <c r="I35" s="57">
        <f>G35-H35</f>
        <v>600</v>
      </c>
    </row>
    <row r="36" spans="2:9" x14ac:dyDescent="0.35">
      <c r="B36" s="93" t="s">
        <v>203</v>
      </c>
      <c r="C36" s="55">
        <f>SUM(C29:C35)</f>
        <v>17800</v>
      </c>
      <c r="D36" s="55">
        <f>SUM(D29:D35)</f>
        <v>35700</v>
      </c>
      <c r="E36" s="55">
        <f>SUM(E29:E35)</f>
        <v>30200</v>
      </c>
      <c r="F36" s="55">
        <f>SUM(F29:F35)</f>
        <v>6300</v>
      </c>
      <c r="G36" s="44">
        <f t="shared" si="2"/>
        <v>90000</v>
      </c>
      <c r="H36" s="55"/>
      <c r="I36" s="57"/>
    </row>
    <row r="37" spans="2:9" x14ac:dyDescent="0.35">
      <c r="B37" s="274" t="s">
        <v>193</v>
      </c>
      <c r="C37" s="60"/>
      <c r="D37" s="60"/>
      <c r="E37" s="60"/>
      <c r="F37" s="60"/>
      <c r="G37" s="130">
        <f t="shared" si="2"/>
        <v>0</v>
      </c>
      <c r="H37" s="55">
        <f>G37</f>
        <v>0</v>
      </c>
      <c r="I37" s="57"/>
    </row>
    <row r="38" spans="2:9" x14ac:dyDescent="0.35">
      <c r="B38" s="93" t="s">
        <v>204</v>
      </c>
      <c r="C38" s="55">
        <f>SUM(C36:C37)</f>
        <v>17800</v>
      </c>
      <c r="D38" s="55">
        <f>SUM(D36:D37)</f>
        <v>35700</v>
      </c>
      <c r="E38" s="55">
        <f>SUM(E36:E37)</f>
        <v>30200</v>
      </c>
      <c r="F38" s="55">
        <f>SUM(F36:F37)</f>
        <v>6300</v>
      </c>
      <c r="G38" s="44">
        <f t="shared" si="2"/>
        <v>90000</v>
      </c>
      <c r="H38" s="55"/>
      <c r="I38" s="57"/>
    </row>
    <row r="39" spans="2:9" x14ac:dyDescent="0.35">
      <c r="B39" s="274" t="s">
        <v>194</v>
      </c>
      <c r="C39" s="60"/>
      <c r="D39" s="60"/>
      <c r="E39" s="60"/>
      <c r="F39" s="60">
        <f>-F38</f>
        <v>-6300</v>
      </c>
      <c r="G39" s="130">
        <f t="shared" si="2"/>
        <v>-6300</v>
      </c>
      <c r="H39" s="55">
        <f>G39</f>
        <v>-6300</v>
      </c>
      <c r="I39" s="57"/>
    </row>
    <row r="40" spans="2:9" x14ac:dyDescent="0.35">
      <c r="B40" s="93" t="s">
        <v>205</v>
      </c>
      <c r="C40" s="55">
        <f>SUM(C38:C39)</f>
        <v>17800</v>
      </c>
      <c r="D40" s="55">
        <f>SUM(D38:D39)</f>
        <v>35700</v>
      </c>
      <c r="E40" s="55">
        <f>SUM(E38:E39)</f>
        <v>30200</v>
      </c>
      <c r="F40" s="55"/>
      <c r="G40" s="44">
        <f t="shared" si="2"/>
        <v>83700</v>
      </c>
      <c r="H40" s="55"/>
      <c r="I40" s="57"/>
    </row>
    <row r="41" spans="2:9" x14ac:dyDescent="0.35">
      <c r="B41" s="274" t="s">
        <v>195</v>
      </c>
      <c r="C41" s="60">
        <f>C40*$C$22</f>
        <v>1780</v>
      </c>
      <c r="D41" s="60">
        <f>D40*$C$22</f>
        <v>3570</v>
      </c>
      <c r="E41" s="60">
        <f>E40*$C$22</f>
        <v>3020</v>
      </c>
      <c r="F41" s="60"/>
      <c r="G41" s="130">
        <f t="shared" si="2"/>
        <v>8370</v>
      </c>
      <c r="H41" s="55">
        <v>14900</v>
      </c>
      <c r="I41" s="57">
        <f>G41-H41</f>
        <v>-6530</v>
      </c>
    </row>
    <row r="42" spans="2:9" x14ac:dyDescent="0.35">
      <c r="B42" s="92" t="s">
        <v>58</v>
      </c>
      <c r="C42" s="55">
        <f>SUM(C40:C41)</f>
        <v>19580</v>
      </c>
      <c r="D42" s="55">
        <f>SUM(D40:D41)</f>
        <v>39270</v>
      </c>
      <c r="E42" s="55">
        <f>SUM(E40:E41)</f>
        <v>33220</v>
      </c>
      <c r="F42" s="55"/>
      <c r="G42" s="44">
        <f t="shared" si="2"/>
        <v>92070</v>
      </c>
      <c r="H42" s="55"/>
      <c r="I42" s="57"/>
    </row>
    <row r="43" spans="2:9" x14ac:dyDescent="0.35">
      <c r="B43" s="274"/>
      <c r="C43" s="60"/>
      <c r="D43" s="60"/>
      <c r="E43" s="60"/>
      <c r="F43" s="60"/>
      <c r="G43" s="130"/>
      <c r="H43" s="55"/>
      <c r="I43" s="57"/>
    </row>
    <row r="44" spans="2:9" x14ac:dyDescent="0.35">
      <c r="B44" s="92" t="s">
        <v>197</v>
      </c>
      <c r="C44" s="55">
        <f>C27-C42</f>
        <v>1420</v>
      </c>
      <c r="D44" s="55">
        <f t="shared" ref="D44:E44" si="3">D27-D42</f>
        <v>3730</v>
      </c>
      <c r="E44" s="55">
        <f t="shared" si="3"/>
        <v>2780</v>
      </c>
      <c r="F44" s="55"/>
      <c r="G44" s="44">
        <f t="shared" si="2"/>
        <v>7930</v>
      </c>
      <c r="H44" s="55"/>
      <c r="I44" s="57"/>
    </row>
    <row r="45" spans="2:9" x14ac:dyDescent="0.35">
      <c r="B45" s="92" t="s">
        <v>198</v>
      </c>
      <c r="D45" s="55"/>
      <c r="E45" s="55"/>
      <c r="F45" s="55"/>
      <c r="G45" s="130">
        <f>I45</f>
        <v>-5650</v>
      </c>
      <c r="H45" s="60"/>
      <c r="I45" s="131">
        <f>SUM(I33:I41)</f>
        <v>-5650</v>
      </c>
    </row>
    <row r="46" spans="2:9" x14ac:dyDescent="0.35">
      <c r="B46" s="128" t="s">
        <v>199</v>
      </c>
      <c r="C46" s="95"/>
      <c r="D46" s="95"/>
      <c r="E46" s="95"/>
      <c r="F46" s="95"/>
      <c r="G46" s="95">
        <f>SUM(G44:G45)</f>
        <v>2280</v>
      </c>
      <c r="H46" s="60">
        <f>H27-SUM(H29:H41)</f>
        <v>2280</v>
      </c>
      <c r="I46" s="60"/>
    </row>
    <row r="49" spans="1:5" x14ac:dyDescent="0.35">
      <c r="A49" s="1" t="s">
        <v>102</v>
      </c>
      <c r="B49" s="1" t="s">
        <v>381</v>
      </c>
    </row>
    <row r="51" spans="1:5" x14ac:dyDescent="0.35">
      <c r="B51" s="30" t="str">
        <f>B9</f>
        <v>Indirekte tilvirkn.kostnader</v>
      </c>
      <c r="C51" s="256" t="s">
        <v>162</v>
      </c>
      <c r="D51" s="256" t="s">
        <v>161</v>
      </c>
      <c r="E51" s="256" t="s">
        <v>72</v>
      </c>
    </row>
    <row r="52" spans="1:5" x14ac:dyDescent="0.35">
      <c r="B52" s="1" t="str">
        <f>B11</f>
        <v>Tilvirkningsavdeling 1</v>
      </c>
      <c r="C52" s="64">
        <f>C11</f>
        <v>90000</v>
      </c>
      <c r="D52" s="64">
        <v>54000</v>
      </c>
      <c r="E52" s="64">
        <v>36000</v>
      </c>
    </row>
    <row r="54" spans="1:5" x14ac:dyDescent="0.35">
      <c r="B54" s="1" t="str">
        <f>B7</f>
        <v>Direkte lønn avdeling 1</v>
      </c>
      <c r="C54" s="64">
        <f>C7</f>
        <v>180000</v>
      </c>
    </row>
    <row r="56" spans="1:5" x14ac:dyDescent="0.35">
      <c r="B56" s="1" t="s">
        <v>382</v>
      </c>
    </row>
    <row r="58" spans="1:5" x14ac:dyDescent="0.35">
      <c r="B58" s="10" t="str">
        <f>B18</f>
        <v>Normalsatser:</v>
      </c>
    </row>
    <row r="59" spans="1:5" x14ac:dyDescent="0.35">
      <c r="B59" s="1" t="s">
        <v>71</v>
      </c>
      <c r="C59" s="186">
        <f>D52/C54</f>
        <v>0.3</v>
      </c>
    </row>
    <row r="60" spans="1:5" x14ac:dyDescent="0.35">
      <c r="B60" s="1" t="s">
        <v>70</v>
      </c>
      <c r="C60" s="186">
        <f>E52/C54</f>
        <v>0.2</v>
      </c>
    </row>
    <row r="62" spans="1:5" x14ac:dyDescent="0.35">
      <c r="B62" s="1" t="s">
        <v>383</v>
      </c>
    </row>
    <row r="64" spans="1:5" x14ac:dyDescent="0.35">
      <c r="B64" s="30" t="s">
        <v>61</v>
      </c>
    </row>
    <row r="65" spans="1:7" ht="31" x14ac:dyDescent="0.35">
      <c r="B65" s="349"/>
      <c r="C65" s="210" t="s">
        <v>152</v>
      </c>
      <c r="D65" s="210" t="s">
        <v>153</v>
      </c>
      <c r="E65" s="210" t="s">
        <v>189</v>
      </c>
      <c r="F65" s="210" t="s">
        <v>69</v>
      </c>
      <c r="G65" s="210" t="s">
        <v>247</v>
      </c>
    </row>
    <row r="66" spans="1:7" ht="18.5" x14ac:dyDescent="0.35">
      <c r="B66" s="349"/>
      <c r="C66" s="211" t="s">
        <v>191</v>
      </c>
      <c r="D66" s="211" t="s">
        <v>237</v>
      </c>
      <c r="E66" s="211" t="s">
        <v>191</v>
      </c>
      <c r="F66" s="211" t="s">
        <v>154</v>
      </c>
      <c r="G66" s="211" t="s">
        <v>154</v>
      </c>
    </row>
    <row r="67" spans="1:7" x14ac:dyDescent="0.35">
      <c r="B67" s="212" t="str">
        <f>B52</f>
        <v>Tilvirkningsavdeling 1</v>
      </c>
      <c r="C67" s="296">
        <v>1</v>
      </c>
      <c r="D67" s="296">
        <v>2</v>
      </c>
      <c r="E67" s="296">
        <v>3</v>
      </c>
      <c r="F67" s="296" t="s">
        <v>292</v>
      </c>
      <c r="G67" s="296" t="s">
        <v>293</v>
      </c>
    </row>
    <row r="68" spans="1:7" x14ac:dyDescent="0.35">
      <c r="B68" s="212" t="s">
        <v>161</v>
      </c>
      <c r="C68" s="214">
        <f>G30*C59</f>
        <v>5100</v>
      </c>
      <c r="D68" s="214">
        <f>54000/12</f>
        <v>4500</v>
      </c>
      <c r="E68" s="214">
        <v>4800</v>
      </c>
      <c r="F68" s="214">
        <f>C68-D68</f>
        <v>600</v>
      </c>
      <c r="G68" s="214">
        <f>D68-E68</f>
        <v>-300</v>
      </c>
    </row>
    <row r="69" spans="1:7" x14ac:dyDescent="0.35">
      <c r="B69" s="335" t="s">
        <v>163</v>
      </c>
      <c r="C69" s="214">
        <f>G30*C60</f>
        <v>3400</v>
      </c>
      <c r="D69" s="214">
        <f>C69</f>
        <v>3400</v>
      </c>
      <c r="E69" s="214">
        <f>H34-E68</f>
        <v>3200</v>
      </c>
      <c r="F69" s="214" t="s">
        <v>157</v>
      </c>
      <c r="G69" s="214">
        <f>D69-E69</f>
        <v>200</v>
      </c>
    </row>
    <row r="70" spans="1:7" x14ac:dyDescent="0.35">
      <c r="A70" s="2"/>
      <c r="B70" s="320"/>
      <c r="C70" s="215">
        <f>SUM(C68:C69)</f>
        <v>8500</v>
      </c>
      <c r="D70" s="215">
        <f>SUM(D68:D69)</f>
        <v>7900</v>
      </c>
      <c r="E70" s="336">
        <f>SUM(E68:E69)</f>
        <v>8000</v>
      </c>
      <c r="F70" s="293">
        <f>SUM(F68:F69)</f>
        <v>600</v>
      </c>
      <c r="G70" s="293">
        <f>SUM(G68:G69)</f>
        <v>-100</v>
      </c>
    </row>
    <row r="71" spans="1:7" x14ac:dyDescent="0.35">
      <c r="F71" s="359">
        <f>F70+G70</f>
        <v>500</v>
      </c>
      <c r="G71" s="360"/>
    </row>
    <row r="72" spans="1:7" x14ac:dyDescent="0.35">
      <c r="B72" s="1" t="s">
        <v>227</v>
      </c>
    </row>
    <row r="74" spans="1:7" x14ac:dyDescent="0.35">
      <c r="B74" s="1" t="s">
        <v>384</v>
      </c>
    </row>
  </sheetData>
  <mergeCells count="3">
    <mergeCell ref="C25:G25"/>
    <mergeCell ref="B65:B66"/>
    <mergeCell ref="F71:G7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>
    <oddHeader>&amp;A&amp;RSide &amp;P</oddHeader>
    <oddFooter>&amp;CLøsninger kapittel 4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>
    <pageSetUpPr fitToPage="1"/>
  </sheetPr>
  <dimension ref="A1:J113"/>
  <sheetViews>
    <sheetView topLeftCell="A52" workbookViewId="0">
      <selection activeCell="H104" sqref="H104"/>
    </sheetView>
  </sheetViews>
  <sheetFormatPr baseColWidth="10" defaultColWidth="11.453125" defaultRowHeight="14" x14ac:dyDescent="0.3"/>
  <cols>
    <col min="1" max="1" width="3.453125" style="170" customWidth="1"/>
    <col min="2" max="2" width="32.1796875" style="170" customWidth="1"/>
    <col min="3" max="3" width="12.81640625" style="170" bestFit="1" customWidth="1"/>
    <col min="4" max="16384" width="11.453125" style="170"/>
  </cols>
  <sheetData>
    <row r="1" spans="1:10" x14ac:dyDescent="0.3">
      <c r="A1" s="167" t="s">
        <v>25</v>
      </c>
    </row>
    <row r="3" spans="1:10" x14ac:dyDescent="0.3">
      <c r="A3" s="109" t="s">
        <v>73</v>
      </c>
    </row>
    <row r="5" spans="1:10" x14ac:dyDescent="0.3">
      <c r="B5" s="110" t="s">
        <v>200</v>
      </c>
    </row>
    <row r="6" spans="1:10" x14ac:dyDescent="0.3">
      <c r="B6" s="113" t="s">
        <v>118</v>
      </c>
      <c r="C6" s="225">
        <v>1600000</v>
      </c>
      <c r="D6" s="226"/>
      <c r="E6" s="226"/>
    </row>
    <row r="7" spans="1:10" x14ac:dyDescent="0.3">
      <c r="B7" s="227" t="s">
        <v>209</v>
      </c>
      <c r="C7" s="228">
        <v>900000</v>
      </c>
      <c r="D7" s="226"/>
      <c r="E7" s="226"/>
    </row>
    <row r="8" spans="1:10" x14ac:dyDescent="0.3">
      <c r="B8" s="227" t="s">
        <v>208</v>
      </c>
      <c r="C8" s="228">
        <v>800000</v>
      </c>
      <c r="D8" s="229"/>
      <c r="E8" s="229"/>
    </row>
    <row r="9" spans="1:10" x14ac:dyDescent="0.3">
      <c r="B9" s="227"/>
      <c r="C9" s="228"/>
      <c r="D9" s="230" t="s">
        <v>161</v>
      </c>
      <c r="E9" s="231" t="s">
        <v>163</v>
      </c>
    </row>
    <row r="10" spans="1:10" x14ac:dyDescent="0.3">
      <c r="B10" s="227" t="s">
        <v>74</v>
      </c>
      <c r="C10" s="228">
        <v>240000</v>
      </c>
      <c r="D10" s="232">
        <v>160000</v>
      </c>
      <c r="E10" s="225">
        <f>C10-D10</f>
        <v>80000</v>
      </c>
    </row>
    <row r="11" spans="1:10" x14ac:dyDescent="0.3">
      <c r="B11" s="227" t="s">
        <v>75</v>
      </c>
      <c r="C11" s="228">
        <v>450000</v>
      </c>
      <c r="D11" s="233">
        <v>270000</v>
      </c>
      <c r="E11" s="228">
        <f>C11-D11</f>
        <v>180000</v>
      </c>
    </row>
    <row r="12" spans="1:10" x14ac:dyDescent="0.3">
      <c r="B12" s="74" t="s">
        <v>186</v>
      </c>
      <c r="C12" s="234">
        <v>880000</v>
      </c>
      <c r="D12" s="233">
        <v>440000</v>
      </c>
      <c r="E12" s="228">
        <f>C12-D12</f>
        <v>440000</v>
      </c>
      <c r="J12" s="118"/>
    </row>
    <row r="13" spans="1:10" x14ac:dyDescent="0.3">
      <c r="B13" s="227" t="s">
        <v>182</v>
      </c>
      <c r="C13" s="228">
        <f>SUM(C6:C12)</f>
        <v>4870000</v>
      </c>
      <c r="D13" s="233"/>
      <c r="E13" s="228"/>
      <c r="J13" s="118"/>
    </row>
    <row r="14" spans="1:10" x14ac:dyDescent="0.3">
      <c r="B14" s="74" t="s">
        <v>244</v>
      </c>
      <c r="C14" s="234">
        <v>479000</v>
      </c>
      <c r="D14" s="235">
        <f>C14</f>
        <v>479000</v>
      </c>
      <c r="E14" s="234"/>
      <c r="J14" s="118"/>
    </row>
    <row r="15" spans="1:10" x14ac:dyDescent="0.3">
      <c r="D15" s="226"/>
      <c r="E15" s="226"/>
      <c r="J15" s="118"/>
    </row>
    <row r="16" spans="1:10" x14ac:dyDescent="0.3">
      <c r="A16" s="170" t="s">
        <v>183</v>
      </c>
      <c r="B16" s="110" t="s">
        <v>207</v>
      </c>
      <c r="C16" s="236" t="s">
        <v>162</v>
      </c>
      <c r="D16" s="237" t="s">
        <v>161</v>
      </c>
      <c r="E16" s="236" t="s">
        <v>163</v>
      </c>
      <c r="J16" s="118"/>
    </row>
    <row r="17" spans="1:5" x14ac:dyDescent="0.3">
      <c r="B17" s="113" t="str">
        <f>B10</f>
        <v>Materialforvaltning</v>
      </c>
      <c r="C17" s="238">
        <f>C10/C6</f>
        <v>0.15</v>
      </c>
      <c r="D17" s="238">
        <f>D10/C6</f>
        <v>0.1</v>
      </c>
      <c r="E17" s="238">
        <f>E10/C6</f>
        <v>0.05</v>
      </c>
    </row>
    <row r="18" spans="1:5" x14ac:dyDescent="0.3">
      <c r="B18" s="227" t="str">
        <f>B11</f>
        <v xml:space="preserve">Tilvirkningsavdeling 1 </v>
      </c>
      <c r="C18" s="239">
        <f>C11/C7</f>
        <v>0.5</v>
      </c>
      <c r="D18" s="239">
        <f>D11/C7</f>
        <v>0.3</v>
      </c>
      <c r="E18" s="239">
        <f>E11/C7</f>
        <v>0.2</v>
      </c>
    </row>
    <row r="19" spans="1:5" x14ac:dyDescent="0.3">
      <c r="B19" s="227" t="str">
        <f>B12</f>
        <v>Tilvirkningsavdeling 2</v>
      </c>
      <c r="C19" s="239">
        <f>C12/C8</f>
        <v>1.1000000000000001</v>
      </c>
      <c r="D19" s="239">
        <f>D12/C8</f>
        <v>0.55000000000000004</v>
      </c>
      <c r="E19" s="239">
        <f>E12/C8</f>
        <v>0.55000000000000004</v>
      </c>
    </row>
    <row r="20" spans="1:5" x14ac:dyDescent="0.3">
      <c r="B20" s="74" t="str">
        <f>B14</f>
        <v>Salgs- og adm.avdeling</v>
      </c>
      <c r="C20" s="240">
        <f>C14/C13</f>
        <v>9.8357289527720743E-2</v>
      </c>
      <c r="D20" s="240">
        <f>D14/C13</f>
        <v>9.8357289527720743E-2</v>
      </c>
      <c r="E20" s="74"/>
    </row>
    <row r="22" spans="1:5" x14ac:dyDescent="0.3">
      <c r="A22" s="170" t="s">
        <v>184</v>
      </c>
      <c r="B22" s="112" t="s">
        <v>78</v>
      </c>
      <c r="C22" s="117">
        <f>C35</f>
        <v>101</v>
      </c>
      <c r="D22" s="117">
        <f>D35</f>
        <v>102</v>
      </c>
    </row>
    <row r="23" spans="1:5" x14ac:dyDescent="0.3">
      <c r="B23" s="119" t="str">
        <f t="shared" ref="B23:B30" si="0">B38</f>
        <v>Direkte materialer</v>
      </c>
      <c r="C23" s="114">
        <v>30000</v>
      </c>
      <c r="D23" s="114">
        <v>2000</v>
      </c>
    </row>
    <row r="24" spans="1:5" x14ac:dyDescent="0.3">
      <c r="B24" s="115" t="str">
        <f t="shared" si="0"/>
        <v>Direkte lønn 1</v>
      </c>
      <c r="C24" s="114">
        <v>22000</v>
      </c>
      <c r="D24" s="114">
        <v>1600</v>
      </c>
    </row>
    <row r="25" spans="1:5" x14ac:dyDescent="0.3">
      <c r="B25" s="115" t="str">
        <f t="shared" si="0"/>
        <v>Direkte lønn 2</v>
      </c>
      <c r="C25" s="114">
        <v>20000</v>
      </c>
      <c r="D25" s="114">
        <v>1300</v>
      </c>
    </row>
    <row r="26" spans="1:5" x14ac:dyDescent="0.3">
      <c r="B26" s="115" t="str">
        <f t="shared" si="0"/>
        <v>Indirekte tilvirkn.kostnader</v>
      </c>
      <c r="C26" s="114"/>
      <c r="D26" s="114"/>
    </row>
    <row r="27" spans="1:5" x14ac:dyDescent="0.3">
      <c r="B27" s="115" t="str">
        <f t="shared" si="0"/>
        <v>Materialforvaltning</v>
      </c>
      <c r="C27" s="114">
        <f>C23*'4.16'!$C$17</f>
        <v>4500</v>
      </c>
      <c r="D27" s="114">
        <f>D23*'4.16'!$C$17</f>
        <v>300</v>
      </c>
    </row>
    <row r="28" spans="1:5" x14ac:dyDescent="0.3">
      <c r="B28" s="115" t="str">
        <f t="shared" si="0"/>
        <v xml:space="preserve">Tilvirkningsavdeling 1 </v>
      </c>
      <c r="C28" s="114">
        <f>C24*'4.16'!$C$18</f>
        <v>11000</v>
      </c>
      <c r="D28" s="114">
        <f>D24*'4.16'!$C$18</f>
        <v>800</v>
      </c>
    </row>
    <row r="29" spans="1:5" x14ac:dyDescent="0.3">
      <c r="B29" s="115" t="str">
        <f t="shared" si="0"/>
        <v>Tilvirkningsavdeling 2</v>
      </c>
      <c r="C29" s="114">
        <f>C25*'4.16'!$C$19</f>
        <v>22000</v>
      </c>
      <c r="D29" s="114">
        <f>D25*'4.16'!$C$19</f>
        <v>1430.0000000000002</v>
      </c>
    </row>
    <row r="30" spans="1:5" x14ac:dyDescent="0.3">
      <c r="B30" s="123" t="str">
        <f t="shared" si="0"/>
        <v>Kalkulert tilvirkningskost</v>
      </c>
      <c r="C30" s="116">
        <f>SUM(C23:C29)</f>
        <v>109500</v>
      </c>
      <c r="D30" s="116">
        <f>SUM(D23:D29)</f>
        <v>7430</v>
      </c>
    </row>
    <row r="33" spans="1:9" s="183" customFormat="1" x14ac:dyDescent="0.3">
      <c r="A33" s="170" t="s">
        <v>102</v>
      </c>
      <c r="B33" s="110" t="s">
        <v>177</v>
      </c>
      <c r="C33" s="184"/>
      <c r="D33" s="184"/>
      <c r="E33" s="184"/>
      <c r="F33" s="184"/>
      <c r="G33" s="184"/>
      <c r="H33" s="184"/>
      <c r="I33" s="184"/>
    </row>
    <row r="34" spans="1:9" x14ac:dyDescent="0.3">
      <c r="B34" s="113"/>
      <c r="C34" s="361" t="s">
        <v>76</v>
      </c>
      <c r="D34" s="361"/>
      <c r="E34" s="361"/>
      <c r="F34" s="361"/>
      <c r="G34" s="361"/>
      <c r="H34" s="73" t="s">
        <v>189</v>
      </c>
      <c r="I34" s="73" t="s">
        <v>190</v>
      </c>
    </row>
    <row r="35" spans="1:9" x14ac:dyDescent="0.3">
      <c r="B35" s="74"/>
      <c r="C35" s="185">
        <v>101</v>
      </c>
      <c r="D35" s="185">
        <v>102</v>
      </c>
      <c r="E35" s="185">
        <v>103</v>
      </c>
      <c r="F35" s="185">
        <v>104</v>
      </c>
      <c r="G35" s="185" t="s">
        <v>168</v>
      </c>
      <c r="H35" s="72" t="s">
        <v>191</v>
      </c>
      <c r="I35" s="72" t="s">
        <v>192</v>
      </c>
    </row>
    <row r="36" spans="1:9" x14ac:dyDescent="0.3">
      <c r="B36" s="227" t="s">
        <v>196</v>
      </c>
      <c r="C36" s="72">
        <v>150000</v>
      </c>
      <c r="D36" s="72">
        <v>290000</v>
      </c>
      <c r="E36" s="72">
        <v>130000</v>
      </c>
      <c r="F36" s="72">
        <v>0</v>
      </c>
      <c r="G36" s="114">
        <f t="shared" ref="G36" si="1">SUM(C36:F36)</f>
        <v>570000</v>
      </c>
      <c r="H36" s="114">
        <f>G36</f>
        <v>570000</v>
      </c>
      <c r="I36" s="114"/>
    </row>
    <row r="37" spans="1:9" x14ac:dyDescent="0.3">
      <c r="B37" s="227"/>
      <c r="C37" s="169"/>
      <c r="D37" s="169"/>
      <c r="E37" s="169"/>
      <c r="F37" s="169"/>
      <c r="G37" s="169"/>
      <c r="H37" s="114"/>
      <c r="I37" s="114"/>
    </row>
    <row r="38" spans="1:9" x14ac:dyDescent="0.3">
      <c r="B38" s="227" t="s">
        <v>174</v>
      </c>
      <c r="C38" s="114">
        <v>0</v>
      </c>
      <c r="D38" s="114">
        <v>70000</v>
      </c>
      <c r="E38" s="114">
        <v>45000</v>
      </c>
      <c r="F38" s="114">
        <v>20000</v>
      </c>
      <c r="G38" s="114">
        <f>SUM(C38:F38)</f>
        <v>135000</v>
      </c>
      <c r="H38" s="114">
        <f>G38</f>
        <v>135000</v>
      </c>
      <c r="I38" s="114"/>
    </row>
    <row r="39" spans="1:9" x14ac:dyDescent="0.3">
      <c r="B39" s="227" t="s">
        <v>180</v>
      </c>
      <c r="C39" s="114">
        <v>0</v>
      </c>
      <c r="D39" s="114">
        <v>60000</v>
      </c>
      <c r="E39" s="114">
        <v>25000</v>
      </c>
      <c r="F39" s="114">
        <v>11000</v>
      </c>
      <c r="G39" s="114">
        <f t="shared" ref="G39:G51" si="2">SUM(C39:F39)</f>
        <v>96000</v>
      </c>
      <c r="H39" s="114">
        <f>G39</f>
        <v>96000</v>
      </c>
      <c r="I39" s="114"/>
    </row>
    <row r="40" spans="1:9" x14ac:dyDescent="0.3">
      <c r="B40" s="227" t="s">
        <v>179</v>
      </c>
      <c r="C40" s="114">
        <v>0</v>
      </c>
      <c r="D40" s="114">
        <v>55000</v>
      </c>
      <c r="E40" s="114">
        <v>18000</v>
      </c>
      <c r="F40" s="114">
        <v>8000</v>
      </c>
      <c r="G40" s="114">
        <f t="shared" si="2"/>
        <v>81000</v>
      </c>
      <c r="H40" s="114">
        <f>G40</f>
        <v>81000</v>
      </c>
      <c r="I40" s="114"/>
    </row>
    <row r="41" spans="1:9" ht="14.5" x14ac:dyDescent="0.35">
      <c r="B41" s="111" t="s">
        <v>175</v>
      </c>
      <c r="C41" s="114"/>
      <c r="D41" s="114"/>
      <c r="E41" s="114"/>
      <c r="F41" s="114"/>
      <c r="G41" s="114"/>
      <c r="H41" s="114"/>
      <c r="I41" s="114"/>
    </row>
    <row r="42" spans="1:9" x14ac:dyDescent="0.3">
      <c r="B42" s="227" t="str">
        <f>B17</f>
        <v>Materialforvaltning</v>
      </c>
      <c r="C42" s="114">
        <f>C38*'4.16'!$C$17</f>
        <v>0</v>
      </c>
      <c r="D42" s="114">
        <f>D38*'4.16'!$C$17</f>
        <v>10500</v>
      </c>
      <c r="E42" s="114">
        <f>E38*'4.16'!$C$17</f>
        <v>6750</v>
      </c>
      <c r="F42" s="114">
        <f>F38*'4.16'!$C$17</f>
        <v>3000</v>
      </c>
      <c r="G42" s="114">
        <f t="shared" si="2"/>
        <v>20250</v>
      </c>
      <c r="H42" s="114">
        <v>20000</v>
      </c>
      <c r="I42" s="114">
        <f>G42-H42</f>
        <v>250</v>
      </c>
    </row>
    <row r="43" spans="1:9" x14ac:dyDescent="0.3">
      <c r="B43" s="227" t="str">
        <f>B18</f>
        <v xml:space="preserve">Tilvirkningsavdeling 1 </v>
      </c>
      <c r="C43" s="71">
        <f>C39*'4.16'!$C$18</f>
        <v>0</v>
      </c>
      <c r="D43" s="71">
        <f>D39*'4.16'!$C$18</f>
        <v>30000</v>
      </c>
      <c r="E43" s="71">
        <f>E39*'4.16'!$C$18</f>
        <v>12500</v>
      </c>
      <c r="F43" s="71">
        <f>F39*'4.16'!$C$18</f>
        <v>5500</v>
      </c>
      <c r="G43" s="114">
        <f t="shared" si="2"/>
        <v>48000</v>
      </c>
      <c r="H43" s="114">
        <v>50000</v>
      </c>
      <c r="I43" s="114">
        <f>G43-H43</f>
        <v>-2000</v>
      </c>
    </row>
    <row r="44" spans="1:9" x14ac:dyDescent="0.3">
      <c r="B44" s="74" t="str">
        <f>B19</f>
        <v>Tilvirkningsavdeling 2</v>
      </c>
      <c r="C44" s="72">
        <f>C40*'4.16'!$C$19</f>
        <v>0</v>
      </c>
      <c r="D44" s="72">
        <f>D40*'4.16'!$C$19</f>
        <v>60500.000000000007</v>
      </c>
      <c r="E44" s="72">
        <f>E40*'4.16'!$C$19</f>
        <v>19800</v>
      </c>
      <c r="F44" s="72">
        <f>F40*'4.16'!$C$19</f>
        <v>8800</v>
      </c>
      <c r="G44" s="72">
        <f t="shared" si="2"/>
        <v>89100</v>
      </c>
      <c r="H44" s="114">
        <v>95000</v>
      </c>
      <c r="I44" s="114">
        <f>G44-H44</f>
        <v>-5900</v>
      </c>
    </row>
    <row r="45" spans="1:9" x14ac:dyDescent="0.3">
      <c r="B45" s="227" t="s">
        <v>203</v>
      </c>
      <c r="C45" s="114">
        <f>SUM(C38:C44)</f>
        <v>0</v>
      </c>
      <c r="D45" s="114">
        <f>SUM(D38:D44)</f>
        <v>286000</v>
      </c>
      <c r="E45" s="114">
        <f>SUM(E38:E44)</f>
        <v>127050</v>
      </c>
      <c r="F45" s="114">
        <f>SUM(F38:F44)</f>
        <v>56300</v>
      </c>
      <c r="G45" s="114">
        <f t="shared" si="2"/>
        <v>469350</v>
      </c>
      <c r="H45" s="114"/>
      <c r="I45" s="114"/>
    </row>
    <row r="46" spans="1:9" x14ac:dyDescent="0.3">
      <c r="B46" s="74" t="s">
        <v>193</v>
      </c>
      <c r="C46" s="72">
        <v>0</v>
      </c>
      <c r="D46" s="72">
        <f>D30</f>
        <v>7430</v>
      </c>
      <c r="E46" s="72"/>
      <c r="F46" s="72">
        <v>0</v>
      </c>
      <c r="G46" s="72">
        <f t="shared" si="2"/>
        <v>7430</v>
      </c>
      <c r="H46" s="114">
        <f>G46</f>
        <v>7430</v>
      </c>
      <c r="I46" s="114"/>
    </row>
    <row r="47" spans="1:9" x14ac:dyDescent="0.3">
      <c r="B47" s="227" t="s">
        <v>77</v>
      </c>
      <c r="C47" s="114">
        <f>SUM(C45:C46)</f>
        <v>0</v>
      </c>
      <c r="D47" s="114">
        <f>SUM(D45:D46)</f>
        <v>293430</v>
      </c>
      <c r="E47" s="114">
        <f>SUM(E45:E46)</f>
        <v>127050</v>
      </c>
      <c r="F47" s="114">
        <f>SUM(F45:F46)</f>
        <v>56300</v>
      </c>
      <c r="G47" s="114">
        <f t="shared" si="2"/>
        <v>476780</v>
      </c>
      <c r="H47" s="114"/>
      <c r="I47" s="114"/>
    </row>
    <row r="48" spans="1:9" x14ac:dyDescent="0.3">
      <c r="B48" s="74" t="s">
        <v>194</v>
      </c>
      <c r="C48" s="72">
        <f>C30</f>
        <v>109500</v>
      </c>
      <c r="D48" s="72">
        <v>0</v>
      </c>
      <c r="E48" s="72">
        <v>0</v>
      </c>
      <c r="F48" s="72">
        <f>-F47</f>
        <v>-56300</v>
      </c>
      <c r="G48" s="72">
        <f t="shared" si="2"/>
        <v>53200</v>
      </c>
      <c r="H48" s="114">
        <f>G48</f>
        <v>53200</v>
      </c>
      <c r="I48" s="114"/>
    </row>
    <row r="49" spans="1:9" x14ac:dyDescent="0.3">
      <c r="B49" s="227" t="s">
        <v>205</v>
      </c>
      <c r="C49" s="114">
        <f>SUM(C47:C48)</f>
        <v>109500</v>
      </c>
      <c r="D49" s="114">
        <f>SUM(D47:D48)</f>
        <v>293430</v>
      </c>
      <c r="E49" s="114">
        <f>SUM(E47:E48)</f>
        <v>127050</v>
      </c>
      <c r="F49" s="114">
        <f>SUM(F47:F48)</f>
        <v>0</v>
      </c>
      <c r="G49" s="114">
        <f t="shared" si="2"/>
        <v>529980</v>
      </c>
      <c r="H49" s="114"/>
      <c r="I49" s="114"/>
    </row>
    <row r="50" spans="1:9" x14ac:dyDescent="0.3">
      <c r="B50" s="74" t="str">
        <f>B20</f>
        <v>Salgs- og adm.avdeling</v>
      </c>
      <c r="C50" s="72">
        <f>C49*'4.16'!$C$20</f>
        <v>10770.12320328542</v>
      </c>
      <c r="D50" s="72">
        <f>D49*'4.16'!$C$20</f>
        <v>28860.979466119097</v>
      </c>
      <c r="E50" s="72">
        <f>E49*'4.16'!$C$20</f>
        <v>12496.29363449692</v>
      </c>
      <c r="F50" s="72">
        <f>F49*'4.16'!$C$20</f>
        <v>0</v>
      </c>
      <c r="G50" s="72">
        <f t="shared" si="2"/>
        <v>52127.396303901434</v>
      </c>
      <c r="H50" s="114">
        <v>50000</v>
      </c>
      <c r="I50" s="114">
        <f>G50-H50</f>
        <v>2127.3963039014343</v>
      </c>
    </row>
    <row r="51" spans="1:9" x14ac:dyDescent="0.3">
      <c r="B51" s="227" t="s">
        <v>58</v>
      </c>
      <c r="C51" s="114">
        <f>SUM(C49:C50)</f>
        <v>120270.12320328542</v>
      </c>
      <c r="D51" s="114">
        <f>SUM(D49:D50)</f>
        <v>322290.97946611908</v>
      </c>
      <c r="E51" s="114">
        <f>SUM(E49:E50)</f>
        <v>139546.29363449692</v>
      </c>
      <c r="F51" s="114">
        <f>SUM(F49:F50)</f>
        <v>0</v>
      </c>
      <c r="G51" s="114">
        <f t="shared" si="2"/>
        <v>582107.39630390145</v>
      </c>
      <c r="H51" s="114"/>
      <c r="I51" s="114"/>
    </row>
    <row r="52" spans="1:9" x14ac:dyDescent="0.3">
      <c r="B52" s="74"/>
      <c r="C52" s="72"/>
      <c r="D52" s="72"/>
      <c r="E52" s="72"/>
      <c r="F52" s="72"/>
      <c r="G52" s="72"/>
      <c r="H52" s="114"/>
      <c r="I52" s="114"/>
    </row>
    <row r="53" spans="1:9" x14ac:dyDescent="0.3">
      <c r="B53" s="227" t="s">
        <v>197</v>
      </c>
      <c r="C53" s="114">
        <f>C36-C51</f>
        <v>29729.876796714583</v>
      </c>
      <c r="D53" s="114">
        <f t="shared" ref="D53:G53" si="3">D36-D51</f>
        <v>-32290.979466119083</v>
      </c>
      <c r="E53" s="114">
        <f t="shared" si="3"/>
        <v>-9546.2936344969203</v>
      </c>
      <c r="F53" s="114">
        <f t="shared" si="3"/>
        <v>0</v>
      </c>
      <c r="G53" s="114">
        <f t="shared" si="3"/>
        <v>-12107.396303901449</v>
      </c>
      <c r="H53" s="114"/>
      <c r="I53" s="114"/>
    </row>
    <row r="54" spans="1:9" x14ac:dyDescent="0.3">
      <c r="B54" s="227" t="s">
        <v>198</v>
      </c>
      <c r="C54" s="114"/>
      <c r="D54" s="114"/>
      <c r="E54" s="114"/>
      <c r="F54" s="114"/>
      <c r="G54" s="72">
        <f>I54</f>
        <v>-5522.6036960985657</v>
      </c>
      <c r="H54" s="114"/>
      <c r="I54" s="116">
        <f>SUM(I42:I50)</f>
        <v>-5522.6036960985657</v>
      </c>
    </row>
    <row r="55" spans="1:9" x14ac:dyDescent="0.3">
      <c r="B55" s="74" t="s">
        <v>199</v>
      </c>
      <c r="C55" s="72"/>
      <c r="D55" s="72"/>
      <c r="E55" s="72"/>
      <c r="F55" s="72"/>
      <c r="G55" s="116">
        <f>SUM(G53:G54)</f>
        <v>-17630.000000000015</v>
      </c>
      <c r="H55" s="116">
        <f>H36-SUM(H38:H51)</f>
        <v>-17630</v>
      </c>
      <c r="I55" s="72"/>
    </row>
    <row r="56" spans="1:9" x14ac:dyDescent="0.3">
      <c r="F56" s="118"/>
    </row>
    <row r="57" spans="1:9" x14ac:dyDescent="0.3">
      <c r="F57" s="118"/>
    </row>
    <row r="58" spans="1:9" x14ac:dyDescent="0.3">
      <c r="A58" s="170" t="s">
        <v>94</v>
      </c>
      <c r="B58" s="170" t="s">
        <v>385</v>
      </c>
      <c r="F58" s="118"/>
    </row>
    <row r="59" spans="1:9" x14ac:dyDescent="0.3">
      <c r="F59" s="118"/>
    </row>
    <row r="60" spans="1:9" x14ac:dyDescent="0.3">
      <c r="B60" s="112" t="s">
        <v>78</v>
      </c>
      <c r="C60" s="224">
        <f>C72</f>
        <v>101</v>
      </c>
      <c r="D60" s="224">
        <f>D72</f>
        <v>102</v>
      </c>
      <c r="F60" s="118"/>
      <c r="H60" s="118"/>
    </row>
    <row r="61" spans="1:9" x14ac:dyDescent="0.3">
      <c r="B61" s="119" t="str">
        <f t="shared" ref="B61:B67" si="4">B75</f>
        <v>Direkte materialer</v>
      </c>
      <c r="C61" s="71">
        <v>30000</v>
      </c>
      <c r="D61" s="73">
        <v>2000</v>
      </c>
      <c r="F61" s="118"/>
      <c r="H61" s="118"/>
    </row>
    <row r="62" spans="1:9" x14ac:dyDescent="0.3">
      <c r="B62" s="115" t="str">
        <f t="shared" si="4"/>
        <v>Direkte lønn 1</v>
      </c>
      <c r="C62" s="71">
        <v>22000</v>
      </c>
      <c r="D62" s="114">
        <v>1600</v>
      </c>
      <c r="F62" s="118"/>
      <c r="H62" s="118"/>
    </row>
    <row r="63" spans="1:9" x14ac:dyDescent="0.3">
      <c r="B63" s="115" t="str">
        <f t="shared" si="4"/>
        <v>Direkte lønn 2</v>
      </c>
      <c r="C63" s="71">
        <v>20000</v>
      </c>
      <c r="D63" s="114">
        <v>1300</v>
      </c>
      <c r="F63" s="118"/>
      <c r="H63" s="118"/>
    </row>
    <row r="64" spans="1:9" ht="14.5" x14ac:dyDescent="0.35">
      <c r="B64" s="247" t="str">
        <f t="shared" si="4"/>
        <v>Indir. var. tilvirkningskostnader</v>
      </c>
      <c r="C64" s="71"/>
      <c r="D64" s="114"/>
      <c r="F64" s="118"/>
      <c r="H64" s="118"/>
    </row>
    <row r="65" spans="2:9" x14ac:dyDescent="0.3">
      <c r="B65" s="115" t="str">
        <f t="shared" si="4"/>
        <v>Materialforvaltning</v>
      </c>
      <c r="C65" s="71">
        <f>C61*'4.16'!E17</f>
        <v>1500</v>
      </c>
      <c r="D65" s="114">
        <f>D61*'4.16'!E17</f>
        <v>100</v>
      </c>
      <c r="F65" s="118"/>
      <c r="H65" s="118"/>
    </row>
    <row r="66" spans="2:9" x14ac:dyDescent="0.3">
      <c r="B66" s="115" t="str">
        <f t="shared" si="4"/>
        <v xml:space="preserve">Tilvirkningsavdeling 1 </v>
      </c>
      <c r="C66" s="71">
        <f>C62*'4.16'!E18</f>
        <v>4400</v>
      </c>
      <c r="D66" s="114">
        <f>D62*'4.16'!E18</f>
        <v>320</v>
      </c>
      <c r="F66" s="118"/>
      <c r="H66" s="118"/>
    </row>
    <row r="67" spans="2:9" x14ac:dyDescent="0.3">
      <c r="B67" s="115" t="str">
        <f t="shared" si="4"/>
        <v>Tilvirkningsavdeling 2</v>
      </c>
      <c r="C67" s="71">
        <f>C63*'4.16'!E19</f>
        <v>11000</v>
      </c>
      <c r="D67" s="114">
        <f>D63*'4.16'!E19</f>
        <v>715.00000000000011</v>
      </c>
      <c r="E67" s="118"/>
      <c r="F67" s="118"/>
      <c r="G67" s="118"/>
      <c r="H67" s="118"/>
      <c r="I67" s="118"/>
    </row>
    <row r="68" spans="2:9" x14ac:dyDescent="0.3">
      <c r="B68" s="123" t="str">
        <f>B86</f>
        <v>Kalk.tilv.merkost solgte varer</v>
      </c>
      <c r="C68" s="116">
        <f>SUM(C61:C67)</f>
        <v>88900</v>
      </c>
      <c r="D68" s="116">
        <f>SUM(D61:D67)</f>
        <v>6035</v>
      </c>
      <c r="E68" s="118"/>
      <c r="F68" s="118"/>
      <c r="G68" s="118"/>
      <c r="H68" s="118"/>
      <c r="I68" s="118"/>
    </row>
    <row r="70" spans="2:9" x14ac:dyDescent="0.3">
      <c r="B70" s="110" t="s">
        <v>171</v>
      </c>
      <c r="C70" s="68"/>
      <c r="D70" s="68"/>
      <c r="E70" s="68"/>
      <c r="F70" s="68"/>
      <c r="G70" s="68"/>
      <c r="H70" s="68"/>
      <c r="I70" s="68"/>
    </row>
    <row r="71" spans="2:9" x14ac:dyDescent="0.3">
      <c r="B71" s="113"/>
      <c r="C71" s="361" t="s">
        <v>76</v>
      </c>
      <c r="D71" s="361"/>
      <c r="E71" s="361"/>
      <c r="F71" s="361"/>
      <c r="G71" s="361"/>
      <c r="H71" s="73" t="s">
        <v>189</v>
      </c>
      <c r="I71" s="73" t="s">
        <v>190</v>
      </c>
    </row>
    <row r="72" spans="2:9" x14ac:dyDescent="0.3">
      <c r="B72" s="74"/>
      <c r="C72" s="185">
        <f>C35</f>
        <v>101</v>
      </c>
      <c r="D72" s="185">
        <f t="shared" ref="D72:F72" si="5">D35</f>
        <v>102</v>
      </c>
      <c r="E72" s="185">
        <f t="shared" si="5"/>
        <v>103</v>
      </c>
      <c r="F72" s="185">
        <f t="shared" si="5"/>
        <v>104</v>
      </c>
      <c r="G72" s="185" t="s">
        <v>168</v>
      </c>
      <c r="H72" s="72" t="s">
        <v>191</v>
      </c>
      <c r="I72" s="72" t="s">
        <v>192</v>
      </c>
    </row>
    <row r="73" spans="2:9" x14ac:dyDescent="0.3">
      <c r="B73" s="74" t="s">
        <v>196</v>
      </c>
      <c r="C73" s="72">
        <f>C36</f>
        <v>150000</v>
      </c>
      <c r="D73" s="72">
        <f t="shared" ref="D73:H73" si="6">D36</f>
        <v>290000</v>
      </c>
      <c r="E73" s="72">
        <f t="shared" si="6"/>
        <v>130000</v>
      </c>
      <c r="F73" s="72">
        <f t="shared" si="6"/>
        <v>0</v>
      </c>
      <c r="G73" s="72">
        <f t="shared" si="6"/>
        <v>570000</v>
      </c>
      <c r="H73" s="72">
        <f t="shared" si="6"/>
        <v>570000</v>
      </c>
      <c r="I73" s="114"/>
    </row>
    <row r="74" spans="2:9" x14ac:dyDescent="0.3">
      <c r="B74" s="168"/>
      <c r="C74" s="169"/>
      <c r="D74" s="169"/>
      <c r="E74" s="169"/>
      <c r="F74" s="169"/>
      <c r="G74" s="169"/>
      <c r="H74" s="114"/>
      <c r="I74" s="114"/>
    </row>
    <row r="75" spans="2:9" x14ac:dyDescent="0.3">
      <c r="B75" s="168" t="s">
        <v>174</v>
      </c>
      <c r="C75" s="114">
        <f>'4.16'!C38</f>
        <v>0</v>
      </c>
      <c r="D75" s="114">
        <f>'4.16'!D38</f>
        <v>70000</v>
      </c>
      <c r="E75" s="114">
        <f>'4.16'!E38</f>
        <v>45000</v>
      </c>
      <c r="F75" s="114">
        <f>'4.16'!F38</f>
        <v>20000</v>
      </c>
      <c r="G75" s="114">
        <f>SUM(C75:F75)</f>
        <v>135000</v>
      </c>
      <c r="H75" s="114">
        <f>G75</f>
        <v>135000</v>
      </c>
      <c r="I75" s="114"/>
    </row>
    <row r="76" spans="2:9" x14ac:dyDescent="0.3">
      <c r="B76" s="168" t="s">
        <v>180</v>
      </c>
      <c r="C76" s="114">
        <f>'4.16'!C39</f>
        <v>0</v>
      </c>
      <c r="D76" s="114">
        <f>'4.16'!D39</f>
        <v>60000</v>
      </c>
      <c r="E76" s="114">
        <f>'4.16'!E39</f>
        <v>25000</v>
      </c>
      <c r="F76" s="114">
        <f>'4.16'!F39</f>
        <v>11000</v>
      </c>
      <c r="G76" s="114">
        <f>SUM(C76:F76)</f>
        <v>96000</v>
      </c>
      <c r="H76" s="114">
        <f>G76</f>
        <v>96000</v>
      </c>
      <c r="I76" s="114"/>
    </row>
    <row r="77" spans="2:9" x14ac:dyDescent="0.3">
      <c r="B77" s="115" t="s">
        <v>179</v>
      </c>
      <c r="C77" s="114">
        <f>'4.16'!C40</f>
        <v>0</v>
      </c>
      <c r="D77" s="114">
        <f>'4.16'!D40</f>
        <v>55000</v>
      </c>
      <c r="E77" s="114">
        <f>'4.16'!E40</f>
        <v>18000</v>
      </c>
      <c r="F77" s="114">
        <f>'4.16'!F40</f>
        <v>8000</v>
      </c>
      <c r="G77" s="114">
        <f>SUM(C77:F77)</f>
        <v>81000</v>
      </c>
      <c r="H77" s="114">
        <f>G77</f>
        <v>81000</v>
      </c>
      <c r="I77" s="114"/>
    </row>
    <row r="78" spans="2:9" ht="14.5" x14ac:dyDescent="0.35">
      <c r="B78" s="111" t="s">
        <v>79</v>
      </c>
      <c r="C78" s="114"/>
      <c r="D78" s="114"/>
      <c r="E78" s="114"/>
      <c r="F78" s="114"/>
      <c r="G78" s="114"/>
      <c r="H78" s="114"/>
      <c r="I78" s="114"/>
    </row>
    <row r="79" spans="2:9" x14ac:dyDescent="0.3">
      <c r="B79" s="168" t="str">
        <f>B42</f>
        <v>Materialforvaltning</v>
      </c>
      <c r="C79" s="114">
        <f>C75*'4.16'!$E$17</f>
        <v>0</v>
      </c>
      <c r="D79" s="114">
        <f>D75*'4.16'!$E$17</f>
        <v>3500</v>
      </c>
      <c r="E79" s="114">
        <f>E75*'4.16'!$E$17</f>
        <v>2250</v>
      </c>
      <c r="F79" s="114">
        <f>F75*'4.16'!$E$17</f>
        <v>1000</v>
      </c>
      <c r="G79" s="114">
        <f t="shared" ref="G79:G86" si="7">SUM(C79:F79)</f>
        <v>6750</v>
      </c>
      <c r="H79" s="114">
        <v>8000</v>
      </c>
      <c r="I79" s="114">
        <f>G79-H79</f>
        <v>-1250</v>
      </c>
    </row>
    <row r="80" spans="2:9" x14ac:dyDescent="0.3">
      <c r="B80" s="168" t="str">
        <f>B43</f>
        <v xml:space="preserve">Tilvirkningsavdeling 1 </v>
      </c>
      <c r="C80" s="71">
        <f>C76*'4.16'!$E$18</f>
        <v>0</v>
      </c>
      <c r="D80" s="71">
        <f>D76*'4.16'!$E$18</f>
        <v>12000</v>
      </c>
      <c r="E80" s="71">
        <f>E76*'4.16'!$E$18</f>
        <v>5000</v>
      </c>
      <c r="F80" s="71">
        <f>F76*'4.16'!$E$18</f>
        <v>2200</v>
      </c>
      <c r="G80" s="114">
        <f t="shared" si="7"/>
        <v>19200</v>
      </c>
      <c r="H80" s="114">
        <v>20000</v>
      </c>
      <c r="I80" s="114">
        <f>G80-H80</f>
        <v>-800</v>
      </c>
    </row>
    <row r="81" spans="2:9" x14ac:dyDescent="0.3">
      <c r="B81" s="74" t="str">
        <f>B44</f>
        <v>Tilvirkningsavdeling 2</v>
      </c>
      <c r="C81" s="72">
        <f>C77*'4.16'!$E$19</f>
        <v>0</v>
      </c>
      <c r="D81" s="72">
        <f>D77*'4.16'!$E$19</f>
        <v>30250.000000000004</v>
      </c>
      <c r="E81" s="72">
        <f>E77*'4.16'!$E$19</f>
        <v>9900</v>
      </c>
      <c r="F81" s="72">
        <f>F77*'4.16'!$E$19</f>
        <v>4400</v>
      </c>
      <c r="G81" s="72">
        <f t="shared" si="7"/>
        <v>44550</v>
      </c>
      <c r="H81" s="114">
        <v>40000</v>
      </c>
      <c r="I81" s="114">
        <f>G81-H81</f>
        <v>4550</v>
      </c>
    </row>
    <row r="82" spans="2:9" x14ac:dyDescent="0.3">
      <c r="B82" s="168" t="s">
        <v>172</v>
      </c>
      <c r="C82" s="114">
        <f>SUM(C75:C81)</f>
        <v>0</v>
      </c>
      <c r="D82" s="114">
        <f>SUM(D75:D81)</f>
        <v>230750</v>
      </c>
      <c r="E82" s="114">
        <f>SUM(E75:E81)</f>
        <v>105150</v>
      </c>
      <c r="F82" s="114">
        <f>SUM(F75:F81)</f>
        <v>46600</v>
      </c>
      <c r="G82" s="114">
        <f t="shared" si="7"/>
        <v>382500</v>
      </c>
      <c r="H82" s="114"/>
      <c r="I82" s="114"/>
    </row>
    <row r="83" spans="2:9" x14ac:dyDescent="0.3">
      <c r="B83" s="74" t="s">
        <v>193</v>
      </c>
      <c r="C83" s="72">
        <v>0</v>
      </c>
      <c r="D83" s="72">
        <f>D68</f>
        <v>6035</v>
      </c>
      <c r="E83" s="72"/>
      <c r="F83" s="72"/>
      <c r="G83" s="72">
        <f t="shared" si="7"/>
        <v>6035</v>
      </c>
      <c r="H83" s="114">
        <f>G83</f>
        <v>6035</v>
      </c>
      <c r="I83" s="114"/>
    </row>
    <row r="84" spans="2:9" x14ac:dyDescent="0.3">
      <c r="B84" s="168" t="s">
        <v>80</v>
      </c>
      <c r="C84" s="114">
        <f>SUM(C82:C83)</f>
        <v>0</v>
      </c>
      <c r="D84" s="114">
        <f>SUM(D82:D83)</f>
        <v>236785</v>
      </c>
      <c r="E84" s="114">
        <f>SUM(E82:E83)</f>
        <v>105150</v>
      </c>
      <c r="F84" s="114">
        <f>SUM(F82:F83)</f>
        <v>46600</v>
      </c>
      <c r="G84" s="114">
        <f t="shared" si="7"/>
        <v>388535</v>
      </c>
      <c r="H84" s="114"/>
      <c r="I84" s="114"/>
    </row>
    <row r="85" spans="2:9" x14ac:dyDescent="0.3">
      <c r="B85" s="74" t="s">
        <v>194</v>
      </c>
      <c r="C85" s="72">
        <f>C68</f>
        <v>88900</v>
      </c>
      <c r="D85" s="72"/>
      <c r="E85" s="72"/>
      <c r="F85" s="72">
        <f>-F84</f>
        <v>-46600</v>
      </c>
      <c r="G85" s="72">
        <f t="shared" si="7"/>
        <v>42300</v>
      </c>
      <c r="H85" s="114">
        <f>G85</f>
        <v>42300</v>
      </c>
      <c r="I85" s="114"/>
    </row>
    <row r="86" spans="2:9" x14ac:dyDescent="0.3">
      <c r="B86" s="168" t="s">
        <v>81</v>
      </c>
      <c r="C86" s="114">
        <f>SUM(C84:C85)</f>
        <v>88900</v>
      </c>
      <c r="D86" s="114">
        <f>SUM(D84:D85)</f>
        <v>236785</v>
      </c>
      <c r="E86" s="114">
        <f>SUM(E84:E85)</f>
        <v>105150</v>
      </c>
      <c r="F86" s="114">
        <f>SUM(F84:F85)</f>
        <v>0</v>
      </c>
      <c r="G86" s="114">
        <f t="shared" si="7"/>
        <v>430835</v>
      </c>
      <c r="H86" s="114"/>
      <c r="I86" s="114"/>
    </row>
    <row r="87" spans="2:9" x14ac:dyDescent="0.3">
      <c r="B87" s="74" t="str">
        <f>B50</f>
        <v>Salgs- og adm.avdeling</v>
      </c>
      <c r="C87" s="72"/>
      <c r="D87" s="72"/>
      <c r="E87" s="72"/>
      <c r="F87" s="72"/>
      <c r="G87" s="72"/>
      <c r="H87" s="114"/>
      <c r="I87" s="114"/>
    </row>
    <row r="88" spans="2:9" x14ac:dyDescent="0.3">
      <c r="B88" s="168" t="s">
        <v>82</v>
      </c>
      <c r="C88" s="114">
        <f>SUM(C86:C87)</f>
        <v>88900</v>
      </c>
      <c r="D88" s="114">
        <f>SUM(D86:D87)</f>
        <v>236785</v>
      </c>
      <c r="E88" s="114">
        <f>SUM(E86:E87)</f>
        <v>105150</v>
      </c>
      <c r="F88" s="114">
        <f>SUM(F86:F87)</f>
        <v>0</v>
      </c>
      <c r="G88" s="114">
        <f>SUM(C88:F88)</f>
        <v>430835</v>
      </c>
      <c r="H88" s="114"/>
      <c r="I88" s="114"/>
    </row>
    <row r="89" spans="2:9" x14ac:dyDescent="0.3">
      <c r="B89" s="74"/>
      <c r="C89" s="72"/>
      <c r="D89" s="72"/>
      <c r="E89" s="72"/>
      <c r="F89" s="72"/>
      <c r="G89" s="72"/>
      <c r="H89" s="114"/>
      <c r="I89" s="114"/>
    </row>
    <row r="90" spans="2:9" x14ac:dyDescent="0.3">
      <c r="B90" s="168" t="s">
        <v>97</v>
      </c>
      <c r="C90" s="114">
        <f>C73-C88</f>
        <v>61100</v>
      </c>
      <c r="D90" s="114">
        <f t="shared" ref="D90:G90" si="8">D73-D88</f>
        <v>53215</v>
      </c>
      <c r="E90" s="114">
        <f t="shared" si="8"/>
        <v>24850</v>
      </c>
      <c r="F90" s="114">
        <f t="shared" si="8"/>
        <v>0</v>
      </c>
      <c r="G90" s="114">
        <f t="shared" si="8"/>
        <v>139165</v>
      </c>
      <c r="H90" s="114"/>
      <c r="I90" s="114"/>
    </row>
    <row r="91" spans="2:9" x14ac:dyDescent="0.3">
      <c r="B91" s="168" t="s">
        <v>198</v>
      </c>
      <c r="C91" s="114"/>
      <c r="D91" s="114"/>
      <c r="E91" s="114"/>
      <c r="F91" s="114"/>
      <c r="G91" s="72">
        <f>I91</f>
        <v>2500</v>
      </c>
      <c r="H91" s="114"/>
      <c r="I91" s="116">
        <f>SUM(I79:I90)</f>
        <v>2500</v>
      </c>
    </row>
    <row r="92" spans="2:9" x14ac:dyDescent="0.3">
      <c r="B92" s="168" t="s">
        <v>98</v>
      </c>
      <c r="C92" s="72"/>
      <c r="D92" s="72"/>
      <c r="E92" s="72"/>
      <c r="F92" s="337"/>
      <c r="G92" s="73">
        <f>SUM(G90:G91)</f>
        <v>141665</v>
      </c>
      <c r="H92" s="69">
        <f>H73-SUM(H75:H88)</f>
        <v>141665</v>
      </c>
      <c r="I92" s="116"/>
    </row>
    <row r="93" spans="2:9" ht="14.5" x14ac:dyDescent="0.35">
      <c r="B93" s="241" t="s">
        <v>83</v>
      </c>
      <c r="G93" s="227"/>
      <c r="H93" s="69"/>
      <c r="I93" s="116" t="s">
        <v>251</v>
      </c>
    </row>
    <row r="94" spans="2:9" x14ac:dyDescent="0.3">
      <c r="B94" s="168" t="s">
        <v>176</v>
      </c>
      <c r="G94" s="114">
        <f>D10/12</f>
        <v>13333.333333333334</v>
      </c>
      <c r="H94" s="71">
        <v>12000</v>
      </c>
      <c r="I94" s="73">
        <f>G94-H94</f>
        <v>1333.3333333333339</v>
      </c>
    </row>
    <row r="95" spans="2:9" x14ac:dyDescent="0.3">
      <c r="B95" s="168" t="s">
        <v>84</v>
      </c>
      <c r="G95" s="114">
        <f t="shared" ref="G95:G96" si="9">D11/12</f>
        <v>22500</v>
      </c>
      <c r="H95" s="71">
        <v>30000</v>
      </c>
      <c r="I95" s="114">
        <f t="shared" ref="I95:I97" si="10">G95-H95</f>
        <v>-7500</v>
      </c>
    </row>
    <row r="96" spans="2:9" x14ac:dyDescent="0.3">
      <c r="B96" s="168" t="s">
        <v>85</v>
      </c>
      <c r="G96" s="114">
        <f t="shared" si="9"/>
        <v>36666.666666666664</v>
      </c>
      <c r="H96" s="71">
        <v>55000</v>
      </c>
      <c r="I96" s="114">
        <f t="shared" si="10"/>
        <v>-18333.333333333336</v>
      </c>
    </row>
    <row r="97" spans="2:9" x14ac:dyDescent="0.3">
      <c r="B97" s="168" t="s">
        <v>86</v>
      </c>
      <c r="G97" s="114">
        <f>D14/12</f>
        <v>39916.666666666664</v>
      </c>
      <c r="H97" s="71">
        <v>50000</v>
      </c>
      <c r="I97" s="114">
        <f t="shared" si="10"/>
        <v>-10083.333333333336</v>
      </c>
    </row>
    <row r="98" spans="2:9" x14ac:dyDescent="0.3">
      <c r="B98" s="168" t="s">
        <v>252</v>
      </c>
      <c r="G98" s="72">
        <f>I98</f>
        <v>-34583.333333333336</v>
      </c>
      <c r="H98" s="71"/>
      <c r="I98" s="72">
        <f>SUM(I94:I97)</f>
        <v>-34583.333333333336</v>
      </c>
    </row>
    <row r="99" spans="2:9" ht="14.5" thickBot="1" x14ac:dyDescent="0.35">
      <c r="B99" s="242" t="s">
        <v>144</v>
      </c>
      <c r="C99" s="242"/>
      <c r="D99" s="243"/>
      <c r="E99" s="243"/>
      <c r="F99" s="243"/>
      <c r="G99" s="338">
        <f>G92-G94-G95-G96-G97+G98</f>
        <v>-5335</v>
      </c>
      <c r="H99" s="338">
        <f>H92-SUM(H94:H97)</f>
        <v>-5335</v>
      </c>
      <c r="I99" s="71"/>
    </row>
    <row r="100" spans="2:9" ht="14.5" thickTop="1" x14ac:dyDescent="0.3">
      <c r="B100" s="244"/>
      <c r="C100" s="244"/>
      <c r="D100" s="244"/>
      <c r="E100" s="244"/>
      <c r="F100" s="244"/>
      <c r="G100" s="244"/>
      <c r="H100" s="69"/>
    </row>
    <row r="101" spans="2:9" x14ac:dyDescent="0.3">
      <c r="B101" s="110" t="s">
        <v>245</v>
      </c>
      <c r="C101" s="244"/>
      <c r="D101" s="244"/>
      <c r="E101" s="244"/>
      <c r="F101" s="244"/>
      <c r="G101" s="244"/>
      <c r="H101" s="69"/>
    </row>
    <row r="102" spans="2:9" x14ac:dyDescent="0.3">
      <c r="B102" s="110"/>
      <c r="C102" s="244"/>
      <c r="D102" s="244"/>
      <c r="E102" s="244"/>
      <c r="F102" s="244"/>
      <c r="G102" s="244"/>
      <c r="H102" s="69"/>
    </row>
    <row r="103" spans="2:9" x14ac:dyDescent="0.3">
      <c r="B103" s="118" t="s">
        <v>386</v>
      </c>
      <c r="C103" s="244"/>
      <c r="D103" s="244"/>
      <c r="E103" s="244"/>
      <c r="F103" s="244"/>
      <c r="G103" s="244"/>
      <c r="H103" s="69"/>
    </row>
    <row r="104" spans="2:9" x14ac:dyDescent="0.3">
      <c r="C104" s="244"/>
      <c r="D104" s="244"/>
      <c r="E104" s="244"/>
      <c r="F104" s="244"/>
      <c r="G104" s="244"/>
      <c r="H104" s="69"/>
    </row>
    <row r="105" spans="2:9" x14ac:dyDescent="0.3">
      <c r="B105" s="118" t="s">
        <v>87</v>
      </c>
      <c r="E105" s="68">
        <f>'4.16'!H55</f>
        <v>-17630</v>
      </c>
    </row>
    <row r="106" spans="2:9" x14ac:dyDescent="0.3">
      <c r="B106" s="118" t="s">
        <v>88</v>
      </c>
      <c r="E106" s="68">
        <f>H99</f>
        <v>-5335</v>
      </c>
    </row>
    <row r="107" spans="2:9" ht="14.5" thickBot="1" x14ac:dyDescent="0.35">
      <c r="B107" s="120" t="s">
        <v>89</v>
      </c>
      <c r="C107" s="245"/>
      <c r="D107" s="245"/>
      <c r="E107" s="246">
        <f>E105-E106</f>
        <v>-12295</v>
      </c>
    </row>
    <row r="108" spans="2:9" ht="14.5" thickTop="1" x14ac:dyDescent="0.3">
      <c r="B108" s="118"/>
    </row>
    <row r="109" spans="2:9" x14ac:dyDescent="0.3">
      <c r="B109" s="121" t="s">
        <v>90</v>
      </c>
    </row>
    <row r="110" spans="2:9" x14ac:dyDescent="0.3">
      <c r="B110" s="118" t="s">
        <v>91</v>
      </c>
      <c r="E110" s="68">
        <f>G83+G85</f>
        <v>48335</v>
      </c>
    </row>
    <row r="111" spans="2:9" x14ac:dyDescent="0.3">
      <c r="B111" s="118" t="s">
        <v>92</v>
      </c>
      <c r="E111" s="68">
        <f>'4.16'!G46+'4.16'!H48</f>
        <v>60630</v>
      </c>
    </row>
    <row r="112" spans="2:9" ht="14.5" thickBot="1" x14ac:dyDescent="0.35">
      <c r="B112" s="122" t="s">
        <v>93</v>
      </c>
      <c r="C112" s="245"/>
      <c r="D112" s="245"/>
      <c r="E112" s="246">
        <f>E110-E111</f>
        <v>-12295</v>
      </c>
    </row>
    <row r="113" ht="14.5" thickTop="1" x14ac:dyDescent="0.3"/>
  </sheetData>
  <mergeCells count="2">
    <mergeCell ref="C34:G34"/>
    <mergeCell ref="C71:G7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>
    <oddHeader>&amp;A&amp;RSide &amp;P</oddHeader>
    <oddFooter>&amp;CLøsninger kapittel 4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A2E3C-3439-4B23-A926-1A55965BDFCD}">
  <sheetPr published="0">
    <pageSetUpPr fitToPage="1"/>
  </sheetPr>
  <dimension ref="A1:J50"/>
  <sheetViews>
    <sheetView workbookViewId="0">
      <selection activeCell="B54" sqref="B54"/>
    </sheetView>
  </sheetViews>
  <sheetFormatPr baseColWidth="10" defaultColWidth="11.453125" defaultRowHeight="15.5" x14ac:dyDescent="0.35"/>
  <cols>
    <col min="1" max="1" width="4.1796875" style="11" customWidth="1"/>
    <col min="2" max="2" width="39.1796875" style="11" customWidth="1"/>
    <col min="3" max="3" width="13.26953125" style="11" customWidth="1"/>
    <col min="4" max="4" width="14" style="13" customWidth="1"/>
    <col min="5" max="5" width="12.7265625" style="13" bestFit="1" customWidth="1"/>
    <col min="6" max="10" width="11.453125" style="13"/>
    <col min="11" max="16384" width="11.453125" style="11"/>
  </cols>
  <sheetData>
    <row r="1" spans="1:6" x14ac:dyDescent="0.35">
      <c r="A1" s="10" t="s">
        <v>296</v>
      </c>
      <c r="B1" s="4"/>
      <c r="C1" s="4"/>
    </row>
    <row r="3" spans="1:6" x14ac:dyDescent="0.35">
      <c r="B3" s="4" t="s">
        <v>187</v>
      </c>
      <c r="C3" s="4"/>
    </row>
    <row r="5" spans="1:6" x14ac:dyDescent="0.35">
      <c r="B5" s="30" t="s">
        <v>200</v>
      </c>
      <c r="C5" s="102"/>
    </row>
    <row r="6" spans="1:6" x14ac:dyDescent="0.35">
      <c r="B6" s="11" t="str">
        <f>B26</f>
        <v>Direkte materialer</v>
      </c>
      <c r="C6" s="13">
        <v>2000000</v>
      </c>
    </row>
    <row r="7" spans="1:6" x14ac:dyDescent="0.35">
      <c r="B7" s="11" t="str">
        <f>B27</f>
        <v xml:space="preserve">Direkte lønn </v>
      </c>
      <c r="C7" s="13">
        <v>5000000</v>
      </c>
    </row>
    <row r="8" spans="1:6" x14ac:dyDescent="0.35">
      <c r="B8" s="12" t="str">
        <f>B28</f>
        <v>Indirekte variable tilvirkn.kostnader:</v>
      </c>
      <c r="C8" s="13"/>
    </row>
    <row r="9" spans="1:6" x14ac:dyDescent="0.35">
      <c r="B9" s="11" t="str">
        <f>B29</f>
        <v>Materialavdelingen</v>
      </c>
      <c r="C9" s="13">
        <v>150000</v>
      </c>
    </row>
    <row r="10" spans="1:6" x14ac:dyDescent="0.35">
      <c r="B10" s="31" t="str">
        <f>B30</f>
        <v xml:space="preserve">Tilvirkningsavdelingen </v>
      </c>
      <c r="C10" s="32">
        <v>400000</v>
      </c>
    </row>
    <row r="11" spans="1:6" x14ac:dyDescent="0.35">
      <c r="B11" s="1" t="s">
        <v>126</v>
      </c>
      <c r="C11" s="13">
        <f>SUM(C6:C10)</f>
        <v>7550000</v>
      </c>
    </row>
    <row r="12" spans="1:6" x14ac:dyDescent="0.35">
      <c r="B12" s="11" t="str">
        <f>B32</f>
        <v>Administrasjonsavdelingen</v>
      </c>
      <c r="C12" s="13">
        <v>1132500</v>
      </c>
    </row>
    <row r="13" spans="1:6" x14ac:dyDescent="0.35">
      <c r="B13" s="208" t="s">
        <v>82</v>
      </c>
      <c r="C13" s="34">
        <f>SUM(C11:C12)</f>
        <v>8682500</v>
      </c>
    </row>
    <row r="14" spans="1:6" x14ac:dyDescent="0.35">
      <c r="C14" s="13"/>
    </row>
    <row r="15" spans="1:6" x14ac:dyDescent="0.35">
      <c r="A15" s="11" t="s">
        <v>183</v>
      </c>
      <c r="B15" s="257" t="s">
        <v>207</v>
      </c>
      <c r="C15" s="263" t="s">
        <v>170</v>
      </c>
      <c r="E15" s="165"/>
      <c r="F15" s="165"/>
    </row>
    <row r="16" spans="1:6" x14ac:dyDescent="0.35">
      <c r="B16" s="83" t="str">
        <f>B9</f>
        <v>Materialavdelingen</v>
      </c>
      <c r="C16" s="84">
        <f>C9/C6</f>
        <v>7.4999999999999997E-2</v>
      </c>
      <c r="E16" s="84"/>
      <c r="F16" s="84"/>
    </row>
    <row r="17" spans="1:6" x14ac:dyDescent="0.35">
      <c r="B17" s="83" t="str">
        <f>B10</f>
        <v xml:space="preserve">Tilvirkningsavdelingen </v>
      </c>
      <c r="C17" s="84">
        <f>C10/C7</f>
        <v>0.08</v>
      </c>
      <c r="E17" s="84"/>
      <c r="F17" s="84"/>
    </row>
    <row r="18" spans="1:6" x14ac:dyDescent="0.35">
      <c r="B18" s="18" t="str">
        <f>B12</f>
        <v>Administrasjonsavdelingen</v>
      </c>
      <c r="C18" s="262">
        <f>C12/C11</f>
        <v>0.15</v>
      </c>
      <c r="E18" s="84"/>
      <c r="F18" s="84"/>
    </row>
    <row r="19" spans="1:6" x14ac:dyDescent="0.35">
      <c r="B19" s="36"/>
      <c r="C19" s="36"/>
      <c r="D19" s="84"/>
      <c r="E19" s="84"/>
      <c r="F19" s="84"/>
    </row>
    <row r="21" spans="1:6" x14ac:dyDescent="0.35">
      <c r="A21" s="1" t="s">
        <v>184</v>
      </c>
      <c r="B21" s="30" t="s">
        <v>171</v>
      </c>
      <c r="C21" s="30"/>
    </row>
    <row r="22" spans="1:6" x14ac:dyDescent="0.35">
      <c r="B22" s="14"/>
      <c r="C22" s="266"/>
      <c r="D22" s="270" t="s">
        <v>147</v>
      </c>
      <c r="E22" s="252" t="s">
        <v>189</v>
      </c>
      <c r="F22" s="254" t="s">
        <v>190</v>
      </c>
    </row>
    <row r="23" spans="1:6" x14ac:dyDescent="0.35">
      <c r="B23" s="18"/>
      <c r="C23" s="267"/>
      <c r="D23" s="265" t="s">
        <v>191</v>
      </c>
      <c r="E23" s="253" t="s">
        <v>191</v>
      </c>
      <c r="F23" s="259" t="s">
        <v>192</v>
      </c>
    </row>
    <row r="24" spans="1:6" x14ac:dyDescent="0.35">
      <c r="B24" s="81" t="s">
        <v>196</v>
      </c>
      <c r="C24" s="33"/>
      <c r="D24" s="27">
        <v>12000000</v>
      </c>
      <c r="E24" s="34">
        <f>D24</f>
        <v>12000000</v>
      </c>
      <c r="F24" s="17"/>
    </row>
    <row r="25" spans="1:6" x14ac:dyDescent="0.35">
      <c r="B25" s="83"/>
      <c r="C25" s="36"/>
      <c r="D25" s="162"/>
      <c r="E25" s="37"/>
      <c r="F25" s="23"/>
    </row>
    <row r="26" spans="1:6" x14ac:dyDescent="0.35">
      <c r="B26" s="83" t="s">
        <v>174</v>
      </c>
      <c r="C26" s="36"/>
      <c r="D26" s="23">
        <v>2200000</v>
      </c>
      <c r="E26" s="37">
        <f>D26</f>
        <v>2200000</v>
      </c>
      <c r="F26" s="23"/>
    </row>
    <row r="27" spans="1:6" x14ac:dyDescent="0.35">
      <c r="B27" s="26" t="s">
        <v>201</v>
      </c>
      <c r="C27" s="39"/>
      <c r="D27" s="23">
        <v>4800000</v>
      </c>
      <c r="E27" s="37">
        <f>D27</f>
        <v>4800000</v>
      </c>
      <c r="F27" s="23"/>
    </row>
    <row r="28" spans="1:6" x14ac:dyDescent="0.35">
      <c r="B28" s="261" t="s">
        <v>108</v>
      </c>
      <c r="C28" s="258"/>
      <c r="D28" s="23"/>
      <c r="E28" s="37"/>
      <c r="F28" s="23"/>
    </row>
    <row r="29" spans="1:6" x14ac:dyDescent="0.35">
      <c r="B29" s="83" t="s">
        <v>176</v>
      </c>
      <c r="C29" s="264">
        <f>C16</f>
        <v>7.4999999999999997E-2</v>
      </c>
      <c r="D29" s="23">
        <f>D26*C29</f>
        <v>165000</v>
      </c>
      <c r="E29" s="37">
        <v>188700</v>
      </c>
      <c r="F29" s="23">
        <f>D29-E29</f>
        <v>-23700</v>
      </c>
    </row>
    <row r="30" spans="1:6" x14ac:dyDescent="0.35">
      <c r="B30" s="103" t="s">
        <v>202</v>
      </c>
      <c r="C30" s="268">
        <f>C17</f>
        <v>0.08</v>
      </c>
      <c r="D30" s="21">
        <f>D27*C30</f>
        <v>384000</v>
      </c>
      <c r="E30" s="37">
        <v>369500</v>
      </c>
      <c r="F30" s="23">
        <f>D30-E30</f>
        <v>14500</v>
      </c>
    </row>
    <row r="31" spans="1:6" x14ac:dyDescent="0.35">
      <c r="B31" s="26" t="s">
        <v>95</v>
      </c>
      <c r="C31" s="39"/>
      <c r="D31" s="23">
        <f>SUM(D26:D30)</f>
        <v>7549000</v>
      </c>
      <c r="E31" s="37"/>
      <c r="F31" s="23"/>
    </row>
    <row r="32" spans="1:6" x14ac:dyDescent="0.35">
      <c r="B32" s="18" t="s">
        <v>10</v>
      </c>
      <c r="C32" s="268">
        <f>C18</f>
        <v>0.15</v>
      </c>
      <c r="D32" s="21">
        <f>D31*C32</f>
        <v>1132350</v>
      </c>
      <c r="E32" s="37">
        <v>1420300</v>
      </c>
      <c r="F32" s="23">
        <f>D32-E32</f>
        <v>-287950</v>
      </c>
    </row>
    <row r="33" spans="1:6" x14ac:dyDescent="0.35">
      <c r="B33" s="83" t="s">
        <v>96</v>
      </c>
      <c r="C33" s="36"/>
      <c r="D33" s="23">
        <f>SUM(D31:D32)</f>
        <v>8681350</v>
      </c>
      <c r="E33" s="37"/>
      <c r="F33" s="23"/>
    </row>
    <row r="34" spans="1:6" x14ac:dyDescent="0.35">
      <c r="B34" s="83"/>
      <c r="C34" s="36"/>
      <c r="D34" s="23"/>
      <c r="E34" s="37"/>
      <c r="F34" s="23"/>
    </row>
    <row r="35" spans="1:6" x14ac:dyDescent="0.35">
      <c r="B35" s="83" t="s">
        <v>97</v>
      </c>
      <c r="C35" s="36"/>
      <c r="D35" s="23">
        <f>D24-D33</f>
        <v>3318650</v>
      </c>
      <c r="E35" s="37"/>
      <c r="F35" s="23"/>
    </row>
    <row r="36" spans="1:6" x14ac:dyDescent="0.35">
      <c r="B36" s="18" t="s">
        <v>198</v>
      </c>
      <c r="C36" s="31"/>
      <c r="D36" s="21">
        <f>F36</f>
        <v>-297150</v>
      </c>
      <c r="E36" s="37"/>
      <c r="F36" s="23">
        <f>SUM(F29:F32)</f>
        <v>-297150</v>
      </c>
    </row>
    <row r="37" spans="1:6" x14ac:dyDescent="0.35">
      <c r="B37" s="83" t="s">
        <v>98</v>
      </c>
      <c r="C37" s="36"/>
      <c r="D37" s="23">
        <f>SUM(D35:D36)</f>
        <v>3021500</v>
      </c>
      <c r="E37" s="37">
        <f>E24-SUM(E26:E32)</f>
        <v>3021500</v>
      </c>
      <c r="F37" s="23"/>
    </row>
    <row r="38" spans="1:6" x14ac:dyDescent="0.35">
      <c r="B38" s="58" t="s">
        <v>99</v>
      </c>
      <c r="C38" s="7"/>
      <c r="D38" s="23"/>
      <c r="E38" s="37"/>
      <c r="F38" s="255" t="s">
        <v>251</v>
      </c>
    </row>
    <row r="39" spans="1:6" x14ac:dyDescent="0.35">
      <c r="B39" s="83" t="s">
        <v>176</v>
      </c>
      <c r="C39" s="36"/>
      <c r="D39" s="23">
        <v>250000</v>
      </c>
      <c r="E39" s="37">
        <v>145900</v>
      </c>
      <c r="F39" s="23">
        <f>D39-E39</f>
        <v>104100</v>
      </c>
    </row>
    <row r="40" spans="1:6" x14ac:dyDescent="0.35">
      <c r="B40" s="83" t="s">
        <v>202</v>
      </c>
      <c r="C40" s="36"/>
      <c r="D40" s="23">
        <v>350000</v>
      </c>
      <c r="E40" s="37">
        <v>378500</v>
      </c>
      <c r="F40" s="23">
        <f t="shared" ref="F40:F41" si="0">D40-E40</f>
        <v>-28500</v>
      </c>
    </row>
    <row r="41" spans="1:6" x14ac:dyDescent="0.35">
      <c r="B41" s="83" t="s">
        <v>10</v>
      </c>
      <c r="C41" s="36"/>
      <c r="D41" s="23">
        <v>500000</v>
      </c>
      <c r="E41" s="37">
        <v>246500</v>
      </c>
      <c r="F41" s="23">
        <f t="shared" si="0"/>
        <v>253500</v>
      </c>
    </row>
    <row r="42" spans="1:6" x14ac:dyDescent="0.35">
      <c r="B42" s="51" t="s">
        <v>252</v>
      </c>
      <c r="C42" s="9"/>
      <c r="D42" s="21">
        <f>F42</f>
        <v>329100</v>
      </c>
      <c r="E42" s="32"/>
      <c r="F42" s="21">
        <f>SUM(F39:F41)</f>
        <v>329100</v>
      </c>
    </row>
    <row r="43" spans="1:6" x14ac:dyDescent="0.35">
      <c r="B43" s="31" t="s">
        <v>144</v>
      </c>
      <c r="C43" s="31"/>
      <c r="D43" s="21">
        <f>D37-SUM(D39:D41)+D42</f>
        <v>2250600</v>
      </c>
      <c r="E43" s="32">
        <f>E37-SUM(E39:E41)</f>
        <v>2250600</v>
      </c>
      <c r="F43" s="21"/>
    </row>
    <row r="45" spans="1:6" x14ac:dyDescent="0.35">
      <c r="A45" s="1" t="s">
        <v>102</v>
      </c>
      <c r="B45" s="1" t="s">
        <v>257</v>
      </c>
      <c r="C45" s="1"/>
    </row>
    <row r="46" spans="1:6" x14ac:dyDescent="0.35">
      <c r="B46" s="1" t="s">
        <v>260</v>
      </c>
      <c r="C46" s="1"/>
    </row>
    <row r="47" spans="1:6" x14ac:dyDescent="0.35">
      <c r="B47" s="1" t="s">
        <v>258</v>
      </c>
      <c r="C47" s="1"/>
    </row>
    <row r="48" spans="1:6" x14ac:dyDescent="0.35">
      <c r="B48" s="1" t="s">
        <v>259</v>
      </c>
      <c r="C48" s="1"/>
    </row>
    <row r="49" spans="2:3" x14ac:dyDescent="0.35">
      <c r="B49" s="1"/>
      <c r="C49" s="1"/>
    </row>
    <row r="50" spans="2:3" x14ac:dyDescent="0.35">
      <c r="B50" s="1"/>
      <c r="C50" s="1"/>
    </row>
  </sheetData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&amp;A&amp;RSide &amp;P</oddHeader>
    <oddFooter>&amp;CLøsninger kapittel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I47"/>
  <sheetViews>
    <sheetView workbookViewId="0">
      <selection activeCell="B53" sqref="B53"/>
    </sheetView>
  </sheetViews>
  <sheetFormatPr baseColWidth="10" defaultColWidth="11.453125" defaultRowHeight="15.5" x14ac:dyDescent="0.35"/>
  <cols>
    <col min="1" max="1" width="4.26953125" style="11" customWidth="1"/>
    <col min="2" max="2" width="35.26953125" style="11" bestFit="1" customWidth="1"/>
    <col min="3" max="4" width="12.7265625" style="13" bestFit="1" customWidth="1"/>
    <col min="5" max="9" width="11.453125" style="13"/>
    <col min="10" max="16384" width="11.453125" style="11"/>
  </cols>
  <sheetData>
    <row r="1" spans="1:5" x14ac:dyDescent="0.35">
      <c r="A1" s="10" t="s">
        <v>42</v>
      </c>
      <c r="B1" s="4"/>
      <c r="D1" s="248">
        <v>27062011</v>
      </c>
    </row>
    <row r="3" spans="1:5" x14ac:dyDescent="0.35">
      <c r="B3" s="4" t="s">
        <v>187</v>
      </c>
    </row>
    <row r="5" spans="1:5" x14ac:dyDescent="0.35">
      <c r="B5" s="30" t="s">
        <v>200</v>
      </c>
    </row>
    <row r="6" spans="1:5" x14ac:dyDescent="0.35">
      <c r="B6" s="11" t="str">
        <f>B28</f>
        <v>Direkte materialer</v>
      </c>
      <c r="C6" s="13">
        <v>1000000</v>
      </c>
    </row>
    <row r="7" spans="1:5" x14ac:dyDescent="0.35">
      <c r="B7" s="11" t="str">
        <f>B29</f>
        <v xml:space="preserve">Direkte lønn </v>
      </c>
      <c r="C7" s="13">
        <v>2000000</v>
      </c>
    </row>
    <row r="8" spans="1:5" x14ac:dyDescent="0.35">
      <c r="B8" s="12" t="str">
        <f>B30</f>
        <v>Indirekte tilvirkn.kostnader</v>
      </c>
      <c r="D8" s="256" t="s">
        <v>163</v>
      </c>
      <c r="E8" s="256" t="s">
        <v>161</v>
      </c>
    </row>
    <row r="9" spans="1:5" x14ac:dyDescent="0.35">
      <c r="B9" s="11" t="str">
        <f>B31</f>
        <v>Materialavdelingen variable</v>
      </c>
      <c r="C9" s="13">
        <v>100000</v>
      </c>
      <c r="D9" s="13">
        <v>20000</v>
      </c>
      <c r="E9" s="13">
        <v>80000</v>
      </c>
    </row>
    <row r="10" spans="1:5" x14ac:dyDescent="0.35">
      <c r="B10" s="31" t="str">
        <f>B34</f>
        <v>Tilvirkningsavdelingen faste</v>
      </c>
      <c r="C10" s="32">
        <v>400000</v>
      </c>
      <c r="D10" s="13">
        <v>80000</v>
      </c>
      <c r="E10" s="13">
        <v>320000</v>
      </c>
    </row>
    <row r="11" spans="1:5" x14ac:dyDescent="0.35">
      <c r="B11" s="11" t="s">
        <v>182</v>
      </c>
      <c r="C11" s="13">
        <f>SUM(C6:C10)</f>
        <v>3500000</v>
      </c>
    </row>
    <row r="12" spans="1:5" x14ac:dyDescent="0.35">
      <c r="B12" s="11" t="str">
        <f>B37</f>
        <v>Administrasjonsavdelingen faste</v>
      </c>
      <c r="C12" s="13">
        <v>700000</v>
      </c>
      <c r="D12" s="13">
        <v>70000</v>
      </c>
      <c r="E12" s="13">
        <f>C12-D12</f>
        <v>630000</v>
      </c>
    </row>
    <row r="13" spans="1:5" x14ac:dyDescent="0.35">
      <c r="B13" s="33" t="s">
        <v>206</v>
      </c>
      <c r="C13" s="34">
        <f>SUM(C11:C12)</f>
        <v>4200000</v>
      </c>
    </row>
    <row r="15" spans="1:5" x14ac:dyDescent="0.35">
      <c r="A15" s="1" t="s">
        <v>183</v>
      </c>
      <c r="B15" s="30" t="s">
        <v>207</v>
      </c>
      <c r="C15" s="256" t="s">
        <v>162</v>
      </c>
      <c r="D15" s="66" t="str">
        <f>D8</f>
        <v>Variable</v>
      </c>
      <c r="E15" s="66" t="str">
        <f>E8</f>
        <v>Faste</v>
      </c>
    </row>
    <row r="16" spans="1:5" x14ac:dyDescent="0.35">
      <c r="B16" s="11" t="str">
        <f>B9</f>
        <v>Materialavdelingen variable</v>
      </c>
      <c r="C16" s="29">
        <f>C9/$C$6</f>
        <v>0.1</v>
      </c>
      <c r="D16" s="29">
        <f t="shared" ref="D16:E16" si="0">D9/$C$6</f>
        <v>0.02</v>
      </c>
      <c r="E16" s="29">
        <f t="shared" si="0"/>
        <v>0.08</v>
      </c>
    </row>
    <row r="17" spans="1:5" x14ac:dyDescent="0.35">
      <c r="B17" s="11" t="str">
        <f>B10</f>
        <v>Tilvirkningsavdelingen faste</v>
      </c>
      <c r="C17" s="29">
        <f>C10/$C$7</f>
        <v>0.2</v>
      </c>
      <c r="D17" s="29">
        <f t="shared" ref="D17:E17" si="1">D10/$C$7</f>
        <v>0.04</v>
      </c>
      <c r="E17" s="29">
        <f t="shared" si="1"/>
        <v>0.16</v>
      </c>
    </row>
    <row r="18" spans="1:5" x14ac:dyDescent="0.35">
      <c r="B18" s="11" t="str">
        <f>B12</f>
        <v>Administrasjonsavdelingen faste</v>
      </c>
      <c r="C18" s="29">
        <f>C12/$C$11</f>
        <v>0.2</v>
      </c>
      <c r="D18" s="29">
        <f t="shared" ref="D18:E18" si="2">D12/$C$11</f>
        <v>0.02</v>
      </c>
      <c r="E18" s="29">
        <f t="shared" si="2"/>
        <v>0.18</v>
      </c>
    </row>
    <row r="20" spans="1:5" x14ac:dyDescent="0.35">
      <c r="B20" s="1" t="s">
        <v>297</v>
      </c>
    </row>
    <row r="21" spans="1:5" x14ac:dyDescent="0.35">
      <c r="B21" s="1" t="s">
        <v>298</v>
      </c>
    </row>
    <row r="23" spans="1:5" x14ac:dyDescent="0.35">
      <c r="A23" s="1" t="s">
        <v>184</v>
      </c>
      <c r="B23" s="30" t="s">
        <v>177</v>
      </c>
    </row>
    <row r="24" spans="1:5" x14ac:dyDescent="0.35">
      <c r="B24" s="14"/>
      <c r="C24" s="88" t="s">
        <v>147</v>
      </c>
      <c r="D24" s="16" t="s">
        <v>189</v>
      </c>
      <c r="E24" s="17" t="s">
        <v>190</v>
      </c>
    </row>
    <row r="25" spans="1:5" x14ac:dyDescent="0.35">
      <c r="B25" s="18"/>
      <c r="C25" s="19" t="s">
        <v>191</v>
      </c>
      <c r="D25" s="20" t="s">
        <v>191</v>
      </c>
      <c r="E25" s="21" t="s">
        <v>192</v>
      </c>
    </row>
    <row r="26" spans="1:5" x14ac:dyDescent="0.35">
      <c r="B26" s="163" t="s">
        <v>196</v>
      </c>
      <c r="C26" s="27">
        <v>5500000</v>
      </c>
      <c r="D26" s="27">
        <f>C26</f>
        <v>5500000</v>
      </c>
      <c r="E26" s="23"/>
    </row>
    <row r="27" spans="1:5" x14ac:dyDescent="0.35">
      <c r="B27" s="83"/>
      <c r="C27" s="162"/>
      <c r="D27" s="80"/>
      <c r="E27" s="23"/>
    </row>
    <row r="28" spans="1:5" x14ac:dyDescent="0.35">
      <c r="B28" s="22" t="s">
        <v>174</v>
      </c>
      <c r="C28" s="23">
        <v>1200000</v>
      </c>
      <c r="D28" s="23">
        <f>C28</f>
        <v>1200000</v>
      </c>
      <c r="E28" s="23"/>
    </row>
    <row r="29" spans="1:5" x14ac:dyDescent="0.35">
      <c r="B29" s="24" t="s">
        <v>201</v>
      </c>
      <c r="C29" s="23">
        <v>2200000</v>
      </c>
      <c r="D29" s="23">
        <f>C29</f>
        <v>2200000</v>
      </c>
      <c r="E29" s="23"/>
    </row>
    <row r="30" spans="1:5" x14ac:dyDescent="0.35">
      <c r="B30" s="25" t="s">
        <v>175</v>
      </c>
      <c r="C30" s="23"/>
      <c r="D30" s="23"/>
      <c r="E30" s="23"/>
    </row>
    <row r="31" spans="1:5" x14ac:dyDescent="0.35">
      <c r="B31" s="92" t="s">
        <v>262</v>
      </c>
      <c r="C31" s="23">
        <f>C28*D16</f>
        <v>24000</v>
      </c>
      <c r="D31" s="23">
        <v>50000</v>
      </c>
      <c r="E31" s="23">
        <f>C31-D31</f>
        <v>-26000</v>
      </c>
    </row>
    <row r="32" spans="1:5" x14ac:dyDescent="0.35">
      <c r="B32" s="54" t="s">
        <v>263</v>
      </c>
      <c r="C32" s="23">
        <f>C28*E16</f>
        <v>96000</v>
      </c>
      <c r="D32" s="23">
        <v>100000</v>
      </c>
      <c r="E32" s="23">
        <f t="shared" ref="E32:E36" si="3">C32-D32</f>
        <v>-4000</v>
      </c>
    </row>
    <row r="33" spans="2:5" x14ac:dyDescent="0.35">
      <c r="B33" s="272" t="s">
        <v>264</v>
      </c>
      <c r="C33" s="23">
        <f>C29*D17</f>
        <v>88000</v>
      </c>
      <c r="D33" s="23">
        <v>70000</v>
      </c>
      <c r="E33" s="23">
        <f t="shared" si="3"/>
        <v>18000</v>
      </c>
    </row>
    <row r="34" spans="2:5" x14ac:dyDescent="0.35">
      <c r="B34" s="85" t="s">
        <v>265</v>
      </c>
      <c r="C34" s="21">
        <f>C29*E17</f>
        <v>352000</v>
      </c>
      <c r="D34" s="23">
        <v>346000</v>
      </c>
      <c r="E34" s="23">
        <f t="shared" si="3"/>
        <v>6000</v>
      </c>
    </row>
    <row r="35" spans="2:5" x14ac:dyDescent="0.35">
      <c r="B35" s="93" t="s">
        <v>182</v>
      </c>
      <c r="C35" s="23">
        <f>SUM(C28:C34)</f>
        <v>3960000</v>
      </c>
      <c r="D35" s="23"/>
      <c r="E35" s="23"/>
    </row>
    <row r="36" spans="2:5" x14ac:dyDescent="0.35">
      <c r="B36" s="273" t="s">
        <v>266</v>
      </c>
      <c r="C36" s="23">
        <f>C35*D18</f>
        <v>79200</v>
      </c>
      <c r="D36" s="23">
        <v>71000</v>
      </c>
      <c r="E36" s="23">
        <f t="shared" si="3"/>
        <v>8200</v>
      </c>
    </row>
    <row r="37" spans="2:5" x14ac:dyDescent="0.35">
      <c r="B37" s="85" t="s">
        <v>267</v>
      </c>
      <c r="C37" s="21">
        <f>C35*E18</f>
        <v>712800</v>
      </c>
      <c r="D37" s="23">
        <v>702000</v>
      </c>
      <c r="E37" s="23">
        <f>C37-D37</f>
        <v>10800</v>
      </c>
    </row>
    <row r="38" spans="2:5" x14ac:dyDescent="0.35">
      <c r="B38" s="92" t="s">
        <v>178</v>
      </c>
      <c r="C38" s="23">
        <f>SUM(C35:C37)</f>
        <v>4752000</v>
      </c>
      <c r="D38" s="23"/>
      <c r="E38" s="23"/>
    </row>
    <row r="39" spans="2:5" x14ac:dyDescent="0.35">
      <c r="B39" s="103"/>
      <c r="C39" s="21"/>
      <c r="D39" s="23"/>
      <c r="E39" s="23"/>
    </row>
    <row r="40" spans="2:5" x14ac:dyDescent="0.35">
      <c r="B40" s="22" t="s">
        <v>197</v>
      </c>
      <c r="C40" s="23">
        <f>C26-C38</f>
        <v>748000</v>
      </c>
      <c r="D40" s="23"/>
      <c r="E40" s="23"/>
    </row>
    <row r="41" spans="2:5" x14ac:dyDescent="0.35">
      <c r="B41" s="22" t="s">
        <v>198</v>
      </c>
      <c r="C41" s="21">
        <f>E41</f>
        <v>13000</v>
      </c>
      <c r="D41" s="23"/>
      <c r="E41" s="27">
        <f>SUM(E31:E37)</f>
        <v>13000</v>
      </c>
    </row>
    <row r="42" spans="2:5" x14ac:dyDescent="0.35">
      <c r="B42" s="99" t="s">
        <v>28</v>
      </c>
      <c r="C42" s="27">
        <f>SUM(C40:C41)</f>
        <v>761000</v>
      </c>
      <c r="D42" s="27">
        <f>D26-SUM(D28:D37)</f>
        <v>761000</v>
      </c>
      <c r="E42" s="21"/>
    </row>
    <row r="45" spans="2:5" x14ac:dyDescent="0.35">
      <c r="B45" s="1" t="s">
        <v>268</v>
      </c>
    </row>
    <row r="46" spans="2:5" x14ac:dyDescent="0.35">
      <c r="B46" s="1" t="s">
        <v>269</v>
      </c>
    </row>
    <row r="47" spans="2:5" x14ac:dyDescent="0.35">
      <c r="B47" s="1" t="s">
        <v>261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&amp;CLøsninger kapittel 4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pageSetUpPr fitToPage="1"/>
  </sheetPr>
  <dimension ref="A1:I55"/>
  <sheetViews>
    <sheetView topLeftCell="A31" zoomScaleNormal="100" workbookViewId="0">
      <selection activeCell="H54" sqref="H54"/>
    </sheetView>
  </sheetViews>
  <sheetFormatPr baseColWidth="10" defaultColWidth="11.453125" defaultRowHeight="15.5" x14ac:dyDescent="0.35"/>
  <cols>
    <col min="1" max="1" width="4.453125" style="11" customWidth="1"/>
    <col min="2" max="2" width="36.1796875" style="11" customWidth="1"/>
    <col min="3" max="3" width="12.7265625" style="13" bestFit="1" customWidth="1"/>
    <col min="4" max="4" width="12" style="13" customWidth="1"/>
    <col min="5" max="5" width="12.7265625" style="13" customWidth="1"/>
    <col min="6" max="9" width="11.453125" style="13"/>
    <col min="10" max="16384" width="11.453125" style="11"/>
  </cols>
  <sheetData>
    <row r="1" spans="1:5" x14ac:dyDescent="0.35">
      <c r="A1" s="10" t="s">
        <v>43</v>
      </c>
      <c r="B1" s="4"/>
    </row>
    <row r="3" spans="1:5" x14ac:dyDescent="0.35">
      <c r="B3" s="4" t="s">
        <v>187</v>
      </c>
    </row>
    <row r="5" spans="1:5" x14ac:dyDescent="0.35">
      <c r="B5" s="30" t="s">
        <v>200</v>
      </c>
    </row>
    <row r="6" spans="1:5" x14ac:dyDescent="0.35">
      <c r="B6" s="11" t="str">
        <f t="shared" ref="B6:B10" si="0">B31</f>
        <v>Direkte materialer</v>
      </c>
      <c r="C6" s="13">
        <v>500000</v>
      </c>
    </row>
    <row r="7" spans="1:5" x14ac:dyDescent="0.35">
      <c r="B7" s="11" t="str">
        <f t="shared" si="0"/>
        <v>Direkte lønn avdeling 1</v>
      </c>
      <c r="C7" s="13">
        <v>700000</v>
      </c>
    </row>
    <row r="8" spans="1:5" x14ac:dyDescent="0.35">
      <c r="B8" s="11" t="str">
        <f t="shared" si="0"/>
        <v>Direkte lønn avdeling 2</v>
      </c>
      <c r="C8" s="13">
        <v>300000</v>
      </c>
    </row>
    <row r="9" spans="1:5" x14ac:dyDescent="0.35">
      <c r="B9" s="12" t="str">
        <f t="shared" si="0"/>
        <v>Indirekte tilvirkn.kostnader</v>
      </c>
      <c r="D9" s="256" t="s">
        <v>163</v>
      </c>
      <c r="E9" s="256" t="s">
        <v>161</v>
      </c>
    </row>
    <row r="10" spans="1:5" x14ac:dyDescent="0.35">
      <c r="B10" s="11" t="str">
        <f t="shared" si="0"/>
        <v>Materialavdelingen variable</v>
      </c>
      <c r="C10" s="13">
        <v>100000</v>
      </c>
      <c r="D10" s="13">
        <v>20000</v>
      </c>
      <c r="E10" s="13">
        <f>C10-D10</f>
        <v>80000</v>
      </c>
    </row>
    <row r="11" spans="1:5" x14ac:dyDescent="0.35">
      <c r="B11" s="36" t="str">
        <f>B37</f>
        <v>Tilvirkningsavdeling 1 variable</v>
      </c>
      <c r="C11" s="37">
        <v>350000</v>
      </c>
      <c r="D11" s="13">
        <v>35000</v>
      </c>
      <c r="E11" s="13">
        <f t="shared" ref="E11:E14" si="1">C11-D11</f>
        <v>315000</v>
      </c>
    </row>
    <row r="12" spans="1:5" x14ac:dyDescent="0.35">
      <c r="B12" s="31" t="str">
        <f>B40</f>
        <v>Tilvirkningsavdeling 2 faste</v>
      </c>
      <c r="C12" s="32">
        <v>500000</v>
      </c>
      <c r="D12" s="13">
        <v>150000</v>
      </c>
      <c r="E12" s="13">
        <f t="shared" si="1"/>
        <v>350000</v>
      </c>
    </row>
    <row r="13" spans="1:5" x14ac:dyDescent="0.35">
      <c r="B13" s="11" t="s">
        <v>182</v>
      </c>
      <c r="C13" s="13">
        <f>SUM(C6:C12)</f>
        <v>2450000</v>
      </c>
    </row>
    <row r="14" spans="1:5" x14ac:dyDescent="0.35">
      <c r="B14" s="11" t="str">
        <f>B43</f>
        <v>Administrasjonsavdelingen faste</v>
      </c>
      <c r="C14" s="13">
        <v>245000</v>
      </c>
      <c r="D14" s="13">
        <v>24500</v>
      </c>
      <c r="E14" s="13">
        <f t="shared" si="1"/>
        <v>220500</v>
      </c>
    </row>
    <row r="15" spans="1:5" x14ac:dyDescent="0.35">
      <c r="B15" s="33" t="s">
        <v>206</v>
      </c>
      <c r="C15" s="34">
        <f>SUM(C13:C14)</f>
        <v>2695000</v>
      </c>
    </row>
    <row r="16" spans="1:5" x14ac:dyDescent="0.35">
      <c r="B16" s="36"/>
      <c r="C16" s="37"/>
    </row>
    <row r="17" spans="1:5" x14ac:dyDescent="0.35">
      <c r="B17" s="39" t="s">
        <v>29</v>
      </c>
      <c r="C17" s="37"/>
    </row>
    <row r="18" spans="1:5" ht="15" customHeight="1" x14ac:dyDescent="0.35">
      <c r="B18" s="36"/>
      <c r="C18" s="37"/>
    </row>
    <row r="20" spans="1:5" x14ac:dyDescent="0.35">
      <c r="A20" s="1" t="s">
        <v>183</v>
      </c>
      <c r="B20" s="30" t="s">
        <v>207</v>
      </c>
      <c r="C20" s="256" t="s">
        <v>162</v>
      </c>
      <c r="D20" s="66" t="str">
        <f>D9</f>
        <v>Variable</v>
      </c>
      <c r="E20" s="66" t="str">
        <f>E9</f>
        <v>Faste</v>
      </c>
    </row>
    <row r="21" spans="1:5" x14ac:dyDescent="0.35">
      <c r="B21" s="11" t="str">
        <f>B10</f>
        <v>Materialavdelingen variable</v>
      </c>
      <c r="C21" s="29">
        <f>C10/$C$6</f>
        <v>0.2</v>
      </c>
      <c r="D21" s="29">
        <f>D10/$C$6</f>
        <v>0.04</v>
      </c>
      <c r="E21" s="29">
        <f t="shared" ref="E21" si="2">E10/$C$6</f>
        <v>0.16</v>
      </c>
    </row>
    <row r="22" spans="1:5" x14ac:dyDescent="0.35">
      <c r="B22" s="11" t="str">
        <f>B11</f>
        <v>Tilvirkningsavdeling 1 variable</v>
      </c>
      <c r="C22" s="29">
        <f>C11/$C$7</f>
        <v>0.5</v>
      </c>
      <c r="D22" s="29">
        <f>D11/$C$7</f>
        <v>0.05</v>
      </c>
      <c r="E22" s="29">
        <f t="shared" ref="E22" si="3">E11/$C$7</f>
        <v>0.45</v>
      </c>
    </row>
    <row r="23" spans="1:5" x14ac:dyDescent="0.35">
      <c r="B23" s="11" t="str">
        <f>B12</f>
        <v>Tilvirkningsavdeling 2 faste</v>
      </c>
      <c r="C23" s="38">
        <f>C12/1000</f>
        <v>500</v>
      </c>
      <c r="D23" s="38">
        <f>D12/1000</f>
        <v>150</v>
      </c>
      <c r="E23" s="38">
        <f t="shared" ref="E23" si="4">E12/1000</f>
        <v>350</v>
      </c>
    </row>
    <row r="24" spans="1:5" x14ac:dyDescent="0.35">
      <c r="B24" s="11" t="str">
        <f>B14</f>
        <v>Administrasjonsavdelingen faste</v>
      </c>
      <c r="C24" s="29">
        <f>C14/$C$13</f>
        <v>0.1</v>
      </c>
      <c r="D24" s="29">
        <f t="shared" ref="D24:E24" si="5">D14/$C$13</f>
        <v>0.01</v>
      </c>
      <c r="E24" s="29">
        <f t="shared" si="5"/>
        <v>0.09</v>
      </c>
    </row>
    <row r="26" spans="1:5" x14ac:dyDescent="0.35">
      <c r="A26" s="1" t="s">
        <v>184</v>
      </c>
      <c r="B26" s="30" t="s">
        <v>177</v>
      </c>
    </row>
    <row r="27" spans="1:5" x14ac:dyDescent="0.35">
      <c r="B27" s="14"/>
      <c r="C27" s="88" t="s">
        <v>147</v>
      </c>
      <c r="D27" s="16" t="s">
        <v>189</v>
      </c>
      <c r="E27" s="17" t="s">
        <v>190</v>
      </c>
    </row>
    <row r="28" spans="1:5" x14ac:dyDescent="0.35">
      <c r="B28" s="18"/>
      <c r="C28" s="19" t="s">
        <v>191</v>
      </c>
      <c r="D28" s="20" t="s">
        <v>191</v>
      </c>
      <c r="E28" s="21" t="s">
        <v>192</v>
      </c>
    </row>
    <row r="29" spans="1:5" x14ac:dyDescent="0.35">
      <c r="B29" s="104" t="s">
        <v>196</v>
      </c>
      <c r="C29" s="27">
        <v>3150000</v>
      </c>
      <c r="D29" s="27">
        <f>C29</f>
        <v>3150000</v>
      </c>
      <c r="E29" s="23"/>
    </row>
    <row r="30" spans="1:5" x14ac:dyDescent="0.35">
      <c r="B30" s="83"/>
      <c r="C30" s="162"/>
      <c r="D30" s="80"/>
      <c r="E30" s="23"/>
    </row>
    <row r="31" spans="1:5" x14ac:dyDescent="0.35">
      <c r="B31" s="22" t="s">
        <v>174</v>
      </c>
      <c r="C31" s="23">
        <v>600000</v>
      </c>
      <c r="D31" s="23">
        <f>C31</f>
        <v>600000</v>
      </c>
      <c r="E31" s="23"/>
    </row>
    <row r="32" spans="1:5" x14ac:dyDescent="0.35">
      <c r="B32" s="24" t="s">
        <v>209</v>
      </c>
      <c r="C32" s="23">
        <v>700000</v>
      </c>
      <c r="D32" s="23">
        <f>C32</f>
        <v>700000</v>
      </c>
      <c r="E32" s="23"/>
    </row>
    <row r="33" spans="2:5" x14ac:dyDescent="0.35">
      <c r="B33" s="35" t="s">
        <v>208</v>
      </c>
      <c r="C33" s="23">
        <v>400000</v>
      </c>
      <c r="D33" s="23">
        <f>C33</f>
        <v>400000</v>
      </c>
      <c r="E33" s="23"/>
    </row>
    <row r="34" spans="2:5" x14ac:dyDescent="0.35">
      <c r="B34" s="25" t="s">
        <v>175</v>
      </c>
      <c r="C34" s="23"/>
      <c r="D34" s="23"/>
      <c r="E34" s="23"/>
    </row>
    <row r="35" spans="2:5" x14ac:dyDescent="0.35">
      <c r="B35" s="92" t="s">
        <v>262</v>
      </c>
      <c r="C35" s="23">
        <f>C31*D21</f>
        <v>24000</v>
      </c>
      <c r="D35" s="23">
        <v>26500</v>
      </c>
      <c r="E35" s="23">
        <f>C35-D35</f>
        <v>-2500</v>
      </c>
    </row>
    <row r="36" spans="2:5" x14ac:dyDescent="0.35">
      <c r="B36" s="54" t="s">
        <v>263</v>
      </c>
      <c r="C36" s="23">
        <f>C31*E21</f>
        <v>96000</v>
      </c>
      <c r="D36" s="23">
        <v>87500</v>
      </c>
      <c r="E36" s="23">
        <f t="shared" ref="E36:E40" si="6">C36-D36</f>
        <v>8500</v>
      </c>
    </row>
    <row r="37" spans="2:5" x14ac:dyDescent="0.35">
      <c r="B37" s="273" t="s">
        <v>270</v>
      </c>
      <c r="C37" s="23">
        <f>C32*D22</f>
        <v>35000</v>
      </c>
      <c r="D37" s="23">
        <v>31600</v>
      </c>
      <c r="E37" s="23">
        <f t="shared" si="6"/>
        <v>3400</v>
      </c>
    </row>
    <row r="38" spans="2:5" x14ac:dyDescent="0.35">
      <c r="B38" s="273" t="s">
        <v>271</v>
      </c>
      <c r="C38" s="23">
        <f>C32*E22</f>
        <v>315000</v>
      </c>
      <c r="D38" s="23">
        <v>345200</v>
      </c>
      <c r="E38" s="23">
        <f t="shared" si="6"/>
        <v>-30200</v>
      </c>
    </row>
    <row r="39" spans="2:5" x14ac:dyDescent="0.35">
      <c r="B39" s="273" t="s">
        <v>272</v>
      </c>
      <c r="C39" s="23">
        <f>D23*1150</f>
        <v>172500</v>
      </c>
      <c r="D39" s="23">
        <v>163500</v>
      </c>
      <c r="E39" s="23">
        <f t="shared" si="6"/>
        <v>9000</v>
      </c>
    </row>
    <row r="40" spans="2:5" x14ac:dyDescent="0.35">
      <c r="B40" s="274" t="s">
        <v>273</v>
      </c>
      <c r="C40" s="21">
        <f>E23*1150</f>
        <v>402500</v>
      </c>
      <c r="D40" s="23">
        <v>398900</v>
      </c>
      <c r="E40" s="23">
        <f t="shared" si="6"/>
        <v>3600</v>
      </c>
    </row>
    <row r="41" spans="2:5" x14ac:dyDescent="0.35">
      <c r="B41" s="93" t="s">
        <v>182</v>
      </c>
      <c r="C41" s="23">
        <f>SUM(C31:C40)</f>
        <v>2745000</v>
      </c>
      <c r="D41" s="23"/>
      <c r="E41" s="23"/>
    </row>
    <row r="42" spans="2:5" x14ac:dyDescent="0.35">
      <c r="B42" s="273" t="s">
        <v>266</v>
      </c>
      <c r="C42" s="23">
        <f>C41*D24</f>
        <v>27450</v>
      </c>
      <c r="D42" s="23">
        <v>21900</v>
      </c>
      <c r="E42" s="23">
        <f>C42-D42</f>
        <v>5550</v>
      </c>
    </row>
    <row r="43" spans="2:5" x14ac:dyDescent="0.35">
      <c r="B43" s="274" t="s">
        <v>267</v>
      </c>
      <c r="C43" s="21">
        <f>C41*E24</f>
        <v>247050</v>
      </c>
      <c r="D43" s="23">
        <v>241500</v>
      </c>
      <c r="E43" s="23">
        <f>C43-D43</f>
        <v>5550</v>
      </c>
    </row>
    <row r="44" spans="2:5" x14ac:dyDescent="0.35">
      <c r="B44" s="22" t="s">
        <v>58</v>
      </c>
      <c r="C44" s="23">
        <f>SUM(C41:C43)</f>
        <v>3019500</v>
      </c>
      <c r="D44" s="23"/>
      <c r="E44" s="23"/>
    </row>
    <row r="45" spans="2:5" x14ac:dyDescent="0.35">
      <c r="B45" s="104"/>
      <c r="C45" s="21"/>
      <c r="D45" s="23"/>
      <c r="E45" s="23"/>
    </row>
    <row r="46" spans="2:5" x14ac:dyDescent="0.35">
      <c r="B46" s="22" t="s">
        <v>197</v>
      </c>
      <c r="C46" s="23">
        <f>C29-C44</f>
        <v>130500</v>
      </c>
      <c r="D46" s="23"/>
      <c r="E46" s="23"/>
    </row>
    <row r="47" spans="2:5" x14ac:dyDescent="0.35">
      <c r="B47" s="22" t="s">
        <v>198</v>
      </c>
      <c r="C47" s="21">
        <f>E47</f>
        <v>2900</v>
      </c>
      <c r="D47" s="23"/>
      <c r="E47" s="27">
        <f>SUM(E35:E43)</f>
        <v>2900</v>
      </c>
    </row>
    <row r="48" spans="2:5" x14ac:dyDescent="0.35">
      <c r="B48" s="99" t="s">
        <v>199</v>
      </c>
      <c r="C48" s="27">
        <f>SUM(C46:C47)</f>
        <v>133400</v>
      </c>
      <c r="D48" s="27">
        <f>D29-SUM(D31:D43)</f>
        <v>133400</v>
      </c>
      <c r="E48" s="21"/>
    </row>
    <row r="50" spans="1:2" x14ac:dyDescent="0.35">
      <c r="A50" s="1"/>
      <c r="B50" s="1" t="s">
        <v>274</v>
      </c>
    </row>
    <row r="51" spans="1:2" x14ac:dyDescent="0.35">
      <c r="B51" s="1" t="s">
        <v>275</v>
      </c>
    </row>
    <row r="52" spans="1:2" x14ac:dyDescent="0.35">
      <c r="B52" s="1" t="s">
        <v>276</v>
      </c>
    </row>
    <row r="53" spans="1:2" x14ac:dyDescent="0.35">
      <c r="B53" s="1"/>
    </row>
    <row r="54" spans="1:2" x14ac:dyDescent="0.35">
      <c r="B54" s="1"/>
    </row>
    <row r="55" spans="1:2" x14ac:dyDescent="0.35">
      <c r="B55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>
    <oddHeader>&amp;A</oddHeader>
    <oddFooter>&amp;CLøsninger kapittel 4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D67E9-5871-4D4D-A218-19FC0A417393}">
  <sheetPr published="0">
    <pageSetUpPr fitToPage="1"/>
  </sheetPr>
  <dimension ref="A1:I105"/>
  <sheetViews>
    <sheetView topLeftCell="A46" workbookViewId="0">
      <selection activeCell="I64" sqref="I64"/>
    </sheetView>
  </sheetViews>
  <sheetFormatPr baseColWidth="10" defaultColWidth="11.453125" defaultRowHeight="15.5" x14ac:dyDescent="0.35"/>
  <cols>
    <col min="1" max="1" width="4.26953125" style="1" customWidth="1"/>
    <col min="2" max="2" width="35.26953125" style="1" bestFit="1" customWidth="1"/>
    <col min="3" max="3" width="14.26953125" style="64" customWidth="1"/>
    <col min="4" max="4" width="12.7265625" style="64" bestFit="1" customWidth="1"/>
    <col min="5" max="9" width="11.453125" style="64"/>
    <col min="10" max="16384" width="11.453125" style="1"/>
  </cols>
  <sheetData>
    <row r="1" spans="1:5" ht="18" x14ac:dyDescent="0.4">
      <c r="A1" s="277" t="s">
        <v>299</v>
      </c>
    </row>
    <row r="3" spans="1:5" s="64" customFormat="1" x14ac:dyDescent="0.35">
      <c r="A3" s="1"/>
      <c r="B3" s="30" t="s">
        <v>200</v>
      </c>
    </row>
    <row r="4" spans="1:5" s="64" customFormat="1" x14ac:dyDescent="0.35">
      <c r="A4" s="1"/>
      <c r="B4" s="1" t="str">
        <f>B26</f>
        <v>Direkte materialer</v>
      </c>
      <c r="C4" s="64">
        <v>1000000</v>
      </c>
    </row>
    <row r="5" spans="1:5" s="64" customFormat="1" x14ac:dyDescent="0.35">
      <c r="A5" s="1"/>
      <c r="B5" s="1" t="str">
        <f>B27</f>
        <v xml:space="preserve">Direkte lønn </v>
      </c>
      <c r="C5" s="64">
        <v>2000000</v>
      </c>
    </row>
    <row r="6" spans="1:5" s="64" customFormat="1" x14ac:dyDescent="0.35">
      <c r="A6" s="1"/>
      <c r="B6" s="125" t="str">
        <f>B28</f>
        <v>Indirekte tilvirkn.kostnader</v>
      </c>
      <c r="D6" s="256" t="s">
        <v>163</v>
      </c>
      <c r="E6" s="256" t="s">
        <v>161</v>
      </c>
    </row>
    <row r="7" spans="1:5" s="64" customFormat="1" x14ac:dyDescent="0.35">
      <c r="A7" s="1"/>
      <c r="B7" s="1" t="str">
        <f>B29</f>
        <v>Materialavdelingen variable</v>
      </c>
      <c r="C7" s="64">
        <v>100000</v>
      </c>
      <c r="D7" s="64">
        <v>20000</v>
      </c>
      <c r="E7" s="64">
        <v>80000</v>
      </c>
    </row>
    <row r="8" spans="1:5" s="64" customFormat="1" x14ac:dyDescent="0.35">
      <c r="A8" s="1"/>
      <c r="B8" s="9" t="str">
        <f>B32</f>
        <v>Tilvirkningsavdelingen faste</v>
      </c>
      <c r="C8" s="8">
        <v>400000</v>
      </c>
      <c r="D8" s="64">
        <v>80000</v>
      </c>
      <c r="E8" s="64">
        <v>320000</v>
      </c>
    </row>
    <row r="9" spans="1:5" s="64" customFormat="1" x14ac:dyDescent="0.35">
      <c r="A9" s="1"/>
      <c r="B9" s="1" t="s">
        <v>182</v>
      </c>
      <c r="C9" s="64">
        <f>SUM(C4:C8)</f>
        <v>3500000</v>
      </c>
    </row>
    <row r="10" spans="1:5" s="64" customFormat="1" x14ac:dyDescent="0.35">
      <c r="A10" s="1"/>
      <c r="B10" s="1" t="str">
        <f>B35</f>
        <v>Administrasjonsavdelingen faste</v>
      </c>
      <c r="C10" s="64">
        <v>700000</v>
      </c>
      <c r="D10" s="64">
        <v>70000</v>
      </c>
      <c r="E10" s="64">
        <f>C10-D10</f>
        <v>630000</v>
      </c>
    </row>
    <row r="11" spans="1:5" s="64" customFormat="1" x14ac:dyDescent="0.35">
      <c r="A11" s="1"/>
      <c r="B11" s="208" t="s">
        <v>206</v>
      </c>
      <c r="C11" s="178">
        <f>SUM(C9:C10)</f>
        <v>4200000</v>
      </c>
    </row>
    <row r="13" spans="1:5" s="64" customFormat="1" x14ac:dyDescent="0.35">
      <c r="A13" s="1"/>
      <c r="B13" s="30" t="s">
        <v>207</v>
      </c>
      <c r="C13" s="256" t="s">
        <v>162</v>
      </c>
      <c r="D13" s="256" t="str">
        <f>D6</f>
        <v>Variable</v>
      </c>
      <c r="E13" s="256" t="str">
        <f>E6</f>
        <v>Faste</v>
      </c>
    </row>
    <row r="14" spans="1:5" s="64" customFormat="1" x14ac:dyDescent="0.35">
      <c r="A14" s="1"/>
      <c r="B14" s="1" t="str">
        <f>B7</f>
        <v>Materialavdelingen variable</v>
      </c>
      <c r="C14" s="187">
        <f>C7/$C$4</f>
        <v>0.1</v>
      </c>
      <c r="D14" s="187">
        <f t="shared" ref="D14:E14" si="0">D7/$C$4</f>
        <v>0.02</v>
      </c>
      <c r="E14" s="187">
        <f t="shared" si="0"/>
        <v>0.08</v>
      </c>
    </row>
    <row r="15" spans="1:5" s="64" customFormat="1" x14ac:dyDescent="0.35">
      <c r="A15" s="1"/>
      <c r="B15" s="1" t="str">
        <f>B8</f>
        <v>Tilvirkningsavdelingen faste</v>
      </c>
      <c r="C15" s="187">
        <f>C8/$C$5</f>
        <v>0.2</v>
      </c>
      <c r="D15" s="187">
        <f t="shared" ref="D15:E15" si="1">D8/$C$5</f>
        <v>0.04</v>
      </c>
      <c r="E15" s="187">
        <f t="shared" si="1"/>
        <v>0.16</v>
      </c>
    </row>
    <row r="16" spans="1:5" s="64" customFormat="1" x14ac:dyDescent="0.35">
      <c r="A16" s="1"/>
      <c r="B16" s="1" t="str">
        <f>B10</f>
        <v>Administrasjonsavdelingen faste</v>
      </c>
      <c r="C16" s="187">
        <f>C10/$C$9</f>
        <v>0.2</v>
      </c>
      <c r="D16" s="187">
        <f t="shared" ref="D16:E16" si="2">D10/$C$9</f>
        <v>0.02</v>
      </c>
      <c r="E16" s="187">
        <f t="shared" si="2"/>
        <v>0.18</v>
      </c>
    </row>
    <row r="18" spans="1:5" s="64" customFormat="1" x14ac:dyDescent="0.35">
      <c r="A18" s="1"/>
      <c r="B18" s="1" t="s">
        <v>297</v>
      </c>
    </row>
    <row r="19" spans="1:5" s="64" customFormat="1" x14ac:dyDescent="0.35">
      <c r="A19" s="1"/>
      <c r="B19" s="1" t="s">
        <v>298</v>
      </c>
    </row>
    <row r="21" spans="1:5" s="64" customFormat="1" x14ac:dyDescent="0.35">
      <c r="A21" s="1"/>
      <c r="B21" s="30" t="s">
        <v>177</v>
      </c>
    </row>
    <row r="22" spans="1:5" s="64" customFormat="1" x14ac:dyDescent="0.35">
      <c r="A22" s="1"/>
      <c r="B22" s="48"/>
      <c r="C22" s="88" t="s">
        <v>147</v>
      </c>
      <c r="D22" s="89" t="s">
        <v>189</v>
      </c>
      <c r="E22" s="90" t="s">
        <v>190</v>
      </c>
    </row>
    <row r="23" spans="1:5" s="64" customFormat="1" x14ac:dyDescent="0.35">
      <c r="A23" s="1"/>
      <c r="B23" s="51"/>
      <c r="C23" s="52" t="s">
        <v>191</v>
      </c>
      <c r="D23" s="61" t="s">
        <v>191</v>
      </c>
      <c r="E23" s="60" t="s">
        <v>192</v>
      </c>
    </row>
    <row r="24" spans="1:5" s="64" customFormat="1" x14ac:dyDescent="0.35">
      <c r="A24" s="1"/>
      <c r="B24" s="282" t="s">
        <v>196</v>
      </c>
      <c r="C24" s="95">
        <v>5500000</v>
      </c>
      <c r="D24" s="95">
        <f>C24</f>
        <v>5500000</v>
      </c>
      <c r="E24" s="55"/>
    </row>
    <row r="25" spans="1:5" s="64" customFormat="1" x14ac:dyDescent="0.35">
      <c r="A25" s="1"/>
      <c r="B25" s="54"/>
      <c r="C25" s="79"/>
      <c r="D25" s="57"/>
      <c r="E25" s="55"/>
    </row>
    <row r="26" spans="1:5" s="64" customFormat="1" x14ac:dyDescent="0.35">
      <c r="A26" s="1"/>
      <c r="B26" s="92" t="s">
        <v>174</v>
      </c>
      <c r="C26" s="55">
        <v>1200000</v>
      </c>
      <c r="D26" s="55">
        <f>C26</f>
        <v>1200000</v>
      </c>
      <c r="E26" s="55"/>
    </row>
    <row r="27" spans="1:5" s="64" customFormat="1" x14ac:dyDescent="0.35">
      <c r="A27" s="1"/>
      <c r="B27" s="93" t="s">
        <v>201</v>
      </c>
      <c r="C27" s="55">
        <v>2200000</v>
      </c>
      <c r="D27" s="55">
        <f>C27</f>
        <v>2200000</v>
      </c>
      <c r="E27" s="55"/>
    </row>
    <row r="28" spans="1:5" s="64" customFormat="1" x14ac:dyDescent="0.35">
      <c r="A28" s="1"/>
      <c r="B28" s="94" t="s">
        <v>175</v>
      </c>
      <c r="C28" s="55"/>
      <c r="D28" s="55"/>
      <c r="E28" s="55"/>
    </row>
    <row r="29" spans="1:5" s="64" customFormat="1" x14ac:dyDescent="0.35">
      <c r="A29" s="1"/>
      <c r="B29" s="92" t="s">
        <v>262</v>
      </c>
      <c r="C29" s="55">
        <f>C26*D14</f>
        <v>24000</v>
      </c>
      <c r="D29" s="55">
        <v>50000</v>
      </c>
      <c r="E29" s="55">
        <f>C29-D29</f>
        <v>-26000</v>
      </c>
    </row>
    <row r="30" spans="1:5" s="64" customFormat="1" x14ac:dyDescent="0.35">
      <c r="A30" s="1"/>
      <c r="B30" s="54" t="s">
        <v>263</v>
      </c>
      <c r="C30" s="55">
        <f>C26*E14</f>
        <v>96000</v>
      </c>
      <c r="D30" s="55">
        <v>100000</v>
      </c>
      <c r="E30" s="55">
        <f t="shared" ref="E30:E34" si="3">C30-D30</f>
        <v>-4000</v>
      </c>
    </row>
    <row r="31" spans="1:5" s="64" customFormat="1" x14ac:dyDescent="0.35">
      <c r="A31" s="1"/>
      <c r="B31" s="272" t="s">
        <v>264</v>
      </c>
      <c r="C31" s="55">
        <f>C27*D15</f>
        <v>88000</v>
      </c>
      <c r="D31" s="55">
        <v>70000</v>
      </c>
      <c r="E31" s="55">
        <f t="shared" si="3"/>
        <v>18000</v>
      </c>
    </row>
    <row r="32" spans="1:5" s="64" customFormat="1" x14ac:dyDescent="0.35">
      <c r="A32" s="1"/>
      <c r="B32" s="85" t="s">
        <v>265</v>
      </c>
      <c r="C32" s="60">
        <f>C27*E15</f>
        <v>352000</v>
      </c>
      <c r="D32" s="55">
        <v>346000</v>
      </c>
      <c r="E32" s="55">
        <f t="shared" si="3"/>
        <v>6000</v>
      </c>
    </row>
    <row r="33" spans="1:5" s="64" customFormat="1" x14ac:dyDescent="0.35">
      <c r="A33" s="1"/>
      <c r="B33" s="93" t="s">
        <v>182</v>
      </c>
      <c r="C33" s="55">
        <f>SUM(C26:C32)</f>
        <v>3960000</v>
      </c>
      <c r="D33" s="55"/>
      <c r="E33" s="55"/>
    </row>
    <row r="34" spans="1:5" s="64" customFormat="1" x14ac:dyDescent="0.35">
      <c r="A34" s="1"/>
      <c r="B34" s="273" t="s">
        <v>266</v>
      </c>
      <c r="C34" s="55">
        <f>C33*D16</f>
        <v>79200</v>
      </c>
      <c r="D34" s="55">
        <v>71000</v>
      </c>
      <c r="E34" s="55">
        <f t="shared" si="3"/>
        <v>8200</v>
      </c>
    </row>
    <row r="35" spans="1:5" s="64" customFormat="1" x14ac:dyDescent="0.35">
      <c r="A35" s="1"/>
      <c r="B35" s="85" t="s">
        <v>267</v>
      </c>
      <c r="C35" s="60">
        <f>C33*E16</f>
        <v>712800</v>
      </c>
      <c r="D35" s="55">
        <v>702000</v>
      </c>
      <c r="E35" s="55">
        <f>C35-D35</f>
        <v>10800</v>
      </c>
    </row>
    <row r="36" spans="1:5" s="64" customFormat="1" x14ac:dyDescent="0.35">
      <c r="A36" s="1"/>
      <c r="B36" s="92" t="s">
        <v>178</v>
      </c>
      <c r="C36" s="55">
        <f>SUM(C33:C35)</f>
        <v>4752000</v>
      </c>
      <c r="D36" s="55"/>
      <c r="E36" s="55"/>
    </row>
    <row r="37" spans="1:5" s="64" customFormat="1" x14ac:dyDescent="0.35">
      <c r="A37" s="1"/>
      <c r="B37" s="85"/>
      <c r="C37" s="60"/>
      <c r="D37" s="55"/>
      <c r="E37" s="55"/>
    </row>
    <row r="38" spans="1:5" s="64" customFormat="1" x14ac:dyDescent="0.35">
      <c r="A38" s="1"/>
      <c r="B38" s="92" t="s">
        <v>197</v>
      </c>
      <c r="C38" s="55">
        <f>C24-C36</f>
        <v>748000</v>
      </c>
      <c r="D38" s="55"/>
      <c r="E38" s="55"/>
    </row>
    <row r="39" spans="1:5" s="64" customFormat="1" x14ac:dyDescent="0.35">
      <c r="A39" s="1"/>
      <c r="B39" s="92" t="s">
        <v>198</v>
      </c>
      <c r="C39" s="60">
        <f>E39</f>
        <v>13000</v>
      </c>
      <c r="D39" s="55"/>
      <c r="E39" s="95">
        <f>SUM(E29:E35)</f>
        <v>13000</v>
      </c>
    </row>
    <row r="40" spans="1:5" s="64" customFormat="1" x14ac:dyDescent="0.35">
      <c r="A40" s="1"/>
      <c r="B40" s="128" t="s">
        <v>28</v>
      </c>
      <c r="C40" s="95">
        <f>SUM(C38:C39)</f>
        <v>761000</v>
      </c>
      <c r="D40" s="95">
        <f>D24-SUM(D26:D35)</f>
        <v>761000</v>
      </c>
      <c r="E40" s="60"/>
    </row>
    <row r="43" spans="1:5" s="64" customFormat="1" x14ac:dyDescent="0.35">
      <c r="A43" s="1"/>
      <c r="B43" s="1" t="s">
        <v>268</v>
      </c>
    </row>
    <row r="44" spans="1:5" s="64" customFormat="1" x14ac:dyDescent="0.35">
      <c r="A44" s="1"/>
      <c r="B44" s="1" t="s">
        <v>269</v>
      </c>
    </row>
    <row r="45" spans="1:5" s="64" customFormat="1" x14ac:dyDescent="0.35">
      <c r="A45" s="1"/>
      <c r="B45" s="1" t="s">
        <v>261</v>
      </c>
    </row>
    <row r="48" spans="1:5" ht="18" x14ac:dyDescent="0.4">
      <c r="A48" s="277" t="s">
        <v>300</v>
      </c>
    </row>
    <row r="50" spans="2:9" ht="18" x14ac:dyDescent="0.4">
      <c r="B50" s="281" t="s">
        <v>308</v>
      </c>
    </row>
    <row r="53" spans="2:9" x14ac:dyDescent="0.35">
      <c r="B53" s="10" t="s">
        <v>285</v>
      </c>
      <c r="D53" s="1"/>
      <c r="E53" s="1"/>
      <c r="F53" s="1"/>
      <c r="G53" s="1"/>
      <c r="H53" s="1"/>
      <c r="I53" s="1"/>
    </row>
    <row r="54" spans="2:9" ht="31.5" thickBot="1" x14ac:dyDescent="0.4">
      <c r="C54" s="283" t="s">
        <v>277</v>
      </c>
      <c r="D54" s="283" t="s">
        <v>283</v>
      </c>
      <c r="E54" s="283" t="s">
        <v>226</v>
      </c>
      <c r="F54" s="283" t="s">
        <v>301</v>
      </c>
      <c r="G54" s="283" t="s">
        <v>302</v>
      </c>
      <c r="H54" s="283" t="s">
        <v>279</v>
      </c>
      <c r="I54" s="1"/>
    </row>
    <row r="55" spans="2:9" ht="16.5" thickTop="1" thickBot="1" x14ac:dyDescent="0.4">
      <c r="B55" s="1" t="s">
        <v>286</v>
      </c>
      <c r="C55" s="284">
        <v>1</v>
      </c>
      <c r="D55" s="284">
        <v>2</v>
      </c>
      <c r="E55" s="284">
        <v>3</v>
      </c>
      <c r="F55" s="284" t="s">
        <v>280</v>
      </c>
      <c r="G55" s="284" t="s">
        <v>281</v>
      </c>
      <c r="H55" s="284" t="s">
        <v>282</v>
      </c>
      <c r="I55" s="1"/>
    </row>
    <row r="56" spans="2:9" ht="16.5" thickTop="1" thickBot="1" x14ac:dyDescent="0.4">
      <c r="B56" s="1" t="s">
        <v>176</v>
      </c>
      <c r="C56" s="285">
        <f>C29</f>
        <v>24000</v>
      </c>
      <c r="D56" s="285">
        <f>C56</f>
        <v>24000</v>
      </c>
      <c r="E56" s="285">
        <v>50000</v>
      </c>
      <c r="F56" s="284" t="s">
        <v>157</v>
      </c>
      <c r="G56" s="285">
        <f>D56-E56</f>
        <v>-26000</v>
      </c>
      <c r="H56" s="285">
        <f>C56-E56</f>
        <v>-26000</v>
      </c>
      <c r="I56" s="1"/>
    </row>
    <row r="57" spans="2:9" ht="16.5" thickTop="1" thickBot="1" x14ac:dyDescent="0.4">
      <c r="B57" s="1" t="s">
        <v>211</v>
      </c>
      <c r="C57" s="285">
        <f>C31</f>
        <v>88000</v>
      </c>
      <c r="D57" s="285">
        <f t="shared" ref="D57:D58" si="4">C57</f>
        <v>88000</v>
      </c>
      <c r="E57" s="285">
        <v>70000</v>
      </c>
      <c r="F57" s="284" t="s">
        <v>157</v>
      </c>
      <c r="G57" s="285">
        <f t="shared" ref="G57:G58" si="5">D57-E57</f>
        <v>18000</v>
      </c>
      <c r="H57" s="285">
        <f t="shared" ref="H57:H58" si="6">C57-E57</f>
        <v>18000</v>
      </c>
      <c r="I57" s="1"/>
    </row>
    <row r="58" spans="2:9" ht="16.5" thickTop="1" thickBot="1" x14ac:dyDescent="0.4">
      <c r="B58" s="1" t="s">
        <v>212</v>
      </c>
      <c r="C58" s="285">
        <f>C34</f>
        <v>79200</v>
      </c>
      <c r="D58" s="285">
        <f t="shared" si="4"/>
        <v>79200</v>
      </c>
      <c r="E58" s="285">
        <v>71000</v>
      </c>
      <c r="F58" s="284" t="s">
        <v>157</v>
      </c>
      <c r="G58" s="285">
        <f t="shared" si="5"/>
        <v>8200</v>
      </c>
      <c r="H58" s="285">
        <f t="shared" si="6"/>
        <v>8200</v>
      </c>
      <c r="I58" s="1"/>
    </row>
    <row r="59" spans="2:9" ht="16" thickTop="1" x14ac:dyDescent="0.35">
      <c r="C59" s="1"/>
      <c r="D59" s="1"/>
      <c r="E59" s="1"/>
      <c r="F59" s="1"/>
      <c r="G59" s="1"/>
      <c r="H59" s="1"/>
      <c r="I59" s="1"/>
    </row>
    <row r="60" spans="2:9" x14ac:dyDescent="0.35">
      <c r="B60" s="1" t="s">
        <v>303</v>
      </c>
      <c r="C60" s="1"/>
      <c r="D60" s="1"/>
      <c r="E60" s="1"/>
      <c r="F60" s="1"/>
      <c r="G60" s="1"/>
      <c r="H60" s="1"/>
      <c r="I60" s="1"/>
    </row>
    <row r="61" spans="2:9" x14ac:dyDescent="0.35">
      <c r="B61" s="1" t="s">
        <v>321</v>
      </c>
      <c r="C61" s="1"/>
      <c r="D61" s="1"/>
      <c r="E61" s="1"/>
      <c r="F61" s="1"/>
      <c r="G61" s="1"/>
      <c r="H61" s="1"/>
      <c r="I61" s="1"/>
    </row>
    <row r="62" spans="2:9" x14ac:dyDescent="0.35">
      <c r="B62" s="1" t="s">
        <v>393</v>
      </c>
      <c r="C62" s="1"/>
      <c r="D62" s="1"/>
      <c r="E62" s="1"/>
      <c r="F62" s="1"/>
      <c r="G62" s="1"/>
      <c r="H62" s="1"/>
      <c r="I62" s="1"/>
    </row>
    <row r="63" spans="2:9" x14ac:dyDescent="0.35">
      <c r="C63" s="1"/>
      <c r="D63" s="1"/>
      <c r="E63" s="1"/>
      <c r="F63" s="1"/>
      <c r="G63" s="1"/>
      <c r="H63" s="1"/>
      <c r="I63" s="1"/>
    </row>
    <row r="64" spans="2:9" x14ac:dyDescent="0.35">
      <c r="B64" s="10" t="s">
        <v>287</v>
      </c>
      <c r="C64" s="1"/>
      <c r="D64" s="1"/>
      <c r="E64" s="1"/>
      <c r="F64" s="1"/>
      <c r="G64" s="1"/>
      <c r="H64" s="1"/>
      <c r="I64" s="1"/>
    </row>
    <row r="65" spans="2:9" x14ac:dyDescent="0.35">
      <c r="B65" s="1" t="s">
        <v>288</v>
      </c>
      <c r="C65" s="1"/>
      <c r="D65" s="1"/>
      <c r="E65" s="1"/>
      <c r="F65" s="1"/>
      <c r="G65" s="1"/>
      <c r="H65" s="1"/>
      <c r="I65" s="1"/>
    </row>
    <row r="66" spans="2:9" x14ac:dyDescent="0.35">
      <c r="B66" s="1" t="s">
        <v>322</v>
      </c>
      <c r="C66" s="1"/>
      <c r="D66" s="1"/>
      <c r="E66" s="1"/>
      <c r="F66" s="1"/>
      <c r="G66" s="1"/>
      <c r="H66" s="1"/>
      <c r="I66" s="1"/>
    </row>
    <row r="67" spans="2:9" x14ac:dyDescent="0.35">
      <c r="B67" s="1" t="s">
        <v>323</v>
      </c>
      <c r="C67" s="1"/>
      <c r="D67" s="1"/>
      <c r="E67" s="1"/>
      <c r="F67" s="1"/>
      <c r="G67" s="1"/>
      <c r="H67" s="1"/>
      <c r="I67" s="1"/>
    </row>
    <row r="68" spans="2:9" x14ac:dyDescent="0.35">
      <c r="B68" s="1" t="s">
        <v>305</v>
      </c>
      <c r="C68" s="1"/>
      <c r="D68" s="1"/>
      <c r="E68" s="1"/>
      <c r="F68" s="1"/>
      <c r="G68" s="1"/>
      <c r="H68" s="1"/>
      <c r="I68" s="1"/>
    </row>
    <row r="69" spans="2:9" x14ac:dyDescent="0.35">
      <c r="C69" s="1"/>
      <c r="D69" s="1"/>
      <c r="E69" s="1"/>
      <c r="F69" s="1"/>
      <c r="G69" s="1"/>
      <c r="H69" s="1"/>
      <c r="I69" s="1"/>
    </row>
    <row r="70" spans="2:9" x14ac:dyDescent="0.35">
      <c r="C70" s="1"/>
      <c r="D70" s="1"/>
      <c r="E70" s="1"/>
      <c r="F70" s="1"/>
      <c r="G70" s="1"/>
      <c r="H70" s="1"/>
      <c r="I70" s="1"/>
    </row>
    <row r="71" spans="2:9" x14ac:dyDescent="0.35">
      <c r="B71" s="10" t="s">
        <v>306</v>
      </c>
      <c r="C71" s="1"/>
      <c r="D71" s="1"/>
      <c r="E71" s="1"/>
      <c r="F71" s="1"/>
      <c r="G71" s="1"/>
      <c r="H71" s="1"/>
      <c r="I71" s="1"/>
    </row>
    <row r="72" spans="2:9" ht="31.5" thickBot="1" x14ac:dyDescent="0.4">
      <c r="C72" s="283" t="s">
        <v>277</v>
      </c>
      <c r="D72" s="283" t="s">
        <v>278</v>
      </c>
      <c r="E72" s="283" t="s">
        <v>226</v>
      </c>
      <c r="F72" s="283" t="s">
        <v>301</v>
      </c>
      <c r="G72" s="283" t="s">
        <v>302</v>
      </c>
      <c r="H72" s="283" t="s">
        <v>279</v>
      </c>
      <c r="I72" s="1"/>
    </row>
    <row r="73" spans="2:9" ht="16.5" thickTop="1" thickBot="1" x14ac:dyDescent="0.4">
      <c r="B73" s="1" t="str">
        <f>B55</f>
        <v>Kostnadssted:</v>
      </c>
      <c r="C73" s="284">
        <v>1</v>
      </c>
      <c r="D73" s="284">
        <v>2</v>
      </c>
      <c r="E73" s="284">
        <v>3</v>
      </c>
      <c r="F73" s="284" t="s">
        <v>280</v>
      </c>
      <c r="G73" s="284" t="s">
        <v>281</v>
      </c>
      <c r="H73" s="284" t="s">
        <v>282</v>
      </c>
      <c r="I73" s="1"/>
    </row>
    <row r="74" spans="2:9" ht="16.5" thickTop="1" thickBot="1" x14ac:dyDescent="0.4">
      <c r="B74" s="1" t="s">
        <v>176</v>
      </c>
      <c r="C74" s="285">
        <f>C30</f>
        <v>96000</v>
      </c>
      <c r="D74" s="285">
        <f>E7</f>
        <v>80000</v>
      </c>
      <c r="E74" s="285">
        <f>D30</f>
        <v>100000</v>
      </c>
      <c r="F74" s="285">
        <f>C74-D74</f>
        <v>16000</v>
      </c>
      <c r="G74" s="285">
        <f>D74-E74</f>
        <v>-20000</v>
      </c>
      <c r="H74" s="285">
        <f>C74-E74</f>
        <v>-4000</v>
      </c>
      <c r="I74" s="1"/>
    </row>
    <row r="75" spans="2:9" ht="16.5" thickTop="1" thickBot="1" x14ac:dyDescent="0.4">
      <c r="B75" s="1" t="s">
        <v>211</v>
      </c>
      <c r="C75" s="285">
        <f>C32</f>
        <v>352000</v>
      </c>
      <c r="D75" s="285">
        <f>E8</f>
        <v>320000</v>
      </c>
      <c r="E75" s="285">
        <f>D32</f>
        <v>346000</v>
      </c>
      <c r="F75" s="285">
        <f>C75-D75</f>
        <v>32000</v>
      </c>
      <c r="G75" s="285">
        <f t="shared" ref="G75:G76" si="7">D75-E75</f>
        <v>-26000</v>
      </c>
      <c r="H75" s="285">
        <f t="shared" ref="H75:H76" si="8">C75-E75</f>
        <v>6000</v>
      </c>
      <c r="I75" s="1"/>
    </row>
    <row r="76" spans="2:9" ht="16.5" thickTop="1" thickBot="1" x14ac:dyDescent="0.4">
      <c r="B76" s="1" t="s">
        <v>212</v>
      </c>
      <c r="C76" s="285">
        <f>C35</f>
        <v>712800</v>
      </c>
      <c r="D76" s="285">
        <f>E10</f>
        <v>630000</v>
      </c>
      <c r="E76" s="285">
        <f>D35</f>
        <v>702000</v>
      </c>
      <c r="F76" s="285">
        <f t="shared" ref="F76" si="9">C76-D76</f>
        <v>82800</v>
      </c>
      <c r="G76" s="285">
        <f t="shared" si="7"/>
        <v>-72000</v>
      </c>
      <c r="H76" s="285">
        <f t="shared" si="8"/>
        <v>10800</v>
      </c>
      <c r="I76" s="1"/>
    </row>
    <row r="77" spans="2:9" ht="16" thickTop="1" x14ac:dyDescent="0.35">
      <c r="C77" s="1"/>
      <c r="D77" s="1"/>
      <c r="E77" s="1"/>
      <c r="F77" s="1"/>
      <c r="G77" s="1"/>
      <c r="H77" s="1"/>
      <c r="I77" s="1"/>
    </row>
    <row r="78" spans="2:9" x14ac:dyDescent="0.35">
      <c r="B78" s="1" t="s">
        <v>307</v>
      </c>
      <c r="C78" s="1"/>
      <c r="D78" s="1"/>
      <c r="E78" s="1"/>
      <c r="F78" s="1"/>
      <c r="G78" s="1"/>
      <c r="H78" s="1"/>
      <c r="I78" s="1"/>
    </row>
    <row r="79" spans="2:9" x14ac:dyDescent="0.35">
      <c r="B79" s="1" t="s">
        <v>309</v>
      </c>
      <c r="C79" s="1"/>
      <c r="D79" s="1"/>
      <c r="E79" s="1"/>
      <c r="F79" s="1"/>
      <c r="G79" s="1"/>
      <c r="H79" s="1"/>
      <c r="I79" s="1"/>
    </row>
    <row r="80" spans="2:9" x14ac:dyDescent="0.35">
      <c r="C80" s="1"/>
      <c r="D80" s="1"/>
      <c r="E80" s="1"/>
      <c r="F80" s="1"/>
      <c r="G80" s="1"/>
      <c r="H80" s="1"/>
      <c r="I80" s="1"/>
    </row>
    <row r="81" spans="2:9" x14ac:dyDescent="0.35">
      <c r="B81" s="10" t="str">
        <f>B64</f>
        <v>Verbal analyse:</v>
      </c>
      <c r="C81" s="1"/>
      <c r="D81" s="1"/>
      <c r="E81" s="1"/>
      <c r="F81" s="1"/>
      <c r="G81" s="1"/>
      <c r="H81" s="1"/>
      <c r="I81" s="1"/>
    </row>
    <row r="82" spans="2:9" x14ac:dyDescent="0.35">
      <c r="B82" s="1" t="s">
        <v>291</v>
      </c>
      <c r="C82" s="1"/>
      <c r="D82" s="1"/>
      <c r="E82" s="1"/>
      <c r="F82" s="1"/>
      <c r="G82" s="1"/>
      <c r="H82" s="1"/>
      <c r="I82" s="1"/>
    </row>
    <row r="83" spans="2:9" x14ac:dyDescent="0.35">
      <c r="B83" s="1" t="s">
        <v>312</v>
      </c>
      <c r="C83" s="1"/>
      <c r="D83" s="1"/>
      <c r="E83" s="1"/>
      <c r="F83" s="1"/>
      <c r="G83" s="1"/>
      <c r="H83" s="1"/>
      <c r="I83" s="1"/>
    </row>
    <row r="84" spans="2:9" x14ac:dyDescent="0.35">
      <c r="B84" s="1" t="s">
        <v>310</v>
      </c>
    </row>
    <row r="85" spans="2:9" x14ac:dyDescent="0.35">
      <c r="B85" s="1" t="s">
        <v>311</v>
      </c>
    </row>
    <row r="86" spans="2:9" x14ac:dyDescent="0.35">
      <c r="B86" s="1" t="s">
        <v>324</v>
      </c>
    </row>
    <row r="87" spans="2:9" x14ac:dyDescent="0.35">
      <c r="B87" s="1" t="s">
        <v>325</v>
      </c>
    </row>
    <row r="88" spans="2:9" x14ac:dyDescent="0.35">
      <c r="B88" s="1" t="s">
        <v>326</v>
      </c>
    </row>
    <row r="89" spans="2:9" x14ac:dyDescent="0.35">
      <c r="B89" s="1" t="s">
        <v>327</v>
      </c>
    </row>
    <row r="90" spans="2:9" x14ac:dyDescent="0.35">
      <c r="B90" s="1" t="s">
        <v>313</v>
      </c>
    </row>
    <row r="92" spans="2:9" x14ac:dyDescent="0.35">
      <c r="B92" s="1" t="s">
        <v>314</v>
      </c>
    </row>
    <row r="95" spans="2:9" x14ac:dyDescent="0.35">
      <c r="B95" s="1" t="s">
        <v>284</v>
      </c>
    </row>
    <row r="96" spans="2:9" x14ac:dyDescent="0.35">
      <c r="B96" s="1" t="s">
        <v>315</v>
      </c>
    </row>
    <row r="97" spans="2:2" x14ac:dyDescent="0.35">
      <c r="B97" s="1" t="s">
        <v>316</v>
      </c>
    </row>
    <row r="98" spans="2:2" x14ac:dyDescent="0.35">
      <c r="B98" s="1" t="s">
        <v>317</v>
      </c>
    </row>
    <row r="100" spans="2:2" x14ac:dyDescent="0.35">
      <c r="B100" s="1" t="s">
        <v>329</v>
      </c>
    </row>
    <row r="101" spans="2:2" x14ac:dyDescent="0.35">
      <c r="B101" s="1" t="s">
        <v>318</v>
      </c>
    </row>
    <row r="102" spans="2:2" x14ac:dyDescent="0.35">
      <c r="B102" s="1" t="s">
        <v>319</v>
      </c>
    </row>
    <row r="104" spans="2:2" x14ac:dyDescent="0.35">
      <c r="B104" s="1" t="s">
        <v>328</v>
      </c>
    </row>
    <row r="105" spans="2:2" x14ac:dyDescent="0.35">
      <c r="B105" s="1" t="s">
        <v>320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&amp;CLøsninger kapittel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DD36B-CE83-4B23-80FD-7B8725F78B42}">
  <sheetPr published="0">
    <pageSetUpPr fitToPage="1"/>
  </sheetPr>
  <dimension ref="A1:J117"/>
  <sheetViews>
    <sheetView topLeftCell="A16" zoomScaleNormal="100" workbookViewId="0">
      <selection activeCell="H53" sqref="H53"/>
    </sheetView>
  </sheetViews>
  <sheetFormatPr baseColWidth="10" defaultColWidth="11.453125" defaultRowHeight="15.5" x14ac:dyDescent="0.35"/>
  <cols>
    <col min="1" max="1" width="4.453125" style="11" customWidth="1"/>
    <col min="2" max="2" width="36.1796875" style="11" customWidth="1"/>
    <col min="3" max="3" width="12.7265625" style="13" bestFit="1" customWidth="1"/>
    <col min="4" max="4" width="12" style="13" customWidth="1"/>
    <col min="5" max="5" width="12.7265625" style="13" customWidth="1"/>
    <col min="6" max="9" width="11.453125" style="13"/>
    <col min="10" max="16384" width="11.453125" style="11"/>
  </cols>
  <sheetData>
    <row r="1" spans="1:5" x14ac:dyDescent="0.35">
      <c r="A1" s="10" t="s">
        <v>43</v>
      </c>
      <c r="B1" s="4"/>
    </row>
    <row r="3" spans="1:5" x14ac:dyDescent="0.35">
      <c r="B3" s="10" t="s">
        <v>330</v>
      </c>
    </row>
    <row r="5" spans="1:5" x14ac:dyDescent="0.35">
      <c r="B5" s="30" t="s">
        <v>200</v>
      </c>
    </row>
    <row r="6" spans="1:5" x14ac:dyDescent="0.35">
      <c r="B6" s="11" t="str">
        <f t="shared" ref="B6:B10" si="0">B31</f>
        <v>Direkte materialer</v>
      </c>
      <c r="C6" s="13">
        <v>500000</v>
      </c>
    </row>
    <row r="7" spans="1:5" x14ac:dyDescent="0.35">
      <c r="B7" s="11" t="str">
        <f t="shared" si="0"/>
        <v>Direkte lønn avdeling 1</v>
      </c>
      <c r="C7" s="13">
        <v>700000</v>
      </c>
    </row>
    <row r="8" spans="1:5" x14ac:dyDescent="0.35">
      <c r="B8" s="11" t="str">
        <f t="shared" si="0"/>
        <v>Direkte lønn avdeling 2</v>
      </c>
      <c r="C8" s="13">
        <v>300000</v>
      </c>
    </row>
    <row r="9" spans="1:5" x14ac:dyDescent="0.35">
      <c r="B9" s="12" t="str">
        <f t="shared" si="0"/>
        <v>Indirekte tilvirkn.kostnader</v>
      </c>
      <c r="D9" s="256" t="s">
        <v>163</v>
      </c>
      <c r="E9" s="256" t="s">
        <v>161</v>
      </c>
    </row>
    <row r="10" spans="1:5" x14ac:dyDescent="0.35">
      <c r="B10" s="11" t="str">
        <f t="shared" si="0"/>
        <v>Materialavdelingen variable</v>
      </c>
      <c r="C10" s="13">
        <v>100000</v>
      </c>
      <c r="D10" s="13">
        <v>20000</v>
      </c>
      <c r="E10" s="13">
        <f>C10-D10</f>
        <v>80000</v>
      </c>
    </row>
    <row r="11" spans="1:5" x14ac:dyDescent="0.35">
      <c r="B11" s="36" t="str">
        <f>B37</f>
        <v>Tilvirkningsavdeling 1 variable</v>
      </c>
      <c r="C11" s="37">
        <v>350000</v>
      </c>
      <c r="D11" s="13">
        <v>35000</v>
      </c>
      <c r="E11" s="13">
        <f t="shared" ref="E11:E14" si="1">C11-D11</f>
        <v>315000</v>
      </c>
    </row>
    <row r="12" spans="1:5" x14ac:dyDescent="0.35">
      <c r="B12" s="31" t="str">
        <f>B40</f>
        <v>Tilvirkningsavdeling 2 faste</v>
      </c>
      <c r="C12" s="32">
        <v>500000</v>
      </c>
      <c r="D12" s="13">
        <v>150000</v>
      </c>
      <c r="E12" s="13">
        <f t="shared" si="1"/>
        <v>350000</v>
      </c>
    </row>
    <row r="13" spans="1:5" x14ac:dyDescent="0.35">
      <c r="B13" s="11" t="s">
        <v>182</v>
      </c>
      <c r="C13" s="13">
        <f>SUM(C6:C12)</f>
        <v>2450000</v>
      </c>
    </row>
    <row r="14" spans="1:5" x14ac:dyDescent="0.35">
      <c r="B14" s="11" t="str">
        <f>B43</f>
        <v>Administrasjonsavdelingen faste</v>
      </c>
      <c r="C14" s="13">
        <v>245000</v>
      </c>
      <c r="D14" s="13">
        <v>24500</v>
      </c>
      <c r="E14" s="13">
        <f t="shared" si="1"/>
        <v>220500</v>
      </c>
    </row>
    <row r="15" spans="1:5" x14ac:dyDescent="0.35">
      <c r="B15" s="33" t="s">
        <v>206</v>
      </c>
      <c r="C15" s="34">
        <f>SUM(C13:C14)</f>
        <v>2695000</v>
      </c>
    </row>
    <row r="16" spans="1:5" x14ac:dyDescent="0.35">
      <c r="B16" s="36"/>
      <c r="C16" s="37"/>
    </row>
    <row r="17" spans="1:5" x14ac:dyDescent="0.35">
      <c r="B17" s="39" t="s">
        <v>29</v>
      </c>
      <c r="C17" s="37"/>
    </row>
    <row r="18" spans="1:5" ht="15" customHeight="1" x14ac:dyDescent="0.35">
      <c r="B18" s="36"/>
      <c r="C18" s="37"/>
    </row>
    <row r="20" spans="1:5" x14ac:dyDescent="0.35">
      <c r="A20" s="1"/>
      <c r="B20" s="30" t="s">
        <v>207</v>
      </c>
      <c r="C20" s="256" t="s">
        <v>162</v>
      </c>
      <c r="D20" s="66" t="str">
        <f>D9</f>
        <v>Variable</v>
      </c>
      <c r="E20" s="66" t="str">
        <f>E9</f>
        <v>Faste</v>
      </c>
    </row>
    <row r="21" spans="1:5" x14ac:dyDescent="0.35">
      <c r="B21" s="11" t="str">
        <f>B10</f>
        <v>Materialavdelingen variable</v>
      </c>
      <c r="C21" s="29">
        <f>C10/$C$6</f>
        <v>0.2</v>
      </c>
      <c r="D21" s="29">
        <f>D10/$C$6</f>
        <v>0.04</v>
      </c>
      <c r="E21" s="29">
        <f t="shared" ref="E21" si="2">E10/$C$6</f>
        <v>0.16</v>
      </c>
    </row>
    <row r="22" spans="1:5" x14ac:dyDescent="0.35">
      <c r="B22" s="11" t="str">
        <f>B11</f>
        <v>Tilvirkningsavdeling 1 variable</v>
      </c>
      <c r="C22" s="29">
        <f>C11/$C$7</f>
        <v>0.5</v>
      </c>
      <c r="D22" s="29">
        <f>D11/$C$7</f>
        <v>0.05</v>
      </c>
      <c r="E22" s="29">
        <f t="shared" ref="E22" si="3">E11/$C$7</f>
        <v>0.45</v>
      </c>
    </row>
    <row r="23" spans="1:5" x14ac:dyDescent="0.35">
      <c r="B23" s="11" t="str">
        <f>B12</f>
        <v>Tilvirkningsavdeling 2 faste</v>
      </c>
      <c r="C23" s="38">
        <f>C12/1000</f>
        <v>500</v>
      </c>
      <c r="D23" s="38">
        <f>D12/1000</f>
        <v>150</v>
      </c>
      <c r="E23" s="38">
        <f t="shared" ref="E23" si="4">E12/1000</f>
        <v>350</v>
      </c>
    </row>
    <row r="24" spans="1:5" x14ac:dyDescent="0.35">
      <c r="B24" s="11" t="str">
        <f>B14</f>
        <v>Administrasjonsavdelingen faste</v>
      </c>
      <c r="C24" s="29">
        <f>C14/$C$13</f>
        <v>0.1</v>
      </c>
      <c r="D24" s="29">
        <f t="shared" ref="D24:E24" si="5">D14/$C$13</f>
        <v>0.01</v>
      </c>
      <c r="E24" s="29">
        <f t="shared" si="5"/>
        <v>0.09</v>
      </c>
    </row>
    <row r="26" spans="1:5" x14ac:dyDescent="0.35">
      <c r="A26" s="1"/>
      <c r="B26" s="30" t="s">
        <v>177</v>
      </c>
    </row>
    <row r="27" spans="1:5" x14ac:dyDescent="0.35">
      <c r="B27" s="14"/>
      <c r="C27" s="88" t="s">
        <v>147</v>
      </c>
      <c r="D27" s="16" t="s">
        <v>189</v>
      </c>
      <c r="E27" s="17" t="s">
        <v>190</v>
      </c>
    </row>
    <row r="28" spans="1:5" x14ac:dyDescent="0.35">
      <c r="B28" s="18"/>
      <c r="C28" s="19" t="s">
        <v>191</v>
      </c>
      <c r="D28" s="20" t="s">
        <v>191</v>
      </c>
      <c r="E28" s="21" t="s">
        <v>192</v>
      </c>
    </row>
    <row r="29" spans="1:5" x14ac:dyDescent="0.35">
      <c r="B29" s="104" t="s">
        <v>196</v>
      </c>
      <c r="C29" s="27">
        <v>3150000</v>
      </c>
      <c r="D29" s="27">
        <f>C29</f>
        <v>3150000</v>
      </c>
      <c r="E29" s="23"/>
    </row>
    <row r="30" spans="1:5" x14ac:dyDescent="0.35">
      <c r="B30" s="83"/>
      <c r="C30" s="162"/>
      <c r="D30" s="80"/>
      <c r="E30" s="23"/>
    </row>
    <row r="31" spans="1:5" x14ac:dyDescent="0.35">
      <c r="B31" s="22" t="s">
        <v>174</v>
      </c>
      <c r="C31" s="23">
        <v>600000</v>
      </c>
      <c r="D31" s="23">
        <f>C31</f>
        <v>600000</v>
      </c>
      <c r="E31" s="23"/>
    </row>
    <row r="32" spans="1:5" x14ac:dyDescent="0.35">
      <c r="B32" s="24" t="s">
        <v>209</v>
      </c>
      <c r="C32" s="23">
        <v>700000</v>
      </c>
      <c r="D32" s="23">
        <f>C32</f>
        <v>700000</v>
      </c>
      <c r="E32" s="23"/>
    </row>
    <row r="33" spans="2:5" x14ac:dyDescent="0.35">
      <c r="B33" s="35" t="s">
        <v>208</v>
      </c>
      <c r="C33" s="23">
        <v>400000</v>
      </c>
      <c r="D33" s="23">
        <f>C33</f>
        <v>400000</v>
      </c>
      <c r="E33" s="23"/>
    </row>
    <row r="34" spans="2:5" x14ac:dyDescent="0.35">
      <c r="B34" s="25" t="s">
        <v>175</v>
      </c>
      <c r="C34" s="23"/>
      <c r="D34" s="23"/>
      <c r="E34" s="23"/>
    </row>
    <row r="35" spans="2:5" x14ac:dyDescent="0.35">
      <c r="B35" s="92" t="s">
        <v>262</v>
      </c>
      <c r="C35" s="23">
        <f>C31*D21</f>
        <v>24000</v>
      </c>
      <c r="D35" s="23">
        <v>26500</v>
      </c>
      <c r="E35" s="23">
        <f>C35-D35</f>
        <v>-2500</v>
      </c>
    </row>
    <row r="36" spans="2:5" x14ac:dyDescent="0.35">
      <c r="B36" s="54" t="s">
        <v>263</v>
      </c>
      <c r="C36" s="23">
        <f>C31*E21</f>
        <v>96000</v>
      </c>
      <c r="D36" s="23">
        <v>87500</v>
      </c>
      <c r="E36" s="23">
        <f t="shared" ref="E36:E40" si="6">C36-D36</f>
        <v>8500</v>
      </c>
    </row>
    <row r="37" spans="2:5" x14ac:dyDescent="0.35">
      <c r="B37" s="273" t="s">
        <v>270</v>
      </c>
      <c r="C37" s="23">
        <f>C32*D22</f>
        <v>35000</v>
      </c>
      <c r="D37" s="23">
        <v>31600</v>
      </c>
      <c r="E37" s="23">
        <f t="shared" si="6"/>
        <v>3400</v>
      </c>
    </row>
    <row r="38" spans="2:5" x14ac:dyDescent="0.35">
      <c r="B38" s="273" t="s">
        <v>271</v>
      </c>
      <c r="C38" s="23">
        <f>C32*E22</f>
        <v>315000</v>
      </c>
      <c r="D38" s="23">
        <v>345200</v>
      </c>
      <c r="E38" s="23">
        <f t="shared" si="6"/>
        <v>-30200</v>
      </c>
    </row>
    <row r="39" spans="2:5" x14ac:dyDescent="0.35">
      <c r="B39" s="273" t="s">
        <v>272</v>
      </c>
      <c r="C39" s="23">
        <f>D23*1150</f>
        <v>172500</v>
      </c>
      <c r="D39" s="23">
        <v>163500</v>
      </c>
      <c r="E39" s="23">
        <f t="shared" si="6"/>
        <v>9000</v>
      </c>
    </row>
    <row r="40" spans="2:5" x14ac:dyDescent="0.35">
      <c r="B40" s="274" t="s">
        <v>273</v>
      </c>
      <c r="C40" s="21">
        <f>E23*1150</f>
        <v>402500</v>
      </c>
      <c r="D40" s="23">
        <v>398900</v>
      </c>
      <c r="E40" s="23">
        <f t="shared" si="6"/>
        <v>3600</v>
      </c>
    </row>
    <row r="41" spans="2:5" x14ac:dyDescent="0.35">
      <c r="B41" s="93" t="s">
        <v>182</v>
      </c>
      <c r="C41" s="23">
        <f>SUM(C31:C40)</f>
        <v>2745000</v>
      </c>
      <c r="D41" s="23"/>
      <c r="E41" s="23"/>
    </row>
    <row r="42" spans="2:5" x14ac:dyDescent="0.35">
      <c r="B42" s="273" t="s">
        <v>266</v>
      </c>
      <c r="C42" s="23">
        <f>C41*D24</f>
        <v>27450</v>
      </c>
      <c r="D42" s="23">
        <v>21900</v>
      </c>
      <c r="E42" s="23">
        <f>C42-D42</f>
        <v>5550</v>
      </c>
    </row>
    <row r="43" spans="2:5" x14ac:dyDescent="0.35">
      <c r="B43" s="274" t="s">
        <v>267</v>
      </c>
      <c r="C43" s="21">
        <f>C41*E24</f>
        <v>247050</v>
      </c>
      <c r="D43" s="23">
        <v>241500</v>
      </c>
      <c r="E43" s="23">
        <f>C43-D43</f>
        <v>5550</v>
      </c>
    </row>
    <row r="44" spans="2:5" x14ac:dyDescent="0.35">
      <c r="B44" s="22" t="s">
        <v>58</v>
      </c>
      <c r="C44" s="23">
        <f>SUM(C41:C43)</f>
        <v>3019500</v>
      </c>
      <c r="D44" s="23"/>
      <c r="E44" s="23"/>
    </row>
    <row r="45" spans="2:5" x14ac:dyDescent="0.35">
      <c r="B45" s="104"/>
      <c r="C45" s="21"/>
      <c r="D45" s="23"/>
      <c r="E45" s="23"/>
    </row>
    <row r="46" spans="2:5" x14ac:dyDescent="0.35">
      <c r="B46" s="22" t="s">
        <v>197</v>
      </c>
      <c r="C46" s="23">
        <f>C29-C44</f>
        <v>130500</v>
      </c>
      <c r="D46" s="23"/>
      <c r="E46" s="23"/>
    </row>
    <row r="47" spans="2:5" x14ac:dyDescent="0.35">
      <c r="B47" s="22" t="s">
        <v>198</v>
      </c>
      <c r="C47" s="21">
        <f>E47</f>
        <v>2900</v>
      </c>
      <c r="D47" s="23"/>
      <c r="E47" s="27">
        <f>SUM(E35:E43)</f>
        <v>2900</v>
      </c>
    </row>
    <row r="48" spans="2:5" x14ac:dyDescent="0.35">
      <c r="B48" s="99" t="s">
        <v>199</v>
      </c>
      <c r="C48" s="27">
        <f>SUM(C46:C47)</f>
        <v>133400</v>
      </c>
      <c r="D48" s="27">
        <f>D29-SUM(D31:D43)</f>
        <v>133400</v>
      </c>
      <c r="E48" s="21"/>
    </row>
    <row r="50" spans="1:10" x14ac:dyDescent="0.35">
      <c r="A50" s="1"/>
      <c r="B50" s="1" t="s">
        <v>274</v>
      </c>
    </row>
    <row r="51" spans="1:10" x14ac:dyDescent="0.35">
      <c r="B51" s="1" t="s">
        <v>275</v>
      </c>
    </row>
    <row r="52" spans="1:10" x14ac:dyDescent="0.35">
      <c r="B52" s="1" t="s">
        <v>276</v>
      </c>
    </row>
    <row r="53" spans="1:10" x14ac:dyDescent="0.35">
      <c r="B53" s="1"/>
    </row>
    <row r="54" spans="1:10" x14ac:dyDescent="0.35">
      <c r="B54" s="1"/>
    </row>
    <row r="55" spans="1:10" x14ac:dyDescent="0.35">
      <c r="B55" s="10" t="s">
        <v>331</v>
      </c>
    </row>
    <row r="57" spans="1:10" x14ac:dyDescent="0.35">
      <c r="B57" s="4" t="s">
        <v>187</v>
      </c>
    </row>
    <row r="59" spans="1:10" x14ac:dyDescent="0.35">
      <c r="B59" s="10" t="s">
        <v>285</v>
      </c>
      <c r="D59" s="1"/>
      <c r="E59" s="1"/>
      <c r="F59" s="1"/>
      <c r="G59" s="1"/>
      <c r="H59" s="1"/>
      <c r="I59" s="1"/>
      <c r="J59" s="1"/>
    </row>
    <row r="60" spans="1:10" ht="30.5" thickBot="1" x14ac:dyDescent="0.4">
      <c r="B60" s="1"/>
      <c r="C60" s="278" t="s">
        <v>277</v>
      </c>
      <c r="D60" s="278" t="s">
        <v>283</v>
      </c>
      <c r="E60" s="278" t="s">
        <v>226</v>
      </c>
      <c r="F60" s="278" t="s">
        <v>301</v>
      </c>
      <c r="G60" s="278" t="s">
        <v>302</v>
      </c>
      <c r="H60" s="278" t="s">
        <v>279</v>
      </c>
      <c r="I60" s="1"/>
      <c r="J60" s="1"/>
    </row>
    <row r="61" spans="1:10" ht="16.5" thickTop="1" thickBot="1" x14ac:dyDescent="0.4">
      <c r="B61" s="1" t="s">
        <v>286</v>
      </c>
      <c r="C61" s="279">
        <v>1</v>
      </c>
      <c r="D61" s="279">
        <v>2</v>
      </c>
      <c r="E61" s="279">
        <v>3</v>
      </c>
      <c r="F61" s="279" t="s">
        <v>280</v>
      </c>
      <c r="G61" s="279" t="s">
        <v>281</v>
      </c>
      <c r="H61" s="279" t="s">
        <v>282</v>
      </c>
      <c r="I61" s="1"/>
      <c r="J61" s="1"/>
    </row>
    <row r="62" spans="1:10" ht="16.5" thickTop="1" thickBot="1" x14ac:dyDescent="0.4">
      <c r="B62" s="1" t="s">
        <v>176</v>
      </c>
      <c r="C62" s="280">
        <f>C35</f>
        <v>24000</v>
      </c>
      <c r="D62" s="280">
        <f>C62</f>
        <v>24000</v>
      </c>
      <c r="E62" s="280">
        <f>D35</f>
        <v>26500</v>
      </c>
      <c r="F62" s="279" t="s">
        <v>157</v>
      </c>
      <c r="G62" s="280">
        <f>D62-E62</f>
        <v>-2500</v>
      </c>
      <c r="H62" s="280">
        <f>C62-E62</f>
        <v>-2500</v>
      </c>
      <c r="I62" s="1"/>
      <c r="J62" s="1"/>
    </row>
    <row r="63" spans="1:10" ht="16.5" thickTop="1" thickBot="1" x14ac:dyDescent="0.4">
      <c r="B63" s="1" t="s">
        <v>181</v>
      </c>
      <c r="C63" s="280">
        <f>C37</f>
        <v>35000</v>
      </c>
      <c r="D63" s="280">
        <f>C63</f>
        <v>35000</v>
      </c>
      <c r="E63" s="280">
        <f>D37</f>
        <v>31600</v>
      </c>
      <c r="F63" s="279" t="s">
        <v>157</v>
      </c>
      <c r="G63" s="280">
        <f>D63-E63</f>
        <v>3400</v>
      </c>
      <c r="H63" s="280">
        <f>C63-E63</f>
        <v>3400</v>
      </c>
      <c r="I63" s="1"/>
      <c r="J63" s="1"/>
    </row>
    <row r="64" spans="1:10" ht="16.5" thickTop="1" thickBot="1" x14ac:dyDescent="0.4">
      <c r="B64" s="1" t="s">
        <v>186</v>
      </c>
      <c r="C64" s="280">
        <f>C39</f>
        <v>172500</v>
      </c>
      <c r="D64" s="280">
        <f t="shared" ref="D64:D65" si="7">C64</f>
        <v>172500</v>
      </c>
      <c r="E64" s="280">
        <f>D39</f>
        <v>163500</v>
      </c>
      <c r="F64" s="279" t="s">
        <v>157</v>
      </c>
      <c r="G64" s="280">
        <f t="shared" ref="G64:G65" si="8">D64-E64</f>
        <v>9000</v>
      </c>
      <c r="H64" s="280">
        <f t="shared" ref="H64:H65" si="9">C64-E64</f>
        <v>9000</v>
      </c>
      <c r="I64" s="1"/>
      <c r="J64" s="1"/>
    </row>
    <row r="65" spans="2:10" ht="16.5" thickTop="1" thickBot="1" x14ac:dyDescent="0.4">
      <c r="B65" s="1" t="s">
        <v>212</v>
      </c>
      <c r="C65" s="280">
        <f>C42</f>
        <v>27450</v>
      </c>
      <c r="D65" s="280">
        <f t="shared" si="7"/>
        <v>27450</v>
      </c>
      <c r="E65" s="280">
        <f>D42</f>
        <v>21900</v>
      </c>
      <c r="F65" s="279" t="s">
        <v>157</v>
      </c>
      <c r="G65" s="280">
        <f t="shared" si="8"/>
        <v>5550</v>
      </c>
      <c r="H65" s="280">
        <f t="shared" si="9"/>
        <v>5550</v>
      </c>
      <c r="I65" s="1"/>
      <c r="J65" s="1"/>
    </row>
    <row r="66" spans="2:10" ht="16" thickTop="1" x14ac:dyDescent="0.35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35">
      <c r="B67" s="1" t="s">
        <v>332</v>
      </c>
      <c r="C67" s="1"/>
      <c r="D67" s="1"/>
      <c r="E67" s="1"/>
      <c r="F67" s="1"/>
      <c r="G67" s="1"/>
      <c r="H67" s="1"/>
      <c r="I67" s="1"/>
      <c r="J67" s="1"/>
    </row>
    <row r="68" spans="2:10" x14ac:dyDescent="0.35">
      <c r="B68" s="1" t="s">
        <v>321</v>
      </c>
      <c r="C68" s="1"/>
      <c r="D68" s="1"/>
      <c r="E68" s="1"/>
      <c r="F68" s="1"/>
      <c r="G68" s="1"/>
      <c r="H68" s="1"/>
      <c r="I68" s="1"/>
      <c r="J68" s="1"/>
    </row>
    <row r="69" spans="2:10" x14ac:dyDescent="0.35">
      <c r="B69" s="1" t="s">
        <v>304</v>
      </c>
      <c r="C69" s="1"/>
      <c r="D69" s="1"/>
      <c r="E69" s="1"/>
      <c r="F69" s="1"/>
      <c r="G69" s="1"/>
      <c r="H69" s="1"/>
      <c r="I69" s="1"/>
      <c r="J69" s="1"/>
    </row>
    <row r="70" spans="2:10" x14ac:dyDescent="0.35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35">
      <c r="B71" s="10" t="s">
        <v>287</v>
      </c>
      <c r="C71" s="1"/>
      <c r="D71" s="1"/>
      <c r="E71" s="1"/>
      <c r="F71" s="1"/>
      <c r="G71" s="1"/>
      <c r="H71" s="1"/>
      <c r="I71" s="1"/>
      <c r="J71" s="1"/>
    </row>
    <row r="72" spans="2:10" x14ac:dyDescent="0.35">
      <c r="B72" s="1" t="s">
        <v>288</v>
      </c>
      <c r="C72" s="1"/>
      <c r="D72" s="1"/>
      <c r="E72" s="1"/>
      <c r="F72" s="1"/>
      <c r="G72" s="1"/>
      <c r="H72" s="1"/>
      <c r="I72" s="1"/>
      <c r="J72" s="1"/>
    </row>
    <row r="73" spans="2:10" x14ac:dyDescent="0.35">
      <c r="B73" s="1" t="s">
        <v>333</v>
      </c>
      <c r="C73" s="1"/>
      <c r="D73" s="1"/>
      <c r="E73" s="1"/>
      <c r="F73" s="1"/>
      <c r="G73" s="1"/>
      <c r="H73" s="1"/>
      <c r="I73" s="1"/>
      <c r="J73" s="1"/>
    </row>
    <row r="74" spans="2:10" x14ac:dyDescent="0.35">
      <c r="B74" s="1" t="s">
        <v>323</v>
      </c>
      <c r="C74" s="1"/>
      <c r="D74" s="1"/>
      <c r="E74" s="1"/>
      <c r="F74" s="1"/>
      <c r="G74" s="1"/>
      <c r="H74" s="1"/>
      <c r="I74" s="1"/>
      <c r="J74" s="1"/>
    </row>
    <row r="75" spans="2:10" x14ac:dyDescent="0.35">
      <c r="B75" s="1" t="s">
        <v>305</v>
      </c>
      <c r="C75" s="1"/>
      <c r="D75" s="1"/>
      <c r="E75" s="1"/>
      <c r="F75" s="1"/>
      <c r="G75" s="1"/>
      <c r="H75" s="1"/>
      <c r="I75" s="1"/>
      <c r="J75" s="1"/>
    </row>
    <row r="76" spans="2:10" x14ac:dyDescent="0.35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35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35">
      <c r="B78" s="10" t="s">
        <v>306</v>
      </c>
      <c r="C78" s="1"/>
      <c r="D78" s="1"/>
      <c r="E78" s="1"/>
      <c r="F78" s="1"/>
      <c r="G78" s="1"/>
      <c r="H78" s="1"/>
      <c r="I78" s="1"/>
      <c r="J78" s="1"/>
    </row>
    <row r="79" spans="2:10" ht="30.5" thickBot="1" x14ac:dyDescent="0.4">
      <c r="B79" s="1"/>
      <c r="C79" s="278" t="s">
        <v>277</v>
      </c>
      <c r="D79" s="278" t="s">
        <v>278</v>
      </c>
      <c r="E79" s="278" t="s">
        <v>226</v>
      </c>
      <c r="F79" s="278" t="s">
        <v>301</v>
      </c>
      <c r="G79" s="278" t="s">
        <v>302</v>
      </c>
      <c r="H79" s="278" t="s">
        <v>279</v>
      </c>
      <c r="I79" s="1"/>
      <c r="J79" s="1"/>
    </row>
    <row r="80" spans="2:10" ht="16.5" thickTop="1" thickBot="1" x14ac:dyDescent="0.4">
      <c r="B80" s="1" t="str">
        <f>B61</f>
        <v>Kostnadssted:</v>
      </c>
      <c r="C80" s="279">
        <v>1</v>
      </c>
      <c r="D80" s="279">
        <v>2</v>
      </c>
      <c r="E80" s="279">
        <v>3</v>
      </c>
      <c r="F80" s="279" t="s">
        <v>280</v>
      </c>
      <c r="G80" s="279" t="s">
        <v>281</v>
      </c>
      <c r="H80" s="279" t="s">
        <v>282</v>
      </c>
      <c r="I80" s="1"/>
      <c r="J80" s="1"/>
    </row>
    <row r="81" spans="2:10" ht="16.5" thickTop="1" thickBot="1" x14ac:dyDescent="0.4">
      <c r="B81" s="1" t="s">
        <v>176</v>
      </c>
      <c r="C81" s="280">
        <f>C36</f>
        <v>96000</v>
      </c>
      <c r="D81" s="280">
        <f>E10</f>
        <v>80000</v>
      </c>
      <c r="E81" s="280">
        <f>D36</f>
        <v>87500</v>
      </c>
      <c r="F81" s="280">
        <f>C81-D81</f>
        <v>16000</v>
      </c>
      <c r="G81" s="280">
        <f>D81-E81</f>
        <v>-7500</v>
      </c>
      <c r="H81" s="280">
        <f>C81-E81</f>
        <v>8500</v>
      </c>
      <c r="I81" s="1"/>
      <c r="J81" s="1"/>
    </row>
    <row r="82" spans="2:10" ht="16.5" thickTop="1" thickBot="1" x14ac:dyDescent="0.4">
      <c r="B82" s="1" t="str">
        <f>B63</f>
        <v>Tilvirkningsavdeling 1</v>
      </c>
      <c r="C82" s="280">
        <f>C38</f>
        <v>315000</v>
      </c>
      <c r="D82" s="280">
        <f>E11</f>
        <v>315000</v>
      </c>
      <c r="E82" s="280">
        <f>D38</f>
        <v>345200</v>
      </c>
      <c r="F82" s="280">
        <f>C82-D82</f>
        <v>0</v>
      </c>
      <c r="G82" s="280">
        <f t="shared" ref="G82:G84" si="10">D82-E82</f>
        <v>-30200</v>
      </c>
      <c r="H82" s="280">
        <f t="shared" ref="H82:H84" si="11">C82-E82</f>
        <v>-30200</v>
      </c>
      <c r="I82" s="1"/>
      <c r="J82" s="1"/>
    </row>
    <row r="83" spans="2:10" ht="16.5" thickTop="1" thickBot="1" x14ac:dyDescent="0.4">
      <c r="B83" s="1" t="str">
        <f>B64</f>
        <v>Tilvirkningsavdeling 2</v>
      </c>
      <c r="C83" s="280">
        <f>C40</f>
        <v>402500</v>
      </c>
      <c r="D83" s="280">
        <f t="shared" ref="D83" si="12">E12</f>
        <v>350000</v>
      </c>
      <c r="E83" s="280">
        <f>D40</f>
        <v>398900</v>
      </c>
      <c r="F83" s="280">
        <f t="shared" ref="F83:F84" si="13">C83-D83</f>
        <v>52500</v>
      </c>
      <c r="G83" s="280">
        <f t="shared" si="10"/>
        <v>-48900</v>
      </c>
      <c r="H83" s="280">
        <f t="shared" si="11"/>
        <v>3600</v>
      </c>
      <c r="I83" s="1"/>
      <c r="J83" s="1"/>
    </row>
    <row r="84" spans="2:10" ht="16.5" thickTop="1" thickBot="1" x14ac:dyDescent="0.4">
      <c r="B84" s="1" t="s">
        <v>212</v>
      </c>
      <c r="C84" s="280">
        <f>C43</f>
        <v>247050</v>
      </c>
      <c r="D84" s="280">
        <f>E14</f>
        <v>220500</v>
      </c>
      <c r="E84" s="280">
        <f>D43</f>
        <v>241500</v>
      </c>
      <c r="F84" s="280">
        <f t="shared" si="13"/>
        <v>26550</v>
      </c>
      <c r="G84" s="280">
        <f t="shared" si="10"/>
        <v>-21000</v>
      </c>
      <c r="H84" s="280">
        <f t="shared" si="11"/>
        <v>5550</v>
      </c>
      <c r="I84" s="1"/>
      <c r="J84" s="1"/>
    </row>
    <row r="85" spans="2:10" ht="16" thickTop="1" x14ac:dyDescent="0.35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35">
      <c r="B86" s="1" t="s">
        <v>307</v>
      </c>
      <c r="C86" s="1"/>
      <c r="D86" s="1"/>
      <c r="E86" s="1"/>
      <c r="F86" s="1"/>
      <c r="G86" s="1"/>
      <c r="H86" s="1"/>
      <c r="I86" s="1"/>
      <c r="J86" s="1"/>
    </row>
    <row r="87" spans="2:10" x14ac:dyDescent="0.35">
      <c r="B87" s="1" t="s">
        <v>309</v>
      </c>
      <c r="C87" s="1"/>
      <c r="D87" s="1"/>
      <c r="E87" s="1"/>
      <c r="F87" s="1"/>
      <c r="G87" s="1"/>
      <c r="H87" s="1"/>
      <c r="I87" s="1"/>
      <c r="J87" s="1"/>
    </row>
    <row r="88" spans="2:10" x14ac:dyDescent="0.35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35">
      <c r="B89" s="10" t="str">
        <f>B71</f>
        <v>Verbal analyse:</v>
      </c>
      <c r="C89" s="1"/>
      <c r="D89" s="1"/>
      <c r="E89" s="1"/>
      <c r="F89" s="1"/>
      <c r="G89" s="1"/>
      <c r="H89" s="1"/>
      <c r="I89" s="1"/>
      <c r="J89" s="1"/>
    </row>
    <row r="90" spans="2:10" x14ac:dyDescent="0.35">
      <c r="B90" s="1" t="s">
        <v>291</v>
      </c>
      <c r="C90" s="1"/>
      <c r="D90" s="1"/>
      <c r="E90" s="1"/>
      <c r="F90" s="1"/>
      <c r="G90" s="1"/>
      <c r="H90" s="1"/>
      <c r="I90" s="1"/>
      <c r="J90" s="1"/>
    </row>
    <row r="91" spans="2:10" x14ac:dyDescent="0.35">
      <c r="B91" s="1" t="s">
        <v>312</v>
      </c>
      <c r="C91" s="1"/>
      <c r="D91" s="1"/>
      <c r="E91" s="1"/>
      <c r="F91" s="1"/>
      <c r="G91" s="1"/>
      <c r="H91" s="1"/>
      <c r="I91" s="1"/>
      <c r="J91" s="1"/>
    </row>
    <row r="92" spans="2:10" x14ac:dyDescent="0.35">
      <c r="B92" s="1" t="s">
        <v>310</v>
      </c>
    </row>
    <row r="93" spans="2:10" x14ac:dyDescent="0.35">
      <c r="B93" s="1" t="s">
        <v>311</v>
      </c>
    </row>
    <row r="94" spans="2:10" x14ac:dyDescent="0.35">
      <c r="B94" s="1" t="s">
        <v>335</v>
      </c>
    </row>
    <row r="95" spans="2:10" x14ac:dyDescent="0.35">
      <c r="B95" s="1" t="s">
        <v>334</v>
      </c>
    </row>
    <row r="96" spans="2:10" x14ac:dyDescent="0.35">
      <c r="B96" s="1" t="s">
        <v>326</v>
      </c>
    </row>
    <row r="97" spans="2:2" x14ac:dyDescent="0.35">
      <c r="B97" s="1" t="s">
        <v>327</v>
      </c>
    </row>
    <row r="98" spans="2:2" x14ac:dyDescent="0.35">
      <c r="B98" s="1" t="s">
        <v>336</v>
      </c>
    </row>
    <row r="99" spans="2:2" x14ac:dyDescent="0.35">
      <c r="B99" s="1"/>
    </row>
    <row r="100" spans="2:2" x14ac:dyDescent="0.35">
      <c r="B100" s="1" t="s">
        <v>314</v>
      </c>
    </row>
    <row r="101" spans="2:2" x14ac:dyDescent="0.35">
      <c r="B101" s="1"/>
    </row>
    <row r="102" spans="2:2" x14ac:dyDescent="0.35">
      <c r="B102" s="1" t="s">
        <v>337</v>
      </c>
    </row>
    <row r="103" spans="2:2" x14ac:dyDescent="0.35">
      <c r="B103" s="1" t="s">
        <v>338</v>
      </c>
    </row>
    <row r="105" spans="2:2" x14ac:dyDescent="0.35">
      <c r="B105" s="1" t="s">
        <v>248</v>
      </c>
    </row>
    <row r="106" spans="2:2" x14ac:dyDescent="0.35">
      <c r="B106" s="1" t="s">
        <v>339</v>
      </c>
    </row>
    <row r="107" spans="2:2" x14ac:dyDescent="0.35">
      <c r="B107" s="1"/>
    </row>
    <row r="108" spans="2:2" x14ac:dyDescent="0.35">
      <c r="B108" s="1" t="s">
        <v>340</v>
      </c>
    </row>
    <row r="109" spans="2:2" x14ac:dyDescent="0.35">
      <c r="B109" s="1" t="s">
        <v>341</v>
      </c>
    </row>
    <row r="110" spans="2:2" x14ac:dyDescent="0.35">
      <c r="B110" s="1" t="s">
        <v>317</v>
      </c>
    </row>
    <row r="112" spans="2:2" x14ac:dyDescent="0.35">
      <c r="B112" s="1" t="s">
        <v>329</v>
      </c>
    </row>
    <row r="113" spans="2:2" x14ac:dyDescent="0.35">
      <c r="B113" s="1" t="s">
        <v>318</v>
      </c>
    </row>
    <row r="114" spans="2:2" x14ac:dyDescent="0.35">
      <c r="B114" s="1" t="s">
        <v>319</v>
      </c>
    </row>
    <row r="116" spans="2:2" x14ac:dyDescent="0.35">
      <c r="B116" s="1" t="s">
        <v>328</v>
      </c>
    </row>
    <row r="117" spans="2:2" x14ac:dyDescent="0.35">
      <c r="B117" s="1" t="s">
        <v>320</v>
      </c>
    </row>
  </sheetData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>
    <oddHeader>&amp;A</oddHeader>
    <oddFooter>&amp;CLøsninger kapittel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pageSetUpPr fitToPage="1"/>
  </sheetPr>
  <dimension ref="B1:H23"/>
  <sheetViews>
    <sheetView workbookViewId="0">
      <selection activeCell="E52" sqref="E52"/>
    </sheetView>
  </sheetViews>
  <sheetFormatPr baseColWidth="10" defaultColWidth="11.453125" defaultRowHeight="14.15" customHeight="1" x14ac:dyDescent="0.35"/>
  <cols>
    <col min="1" max="1" width="4.1796875" style="1" customWidth="1"/>
    <col min="2" max="2" width="26" style="1" customWidth="1"/>
    <col min="3" max="7" width="14.7265625" style="1" customWidth="1"/>
    <col min="8" max="16384" width="11.453125" style="1"/>
  </cols>
  <sheetData>
    <row r="1" spans="2:8" ht="15" customHeight="1" x14ac:dyDescent="0.35"/>
    <row r="2" spans="2:8" ht="15" customHeight="1" x14ac:dyDescent="0.35">
      <c r="B2" s="4" t="s">
        <v>187</v>
      </c>
    </row>
    <row r="3" spans="2:8" ht="15" customHeight="1" x14ac:dyDescent="0.35"/>
    <row r="4" spans="2:8" ht="15" customHeight="1" x14ac:dyDescent="0.35">
      <c r="B4" s="339"/>
      <c r="C4" s="286" t="s">
        <v>152</v>
      </c>
      <c r="D4" s="286" t="s">
        <v>153</v>
      </c>
      <c r="E4" s="286" t="s">
        <v>189</v>
      </c>
      <c r="F4" s="286" t="s">
        <v>289</v>
      </c>
      <c r="G4" s="286" t="s">
        <v>247</v>
      </c>
      <c r="H4" s="286" t="s">
        <v>294</v>
      </c>
    </row>
    <row r="5" spans="2:8" ht="17.25" customHeight="1" x14ac:dyDescent="0.35">
      <c r="B5" s="339"/>
      <c r="C5" s="287" t="s">
        <v>191</v>
      </c>
      <c r="D5" s="287" t="s">
        <v>345</v>
      </c>
      <c r="E5" s="287" t="s">
        <v>191</v>
      </c>
      <c r="F5" s="287" t="s">
        <v>154</v>
      </c>
      <c r="G5" s="287" t="s">
        <v>154</v>
      </c>
      <c r="H5" s="287" t="s">
        <v>154</v>
      </c>
    </row>
    <row r="6" spans="2:8" ht="15" customHeight="1" x14ac:dyDescent="0.35">
      <c r="B6" s="210"/>
      <c r="C6" s="211">
        <v>1</v>
      </c>
      <c r="D6" s="211">
        <v>2</v>
      </c>
      <c r="E6" s="211">
        <v>3</v>
      </c>
      <c r="F6" s="211" t="s">
        <v>292</v>
      </c>
      <c r="G6" s="211" t="s">
        <v>293</v>
      </c>
      <c r="H6" s="211" t="s">
        <v>295</v>
      </c>
    </row>
    <row r="7" spans="2:8" ht="15" customHeight="1" x14ac:dyDescent="0.35">
      <c r="B7" s="286" t="s">
        <v>155</v>
      </c>
      <c r="C7" s="210"/>
      <c r="D7" s="210"/>
      <c r="E7" s="210"/>
      <c r="F7" s="210"/>
      <c r="G7" s="210"/>
      <c r="H7" s="210"/>
    </row>
    <row r="8" spans="2:8" ht="15" customHeight="1" x14ac:dyDescent="0.35">
      <c r="B8" s="288" t="s">
        <v>150</v>
      </c>
      <c r="C8" s="214">
        <v>1400000</v>
      </c>
      <c r="D8" s="214">
        <v>1200000</v>
      </c>
      <c r="E8" s="214">
        <v>1000000</v>
      </c>
      <c r="F8" s="214">
        <f>C8-D8</f>
        <v>200000</v>
      </c>
      <c r="G8" s="214">
        <f>D8-E8</f>
        <v>200000</v>
      </c>
      <c r="H8" s="214">
        <f>C8-E8</f>
        <v>400000</v>
      </c>
    </row>
    <row r="9" spans="2:8" ht="15" customHeight="1" x14ac:dyDescent="0.35">
      <c r="B9" s="287" t="s">
        <v>151</v>
      </c>
      <c r="C9" s="218">
        <v>220000</v>
      </c>
      <c r="D9" s="218">
        <f>C9</f>
        <v>220000</v>
      </c>
      <c r="E9" s="218">
        <v>200000</v>
      </c>
      <c r="F9" s="214" t="s">
        <v>157</v>
      </c>
      <c r="G9" s="214">
        <f>D9-E9</f>
        <v>20000</v>
      </c>
      <c r="H9" s="214">
        <f>C9-E9</f>
        <v>20000</v>
      </c>
    </row>
    <row r="10" spans="2:8" ht="15" customHeight="1" x14ac:dyDescent="0.35">
      <c r="B10" s="287"/>
      <c r="C10" s="289"/>
      <c r="D10" s="289"/>
      <c r="E10" s="289"/>
      <c r="F10" s="289"/>
      <c r="G10" s="289"/>
      <c r="H10" s="289"/>
    </row>
    <row r="11" spans="2:8" ht="15" customHeight="1" x14ac:dyDescent="0.35"/>
    <row r="12" spans="2:8" ht="15" customHeight="1" x14ac:dyDescent="0.35">
      <c r="B12" s="1" t="s">
        <v>228</v>
      </c>
    </row>
    <row r="13" spans="2:8" ht="15" customHeight="1" x14ac:dyDescent="0.35"/>
    <row r="14" spans="2:8" ht="15" customHeight="1" x14ac:dyDescent="0.35">
      <c r="B14" s="1" t="s">
        <v>22</v>
      </c>
    </row>
    <row r="15" spans="2:8" ht="15" customHeight="1" x14ac:dyDescent="0.35">
      <c r="B15" s="1" t="s">
        <v>290</v>
      </c>
    </row>
    <row r="16" spans="2:8" ht="15" customHeight="1" x14ac:dyDescent="0.35"/>
    <row r="17" spans="2:4" ht="15" customHeight="1" x14ac:dyDescent="0.35">
      <c r="B17" s="1" t="s">
        <v>291</v>
      </c>
      <c r="C17" s="1" t="s">
        <v>13</v>
      </c>
      <c r="D17" s="64"/>
    </row>
    <row r="18" spans="2:4" ht="15" customHeight="1" x14ac:dyDescent="0.35"/>
    <row r="19" spans="2:4" ht="15" customHeight="1" x14ac:dyDescent="0.35">
      <c r="B19" s="1" t="s">
        <v>248</v>
      </c>
      <c r="C19" s="1" t="s">
        <v>14</v>
      </c>
    </row>
    <row r="20" spans="2:4" ht="15" customHeight="1" x14ac:dyDescent="0.35">
      <c r="C20" s="1" t="s">
        <v>158</v>
      </c>
    </row>
    <row r="21" spans="2:4" ht="15" customHeight="1" x14ac:dyDescent="0.35"/>
    <row r="22" spans="2:4" ht="15" customHeight="1" x14ac:dyDescent="0.35"/>
    <row r="23" spans="2:4" ht="15" customHeight="1" x14ac:dyDescent="0.35"/>
  </sheetData>
  <mergeCells count="1">
    <mergeCell ref="B4:B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Header>&amp;A</oddHeader>
    <oddFooter>&amp;CLøsninger kapittel 4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pageSetUpPr fitToPage="1"/>
  </sheetPr>
  <dimension ref="A1:G45"/>
  <sheetViews>
    <sheetView zoomScale="96" zoomScaleNormal="96" zoomScalePageLayoutView="96" workbookViewId="0">
      <selection activeCell="F49" sqref="F49"/>
    </sheetView>
  </sheetViews>
  <sheetFormatPr baseColWidth="10" defaultColWidth="11.453125" defaultRowHeight="14.15" customHeight="1" x14ac:dyDescent="0.35"/>
  <cols>
    <col min="1" max="1" width="4.1796875" style="1" customWidth="1"/>
    <col min="2" max="2" width="30.7265625" style="1" customWidth="1"/>
    <col min="3" max="3" width="12.7265625" style="1" bestFit="1" customWidth="1"/>
    <col min="4" max="5" width="11.453125" style="1"/>
    <col min="6" max="6" width="12.1796875" style="1" customWidth="1"/>
    <col min="7" max="16384" width="11.453125" style="1"/>
  </cols>
  <sheetData>
    <row r="1" spans="1:3" ht="16" customHeight="1" x14ac:dyDescent="0.35"/>
    <row r="2" spans="1:3" ht="16" customHeight="1" x14ac:dyDescent="0.35">
      <c r="B2" s="4" t="s">
        <v>187</v>
      </c>
    </row>
    <row r="3" spans="1:3" ht="16" customHeight="1" x14ac:dyDescent="0.35"/>
    <row r="4" spans="1:3" ht="16" customHeight="1" x14ac:dyDescent="0.35">
      <c r="A4" s="1" t="s">
        <v>183</v>
      </c>
      <c r="B4" s="1" t="s">
        <v>207</v>
      </c>
    </row>
    <row r="5" spans="1:3" ht="16" customHeight="1" x14ac:dyDescent="0.35">
      <c r="B5" s="1" t="s">
        <v>30</v>
      </c>
      <c r="C5" s="124">
        <f>100000/1000</f>
        <v>100</v>
      </c>
    </row>
    <row r="6" spans="1:3" ht="16" customHeight="1" x14ac:dyDescent="0.35">
      <c r="B6" s="1" t="s">
        <v>31</v>
      </c>
      <c r="C6" s="124">
        <f>30000/1000</f>
        <v>30</v>
      </c>
    </row>
    <row r="7" spans="1:3" ht="16" customHeight="1" x14ac:dyDescent="0.35"/>
    <row r="8" spans="1:3" ht="16" customHeight="1" x14ac:dyDescent="0.35">
      <c r="A8" s="1" t="s">
        <v>184</v>
      </c>
      <c r="B8" s="1" t="s">
        <v>15</v>
      </c>
      <c r="C8" s="64"/>
    </row>
    <row r="9" spans="1:3" ht="16" customHeight="1" x14ac:dyDescent="0.35">
      <c r="B9" s="1" t="s">
        <v>32</v>
      </c>
      <c r="C9" s="64">
        <v>1100</v>
      </c>
    </row>
    <row r="10" spans="1:3" ht="16" customHeight="1" x14ac:dyDescent="0.35">
      <c r="C10" s="64"/>
    </row>
    <row r="11" spans="1:3" ht="16" customHeight="1" x14ac:dyDescent="0.35">
      <c r="B11" s="1" t="str">
        <f>B5</f>
        <v>Faste indirekte kostnader</v>
      </c>
      <c r="C11" s="64">
        <f>$C$9*C5</f>
        <v>110000</v>
      </c>
    </row>
    <row r="12" spans="1:3" ht="16" customHeight="1" x14ac:dyDescent="0.35">
      <c r="B12" s="9" t="str">
        <f>B6</f>
        <v>Variable indirekte kostnader</v>
      </c>
      <c r="C12" s="8">
        <f>$C$9*C6</f>
        <v>33000</v>
      </c>
    </row>
    <row r="13" spans="1:3" ht="16" customHeight="1" x14ac:dyDescent="0.35">
      <c r="B13" s="1" t="s">
        <v>33</v>
      </c>
      <c r="C13" s="64">
        <f>SUM(C11:C12)</f>
        <v>143000</v>
      </c>
    </row>
    <row r="14" spans="1:3" ht="16" customHeight="1" x14ac:dyDescent="0.35">
      <c r="C14" s="64"/>
    </row>
    <row r="15" spans="1:3" ht="16" customHeight="1" x14ac:dyDescent="0.35">
      <c r="C15" s="64"/>
    </row>
    <row r="16" spans="1:3" ht="16" customHeight="1" x14ac:dyDescent="0.35">
      <c r="A16" s="1" t="s">
        <v>102</v>
      </c>
      <c r="B16" s="2" t="s">
        <v>34</v>
      </c>
      <c r="C16" s="3">
        <f>C13</f>
        <v>143000</v>
      </c>
    </row>
    <row r="17" spans="1:7" ht="16" customHeight="1" x14ac:dyDescent="0.35">
      <c r="B17" s="9" t="s">
        <v>35</v>
      </c>
      <c r="C17" s="8">
        <f>120000+28000</f>
        <v>148000</v>
      </c>
    </row>
    <row r="18" spans="1:7" ht="16" customHeight="1" x14ac:dyDescent="0.35">
      <c r="B18" s="1" t="s">
        <v>16</v>
      </c>
      <c r="C18" s="64">
        <f>C16-C17</f>
        <v>-5000</v>
      </c>
    </row>
    <row r="19" spans="1:7" ht="16" customHeight="1" x14ac:dyDescent="0.35"/>
    <row r="20" spans="1:7" ht="16" customHeight="1" x14ac:dyDescent="0.35"/>
    <row r="21" spans="1:7" ht="16" customHeight="1" x14ac:dyDescent="0.35"/>
    <row r="22" spans="1:7" ht="16" customHeight="1" x14ac:dyDescent="0.35">
      <c r="A22" s="1" t="s">
        <v>94</v>
      </c>
      <c r="B22" s="339"/>
      <c r="C22" s="286" t="s">
        <v>152</v>
      </c>
      <c r="D22" s="286" t="s">
        <v>153</v>
      </c>
      <c r="E22" s="286" t="s">
        <v>189</v>
      </c>
      <c r="F22" s="286" t="s">
        <v>342</v>
      </c>
      <c r="G22" s="286" t="s">
        <v>247</v>
      </c>
    </row>
    <row r="23" spans="1:7" ht="18" customHeight="1" x14ac:dyDescent="0.35">
      <c r="B23" s="339"/>
      <c r="C23" s="287" t="s">
        <v>191</v>
      </c>
      <c r="D23" s="287" t="s">
        <v>237</v>
      </c>
      <c r="E23" s="287" t="s">
        <v>191</v>
      </c>
      <c r="F23" s="287" t="s">
        <v>154</v>
      </c>
      <c r="G23" s="287" t="s">
        <v>154</v>
      </c>
    </row>
    <row r="24" spans="1:7" ht="16" customHeight="1" x14ac:dyDescent="0.35">
      <c r="B24" s="210"/>
      <c r="C24" s="211">
        <v>1</v>
      </c>
      <c r="D24" s="211">
        <v>2</v>
      </c>
      <c r="E24" s="211">
        <v>3</v>
      </c>
      <c r="F24" s="211" t="s">
        <v>292</v>
      </c>
      <c r="G24" s="211" t="s">
        <v>293</v>
      </c>
    </row>
    <row r="25" spans="1:7" ht="16" customHeight="1" x14ac:dyDescent="0.35">
      <c r="B25" s="286" t="s">
        <v>155</v>
      </c>
      <c r="C25" s="210"/>
      <c r="D25" s="210"/>
      <c r="E25" s="210"/>
      <c r="F25" s="210"/>
      <c r="G25" s="210"/>
    </row>
    <row r="26" spans="1:7" ht="16" customHeight="1" x14ac:dyDescent="0.35">
      <c r="B26" s="288" t="s">
        <v>150</v>
      </c>
      <c r="C26" s="214">
        <f>C11</f>
        <v>110000</v>
      </c>
      <c r="D26" s="214">
        <f>100000</f>
        <v>100000</v>
      </c>
      <c r="E26" s="214">
        <v>120000</v>
      </c>
      <c r="F26" s="214">
        <f>C26-D26</f>
        <v>10000</v>
      </c>
      <c r="G26" s="214">
        <f>D26-E26</f>
        <v>-20000</v>
      </c>
    </row>
    <row r="27" spans="1:7" ht="16" customHeight="1" x14ac:dyDescent="0.35">
      <c r="B27" s="287" t="s">
        <v>151</v>
      </c>
      <c r="C27" s="218">
        <f>C12</f>
        <v>33000</v>
      </c>
      <c r="D27" s="218">
        <f>C27</f>
        <v>33000</v>
      </c>
      <c r="E27" s="218">
        <v>28000</v>
      </c>
      <c r="F27" s="214" t="s">
        <v>157</v>
      </c>
      <c r="G27" s="214">
        <f>D27-E27</f>
        <v>5000</v>
      </c>
    </row>
    <row r="28" spans="1:7" ht="16" customHeight="1" x14ac:dyDescent="0.35">
      <c r="B28" s="287"/>
      <c r="C28" s="218"/>
      <c r="D28" s="218"/>
      <c r="E28" s="218"/>
      <c r="F28" s="218"/>
      <c r="G28" s="218"/>
    </row>
    <row r="29" spans="1:7" ht="16" customHeight="1" x14ac:dyDescent="0.35">
      <c r="B29" s="290" t="s">
        <v>17</v>
      </c>
      <c r="C29" s="291"/>
      <c r="D29" s="291"/>
      <c r="E29" s="292"/>
      <c r="F29" s="293">
        <f>SUM(F26:F28)</f>
        <v>10000</v>
      </c>
      <c r="G29" s="293">
        <f>SUM(G26:G28)</f>
        <v>-15000</v>
      </c>
    </row>
    <row r="30" spans="1:7" ht="16" customHeight="1" x14ac:dyDescent="0.35">
      <c r="B30" s="221" t="s">
        <v>21</v>
      </c>
      <c r="C30" s="294"/>
      <c r="D30" s="294"/>
      <c r="E30" s="295"/>
      <c r="F30" s="340">
        <f>F29+G29</f>
        <v>-5000</v>
      </c>
      <c r="G30" s="340"/>
    </row>
    <row r="31" spans="1:7" ht="16" customHeight="1" x14ac:dyDescent="0.35"/>
    <row r="32" spans="1:7" ht="16" customHeight="1" x14ac:dyDescent="0.35">
      <c r="B32" s="1" t="s">
        <v>227</v>
      </c>
    </row>
    <row r="33" spans="2:4" ht="16" customHeight="1" x14ac:dyDescent="0.35"/>
    <row r="34" spans="2:4" ht="16" customHeight="1" x14ac:dyDescent="0.35">
      <c r="B34" s="1" t="s">
        <v>18</v>
      </c>
    </row>
    <row r="35" spans="2:4" ht="16" customHeight="1" x14ac:dyDescent="0.35">
      <c r="B35" s="67" t="s">
        <v>343</v>
      </c>
    </row>
    <row r="36" spans="2:4" ht="16" customHeight="1" x14ac:dyDescent="0.35">
      <c r="B36" s="1" t="s">
        <v>344</v>
      </c>
    </row>
    <row r="37" spans="2:4" ht="16" customHeight="1" x14ac:dyDescent="0.35">
      <c r="B37" s="67" t="s">
        <v>19</v>
      </c>
    </row>
    <row r="38" spans="2:4" ht="16" customHeight="1" x14ac:dyDescent="0.35"/>
    <row r="39" spans="2:4" ht="16" customHeight="1" x14ac:dyDescent="0.35">
      <c r="B39" s="1" t="s">
        <v>291</v>
      </c>
      <c r="C39" s="1" t="s">
        <v>13</v>
      </c>
      <c r="D39" s="64"/>
    </row>
    <row r="40" spans="2:4" ht="16" customHeight="1" x14ac:dyDescent="0.35"/>
    <row r="41" spans="2:4" ht="16" customHeight="1" x14ac:dyDescent="0.35">
      <c r="B41" s="1" t="s">
        <v>248</v>
      </c>
      <c r="C41" s="1" t="s">
        <v>14</v>
      </c>
    </row>
    <row r="42" spans="2:4" ht="16" customHeight="1" x14ac:dyDescent="0.35">
      <c r="C42" s="1" t="s">
        <v>225</v>
      </c>
    </row>
    <row r="43" spans="2:4" ht="16" customHeight="1" x14ac:dyDescent="0.35"/>
    <row r="44" spans="2:4" ht="16" customHeight="1" x14ac:dyDescent="0.35"/>
    <row r="45" spans="2:4" ht="16" customHeight="1" x14ac:dyDescent="0.35"/>
  </sheetData>
  <mergeCells count="2">
    <mergeCell ref="B22:B23"/>
    <mergeCell ref="F30:G3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Header>&amp;A</oddHeader>
    <oddFooter>&amp;CLøsning kapittel 4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fitToPage="1"/>
  </sheetPr>
  <dimension ref="A2:I63"/>
  <sheetViews>
    <sheetView showGridLines="0" workbookViewId="0">
      <selection activeCell="L37" sqref="L37"/>
    </sheetView>
  </sheetViews>
  <sheetFormatPr baseColWidth="10" defaultColWidth="9.1796875" defaultRowHeight="15.5" x14ac:dyDescent="0.35"/>
  <cols>
    <col min="1" max="1" width="5.1796875" style="1" customWidth="1"/>
    <col min="2" max="3" width="10.7265625" style="1" customWidth="1"/>
    <col min="4" max="4" width="11.7265625" style="1" customWidth="1"/>
    <col min="5" max="5" width="13.7265625" style="1" customWidth="1"/>
    <col min="6" max="7" width="10.7265625" style="1" customWidth="1"/>
    <col min="8" max="8" width="11.1796875" style="1" customWidth="1"/>
    <col min="9" max="9" width="11.81640625" style="1" customWidth="1"/>
    <col min="10" max="12" width="10.7265625" style="1" customWidth="1"/>
    <col min="13" max="16384" width="9.1796875" style="1"/>
  </cols>
  <sheetData>
    <row r="2" spans="1:5" x14ac:dyDescent="0.35">
      <c r="B2" s="1" t="s">
        <v>220</v>
      </c>
    </row>
    <row r="4" spans="1:5" x14ac:dyDescent="0.35">
      <c r="B4" s="1" t="s">
        <v>174</v>
      </c>
      <c r="E4" s="297">
        <v>360000</v>
      </c>
    </row>
    <row r="5" spans="1:5" x14ac:dyDescent="0.35">
      <c r="B5" s="1" t="s">
        <v>185</v>
      </c>
      <c r="E5" s="297">
        <v>600000</v>
      </c>
    </row>
    <row r="6" spans="1:5" x14ac:dyDescent="0.35">
      <c r="B6" s="125" t="s">
        <v>140</v>
      </c>
      <c r="E6" s="297"/>
    </row>
    <row r="7" spans="1:5" x14ac:dyDescent="0.35">
      <c r="B7" s="1" t="s">
        <v>141</v>
      </c>
      <c r="E7" s="297">
        <v>90000</v>
      </c>
    </row>
    <row r="8" spans="1:5" x14ac:dyDescent="0.35">
      <c r="B8" s="9" t="s">
        <v>142</v>
      </c>
      <c r="C8" s="9"/>
      <c r="D8" s="9"/>
      <c r="E8" s="298">
        <v>550000</v>
      </c>
    </row>
    <row r="9" spans="1:5" x14ac:dyDescent="0.35">
      <c r="B9" s="1" t="str">
        <f>B25</f>
        <v>Tilvirkningskost</v>
      </c>
      <c r="E9" s="297">
        <f>SUM(E4:E8)</f>
        <v>1600000</v>
      </c>
    </row>
    <row r="10" spans="1:5" x14ac:dyDescent="0.35">
      <c r="B10" s="9" t="s">
        <v>212</v>
      </c>
      <c r="C10" s="9"/>
      <c r="D10" s="9"/>
      <c r="E10" s="298">
        <v>300000</v>
      </c>
    </row>
    <row r="11" spans="1:5" x14ac:dyDescent="0.35">
      <c r="B11" s="9" t="s">
        <v>206</v>
      </c>
      <c r="C11" s="9"/>
      <c r="D11" s="9"/>
      <c r="E11" s="298">
        <f>SUM(E9:E10)</f>
        <v>1900000</v>
      </c>
    </row>
    <row r="13" spans="1:5" x14ac:dyDescent="0.35">
      <c r="A13" s="1" t="s">
        <v>183</v>
      </c>
      <c r="B13" s="1" t="s">
        <v>210</v>
      </c>
    </row>
    <row r="15" spans="1:5" x14ac:dyDescent="0.35">
      <c r="B15" s="1" t="str">
        <f>B7</f>
        <v>Innkjøpsavd.</v>
      </c>
      <c r="E15" s="186">
        <f>E7/E4</f>
        <v>0.25</v>
      </c>
    </row>
    <row r="16" spans="1:5" x14ac:dyDescent="0.35">
      <c r="B16" s="1" t="str">
        <f>B8</f>
        <v>Tilvirkningsavd.</v>
      </c>
      <c r="E16" s="187">
        <f>E8/E5</f>
        <v>0.91666666666666663</v>
      </c>
    </row>
    <row r="17" spans="1:8" x14ac:dyDescent="0.35">
      <c r="B17" s="1" t="str">
        <f>B10</f>
        <v>Administrasjonsavdelingen</v>
      </c>
      <c r="E17" s="187">
        <f>E10/E9</f>
        <v>0.1875</v>
      </c>
    </row>
    <row r="18" spans="1:8" ht="16" thickBot="1" x14ac:dyDescent="0.4"/>
    <row r="19" spans="1:8" x14ac:dyDescent="0.35">
      <c r="A19" s="1" t="s">
        <v>184</v>
      </c>
      <c r="B19" s="40"/>
      <c r="C19" s="41"/>
      <c r="D19" s="41"/>
      <c r="E19" s="188" t="s">
        <v>213</v>
      </c>
      <c r="F19" s="189"/>
      <c r="G19" s="190" t="s">
        <v>214</v>
      </c>
      <c r="H19" s="191"/>
    </row>
    <row r="20" spans="1:8" x14ac:dyDescent="0.35">
      <c r="B20" s="42"/>
      <c r="C20" s="9"/>
      <c r="D20" s="9"/>
      <c r="E20" s="179" t="s">
        <v>221</v>
      </c>
      <c r="F20" s="180" t="s">
        <v>222</v>
      </c>
      <c r="G20" s="181" t="s">
        <v>221</v>
      </c>
      <c r="H20" s="182" t="s">
        <v>222</v>
      </c>
    </row>
    <row r="21" spans="1:8" x14ac:dyDescent="0.35">
      <c r="B21" s="43" t="s">
        <v>174</v>
      </c>
      <c r="C21" s="2"/>
      <c r="D21" s="2"/>
      <c r="E21" s="44">
        <v>3000</v>
      </c>
      <c r="F21" s="44">
        <v>4000</v>
      </c>
      <c r="G21" s="44">
        <v>10000</v>
      </c>
      <c r="H21" s="45">
        <v>9000</v>
      </c>
    </row>
    <row r="22" spans="1:8" x14ac:dyDescent="0.35">
      <c r="B22" s="43" t="s">
        <v>185</v>
      </c>
      <c r="C22" s="2"/>
      <c r="D22" s="2"/>
      <c r="E22" s="44">
        <v>6000</v>
      </c>
      <c r="F22" s="44">
        <v>6600</v>
      </c>
      <c r="G22" s="44">
        <v>18000</v>
      </c>
      <c r="H22" s="45">
        <v>21000</v>
      </c>
    </row>
    <row r="23" spans="1:8" x14ac:dyDescent="0.35">
      <c r="B23" s="43" t="s">
        <v>215</v>
      </c>
      <c r="C23" s="2"/>
      <c r="D23" s="2"/>
      <c r="E23" s="44">
        <f>E15*E21</f>
        <v>750</v>
      </c>
      <c r="F23" s="44">
        <f>E15*F21</f>
        <v>1000</v>
      </c>
      <c r="G23" s="44">
        <f>E15*G21</f>
        <v>2500</v>
      </c>
      <c r="H23" s="45">
        <f>E15*H21</f>
        <v>2250</v>
      </c>
    </row>
    <row r="24" spans="1:8" x14ac:dyDescent="0.35">
      <c r="B24" s="42" t="s">
        <v>216</v>
      </c>
      <c r="C24" s="9"/>
      <c r="D24" s="63"/>
      <c r="E24" s="44">
        <f>E22*E16</f>
        <v>5500</v>
      </c>
      <c r="F24" s="44">
        <f>F22*E16</f>
        <v>6050</v>
      </c>
      <c r="G24" s="44">
        <f>G22*E16</f>
        <v>16500</v>
      </c>
      <c r="H24" s="45">
        <f>H22*E16</f>
        <v>19250</v>
      </c>
    </row>
    <row r="25" spans="1:8" x14ac:dyDescent="0.35">
      <c r="B25" s="43" t="s">
        <v>182</v>
      </c>
      <c r="C25" s="2"/>
      <c r="D25" s="2"/>
      <c r="E25" s="299">
        <f>SUM(E21:E24)</f>
        <v>15250</v>
      </c>
      <c r="F25" s="299">
        <f>SUM(F21:F24)</f>
        <v>17650</v>
      </c>
      <c r="G25" s="299">
        <f>SUM(G21:G24)</f>
        <v>47000</v>
      </c>
      <c r="H25" s="300">
        <f>SUM(H21:H24)</f>
        <v>51500</v>
      </c>
    </row>
    <row r="26" spans="1:8" ht="16" thickBot="1" x14ac:dyDescent="0.4">
      <c r="B26" s="46" t="s">
        <v>346</v>
      </c>
      <c r="C26" s="47"/>
      <c r="D26" s="47"/>
      <c r="E26" s="341">
        <f>E25-F25</f>
        <v>-2400</v>
      </c>
      <c r="F26" s="342"/>
      <c r="G26" s="343">
        <f>G25-H25</f>
        <v>-4500</v>
      </c>
      <c r="H26" s="344"/>
    </row>
    <row r="27" spans="1:8" x14ac:dyDescent="0.35">
      <c r="B27" s="2"/>
      <c r="C27" s="2"/>
      <c r="D27" s="2"/>
      <c r="E27" s="3"/>
      <c r="F27" s="3"/>
      <c r="G27" s="3"/>
      <c r="H27" s="3"/>
    </row>
    <row r="28" spans="1:8" x14ac:dyDescent="0.35">
      <c r="B28" s="2" t="s">
        <v>217</v>
      </c>
      <c r="C28" s="2"/>
      <c r="D28" s="2"/>
      <c r="E28" s="3"/>
      <c r="F28" s="3"/>
      <c r="G28" s="3"/>
      <c r="H28" s="3"/>
    </row>
    <row r="29" spans="1:8" x14ac:dyDescent="0.35">
      <c r="B29" s="2" t="s">
        <v>218</v>
      </c>
      <c r="C29" s="2"/>
      <c r="D29" s="2"/>
      <c r="E29" s="3"/>
      <c r="F29" s="3"/>
      <c r="G29" s="3"/>
      <c r="H29" s="3"/>
    </row>
    <row r="30" spans="1:8" x14ac:dyDescent="0.35">
      <c r="B30" s="2" t="s">
        <v>223</v>
      </c>
      <c r="C30" s="2"/>
      <c r="D30" s="2"/>
      <c r="E30" s="3"/>
      <c r="F30" s="3"/>
      <c r="G30" s="3"/>
      <c r="H30" s="3"/>
    </row>
    <row r="31" spans="1:8" x14ac:dyDescent="0.35">
      <c r="C31" s="2"/>
      <c r="D31" s="2"/>
      <c r="E31" s="3"/>
      <c r="F31" s="3"/>
      <c r="G31" s="3"/>
      <c r="H31" s="3"/>
    </row>
    <row r="32" spans="1:8" x14ac:dyDescent="0.35">
      <c r="B32" s="1" t="s">
        <v>347</v>
      </c>
      <c r="C32" s="2"/>
      <c r="D32" s="2"/>
      <c r="E32" s="3"/>
      <c r="F32" s="3"/>
      <c r="G32" s="3"/>
      <c r="H32" s="3"/>
    </row>
    <row r="33" spans="1:8" x14ac:dyDescent="0.35">
      <c r="B33" s="1" t="s">
        <v>348</v>
      </c>
      <c r="C33" s="2"/>
      <c r="D33" s="2"/>
      <c r="E33" s="3"/>
      <c r="F33" s="3"/>
      <c r="G33" s="3"/>
      <c r="H33" s="3"/>
    </row>
    <row r="34" spans="1:8" x14ac:dyDescent="0.35">
      <c r="B34" s="1" t="s">
        <v>349</v>
      </c>
      <c r="C34" s="2"/>
      <c r="D34" s="2"/>
      <c r="E34" s="3"/>
      <c r="F34" s="3"/>
      <c r="G34" s="3"/>
      <c r="H34" s="3"/>
    </row>
    <row r="35" spans="1:8" x14ac:dyDescent="0.35">
      <c r="A35" s="1" t="s">
        <v>102</v>
      </c>
      <c r="B35" s="2"/>
      <c r="C35" s="2"/>
      <c r="D35" s="2"/>
      <c r="E35" s="3"/>
      <c r="F35" s="3"/>
      <c r="G35" s="3"/>
      <c r="H35" s="3"/>
    </row>
    <row r="37" spans="1:8" x14ac:dyDescent="0.35">
      <c r="B37" s="48"/>
      <c r="C37" s="49"/>
      <c r="D37" s="49"/>
      <c r="E37" s="62"/>
      <c r="F37" s="50" t="s">
        <v>136</v>
      </c>
      <c r="G37" s="202" t="s">
        <v>189</v>
      </c>
      <c r="H37" s="50" t="s">
        <v>137</v>
      </c>
    </row>
    <row r="38" spans="1:8" x14ac:dyDescent="0.35">
      <c r="B38" s="51"/>
      <c r="C38" s="9"/>
      <c r="D38" s="9"/>
      <c r="E38" s="63"/>
      <c r="F38" s="52" t="s">
        <v>138</v>
      </c>
      <c r="G38" s="203" t="s">
        <v>191</v>
      </c>
      <c r="H38" s="52" t="s">
        <v>139</v>
      </c>
    </row>
    <row r="39" spans="1:8" x14ac:dyDescent="0.35">
      <c r="B39" s="51" t="s">
        <v>196</v>
      </c>
      <c r="C39" s="208"/>
      <c r="D39" s="208"/>
      <c r="E39" s="302"/>
      <c r="F39" s="275">
        <v>143000</v>
      </c>
      <c r="G39" s="79">
        <f>F39</f>
        <v>143000</v>
      </c>
      <c r="H39" s="79"/>
    </row>
    <row r="40" spans="1:8" x14ac:dyDescent="0.35">
      <c r="B40" s="54"/>
      <c r="C40" s="2"/>
      <c r="D40" s="2"/>
      <c r="F40" s="79"/>
      <c r="G40" s="105"/>
      <c r="H40" s="79"/>
    </row>
    <row r="41" spans="1:8" x14ac:dyDescent="0.35">
      <c r="B41" s="54" t="s">
        <v>174</v>
      </c>
      <c r="C41" s="2"/>
      <c r="D41" s="2"/>
      <c r="F41" s="55">
        <v>28000</v>
      </c>
      <c r="G41" s="3">
        <f>F41</f>
        <v>28000</v>
      </c>
      <c r="H41" s="55"/>
    </row>
    <row r="42" spans="1:8" x14ac:dyDescent="0.35">
      <c r="B42" s="54" t="s">
        <v>185</v>
      </c>
      <c r="C42" s="2"/>
      <c r="D42" s="2"/>
      <c r="F42" s="55">
        <v>45000</v>
      </c>
      <c r="G42" s="3">
        <f>F42</f>
        <v>45000</v>
      </c>
      <c r="H42" s="55"/>
    </row>
    <row r="43" spans="1:8" x14ac:dyDescent="0.35">
      <c r="B43" s="58" t="s">
        <v>140</v>
      </c>
      <c r="C43" s="2"/>
      <c r="D43" s="2"/>
      <c r="F43" s="55"/>
      <c r="G43" s="3"/>
      <c r="H43" s="55"/>
    </row>
    <row r="44" spans="1:8" x14ac:dyDescent="0.35">
      <c r="B44" s="54" t="s">
        <v>141</v>
      </c>
      <c r="C44" s="2"/>
      <c r="D44" s="2"/>
      <c r="E44" s="301">
        <f>E15</f>
        <v>0.25</v>
      </c>
      <c r="F44" s="55">
        <f>F41*E44</f>
        <v>7000</v>
      </c>
      <c r="G44" s="3">
        <v>7400</v>
      </c>
      <c r="H44" s="55">
        <f>F44-G44</f>
        <v>-400</v>
      </c>
    </row>
    <row r="45" spans="1:8" x14ac:dyDescent="0.35">
      <c r="B45" s="51" t="s">
        <v>142</v>
      </c>
      <c r="C45" s="9"/>
      <c r="D45" s="9"/>
      <c r="E45" s="303">
        <f>E16</f>
        <v>0.91666666666666663</v>
      </c>
      <c r="F45" s="60">
        <f>F42*E45</f>
        <v>41250</v>
      </c>
      <c r="G45" s="3">
        <v>44300</v>
      </c>
      <c r="H45" s="55">
        <f>F45-G45</f>
        <v>-3050</v>
      </c>
    </row>
    <row r="46" spans="1:8" x14ac:dyDescent="0.35">
      <c r="B46" s="54" t="s">
        <v>59</v>
      </c>
      <c r="C46" s="2"/>
      <c r="D46" s="2"/>
      <c r="F46" s="55">
        <f>SUM(F41:F45)</f>
        <v>121250</v>
      </c>
      <c r="G46" s="3"/>
      <c r="H46" s="55"/>
    </row>
    <row r="47" spans="1:8" x14ac:dyDescent="0.35">
      <c r="B47" s="51" t="s">
        <v>193</v>
      </c>
      <c r="C47" s="9"/>
      <c r="D47" s="9"/>
      <c r="E47" s="9"/>
      <c r="F47" s="60">
        <f>E26</f>
        <v>-2400</v>
      </c>
      <c r="G47" s="3">
        <f>SUM(F47)</f>
        <v>-2400</v>
      </c>
      <c r="H47" s="55"/>
    </row>
    <row r="48" spans="1:8" x14ac:dyDescent="0.35">
      <c r="B48" s="54" t="s">
        <v>60</v>
      </c>
      <c r="C48" s="2"/>
      <c r="D48" s="2"/>
      <c r="F48" s="55">
        <f>SUM(F46:F47)</f>
        <v>118850</v>
      </c>
      <c r="G48" s="3"/>
      <c r="H48" s="55"/>
    </row>
    <row r="49" spans="1:9" x14ac:dyDescent="0.35">
      <c r="B49" s="51" t="s">
        <v>194</v>
      </c>
      <c r="C49" s="9"/>
      <c r="D49" s="9"/>
      <c r="E49" s="63"/>
      <c r="F49" s="60">
        <f>G26</f>
        <v>-4500</v>
      </c>
      <c r="G49" s="3">
        <f>SUM(F49)</f>
        <v>-4500</v>
      </c>
      <c r="H49" s="55"/>
    </row>
    <row r="50" spans="1:9" x14ac:dyDescent="0.35">
      <c r="B50" s="54" t="s">
        <v>205</v>
      </c>
      <c r="C50" s="2"/>
      <c r="D50" s="2"/>
      <c r="F50" s="55">
        <f>SUM(F48:F49)</f>
        <v>114350</v>
      </c>
      <c r="G50" s="3"/>
      <c r="H50" s="55"/>
    </row>
    <row r="51" spans="1:9" x14ac:dyDescent="0.35">
      <c r="B51" s="51" t="s">
        <v>224</v>
      </c>
      <c r="C51" s="9"/>
      <c r="D51" s="9"/>
      <c r="E51" s="304">
        <f>E17</f>
        <v>0.1875</v>
      </c>
      <c r="F51" s="60">
        <f>F50*E51</f>
        <v>21440.625</v>
      </c>
      <c r="G51" s="3">
        <v>25000</v>
      </c>
      <c r="H51" s="55">
        <f>F51-G51</f>
        <v>-3559.375</v>
      </c>
    </row>
    <row r="52" spans="1:9" x14ac:dyDescent="0.35">
      <c r="B52" s="54" t="s">
        <v>58</v>
      </c>
      <c r="C52" s="2"/>
      <c r="D52" s="2"/>
      <c r="F52" s="55">
        <f>SUM(F50:F51)</f>
        <v>135790.625</v>
      </c>
      <c r="G52" s="3"/>
      <c r="H52" s="55"/>
    </row>
    <row r="53" spans="1:9" x14ac:dyDescent="0.35">
      <c r="B53" s="51"/>
      <c r="C53" s="9"/>
      <c r="D53" s="9"/>
      <c r="E53" s="63"/>
      <c r="F53" s="60"/>
      <c r="G53" s="3"/>
      <c r="H53" s="55"/>
    </row>
    <row r="54" spans="1:9" x14ac:dyDescent="0.35">
      <c r="B54" s="54" t="s">
        <v>197</v>
      </c>
      <c r="C54" s="2"/>
      <c r="D54" s="2"/>
      <c r="F54" s="55">
        <f>F39-F52</f>
        <v>7209.375</v>
      </c>
      <c r="G54" s="3"/>
      <c r="H54" s="55"/>
    </row>
    <row r="55" spans="1:9" x14ac:dyDescent="0.35">
      <c r="B55" s="51" t="s">
        <v>198</v>
      </c>
      <c r="C55" s="9"/>
      <c r="D55" s="9"/>
      <c r="E55" s="63"/>
      <c r="F55" s="60">
        <f>H55</f>
        <v>-7009.375</v>
      </c>
      <c r="G55" s="3"/>
      <c r="H55" s="55">
        <f>SUM(H41:H54)</f>
        <v>-7009.375</v>
      </c>
    </row>
    <row r="56" spans="1:9" x14ac:dyDescent="0.35">
      <c r="B56" s="51" t="s">
        <v>144</v>
      </c>
      <c r="C56" s="9"/>
      <c r="D56" s="9"/>
      <c r="E56" s="63"/>
      <c r="F56" s="60">
        <f>SUM(F54:F55)</f>
        <v>200</v>
      </c>
      <c r="G56" s="95">
        <f>-SUM(G41:G51)+G39</f>
        <v>200</v>
      </c>
      <c r="H56" s="60"/>
    </row>
    <row r="58" spans="1:9" x14ac:dyDescent="0.35">
      <c r="D58" s="64"/>
      <c r="E58" s="64"/>
      <c r="F58" s="64"/>
      <c r="G58" s="64"/>
      <c r="H58" s="64"/>
    </row>
    <row r="59" spans="1:9" x14ac:dyDescent="0.35">
      <c r="A59" s="1" t="s">
        <v>94</v>
      </c>
      <c r="B59" s="192"/>
      <c r="C59" s="193"/>
      <c r="D59" s="194"/>
      <c r="E59" s="195"/>
      <c r="F59" s="195"/>
      <c r="G59" s="306" t="s">
        <v>147</v>
      </c>
      <c r="H59" s="307" t="s">
        <v>147</v>
      </c>
      <c r="I59" s="196" t="s">
        <v>351</v>
      </c>
    </row>
    <row r="60" spans="1:9" x14ac:dyDescent="0.35">
      <c r="B60" s="197" t="s">
        <v>145</v>
      </c>
      <c r="C60" s="198"/>
      <c r="D60" s="197" t="s">
        <v>146</v>
      </c>
      <c r="E60" s="199"/>
      <c r="F60" s="199"/>
      <c r="G60" s="200" t="s">
        <v>350</v>
      </c>
      <c r="H60" s="305" t="s">
        <v>352</v>
      </c>
      <c r="I60" s="201" t="s">
        <v>148</v>
      </c>
    </row>
    <row r="61" spans="1:9" x14ac:dyDescent="0.35">
      <c r="B61" s="54" t="s">
        <v>141</v>
      </c>
      <c r="C61" s="2"/>
      <c r="D61" s="44" t="s">
        <v>174</v>
      </c>
      <c r="E61" s="3"/>
      <c r="F61" s="57"/>
      <c r="G61" s="3">
        <f>E4/12</f>
        <v>30000</v>
      </c>
      <c r="H61" s="55">
        <f>F41</f>
        <v>28000</v>
      </c>
      <c r="I61" s="59">
        <f>H61/G61</f>
        <v>0.93333333333333335</v>
      </c>
    </row>
    <row r="62" spans="1:9" x14ac:dyDescent="0.35">
      <c r="B62" s="54" t="s">
        <v>142</v>
      </c>
      <c r="C62" s="2"/>
      <c r="D62" s="54" t="s">
        <v>185</v>
      </c>
      <c r="E62" s="2"/>
      <c r="F62" s="56"/>
      <c r="G62" s="3">
        <f>E5/12</f>
        <v>50000</v>
      </c>
      <c r="H62" s="55">
        <f>F42</f>
        <v>45000</v>
      </c>
      <c r="I62" s="59">
        <f>H62/G62</f>
        <v>0.9</v>
      </c>
    </row>
    <row r="63" spans="1:9" x14ac:dyDescent="0.35">
      <c r="B63" s="51" t="s">
        <v>149</v>
      </c>
      <c r="C63" s="9"/>
      <c r="D63" s="51" t="s">
        <v>143</v>
      </c>
      <c r="E63" s="9"/>
      <c r="F63" s="63"/>
      <c r="G63" s="8">
        <f>E9/12</f>
        <v>133333.33333333334</v>
      </c>
      <c r="H63" s="60">
        <f>F50</f>
        <v>114350</v>
      </c>
      <c r="I63" s="65">
        <f>H63/G63</f>
        <v>0.85762499999999997</v>
      </c>
    </row>
  </sheetData>
  <mergeCells count="2">
    <mergeCell ref="E26:F26"/>
    <mergeCell ref="G26:H26"/>
  </mergeCells>
  <phoneticPr fontId="0" type="noConversion"/>
  <printOptions gridLinesSet="0"/>
  <pageMargins left="0.35433070866141736" right="0.35433070866141736" top="0.78740157480314965" bottom="0.78740157480314965" header="0.51181102362204722" footer="0.51181102362204722"/>
  <pageSetup paperSize="9" fitToHeight="2" orientation="portrait" horizontalDpi="4294967292" verticalDpi="4294967292" r:id="rId1"/>
  <headerFooter alignWithMargins="0">
    <oddHeader>&amp;A&amp;RSide &amp;P</oddHeader>
    <oddFooter>&amp;CLøsninger kapittel 4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4.1</vt:lpstr>
      <vt:lpstr>4.2</vt:lpstr>
      <vt:lpstr>4.3</vt:lpstr>
      <vt:lpstr>4.4</vt:lpstr>
      <vt:lpstr>4.5</vt:lpstr>
      <vt:lpstr>4.6</vt:lpstr>
      <vt:lpstr>4.7 </vt:lpstr>
      <vt:lpstr>4.8</vt:lpstr>
      <vt:lpstr>4.9</vt:lpstr>
      <vt:lpstr>4.10</vt:lpstr>
      <vt:lpstr>4.11 med korrekt opgavetekst</vt:lpstr>
      <vt:lpstr>4.12</vt:lpstr>
      <vt:lpstr>4.13</vt:lpstr>
      <vt:lpstr>4.14</vt:lpstr>
      <vt:lpstr>4.15</vt:lpstr>
      <vt:lpstr>4.16</vt:lpstr>
    </vt:vector>
  </TitlesOfParts>
  <Company>HVE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It-fellestjenester</dc:creator>
  <cp:lastModifiedBy>Trond Winther</cp:lastModifiedBy>
  <cp:lastPrinted>2019-01-11T08:56:55Z</cp:lastPrinted>
  <dcterms:created xsi:type="dcterms:W3CDTF">2006-01-13T13:38:20Z</dcterms:created>
  <dcterms:modified xsi:type="dcterms:W3CDTF">2022-01-26T15:49:34Z</dcterms:modified>
</cp:coreProperties>
</file>