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D:\Documents\Mine dokumenter\Hjelper-finans\7. utgave\LF oppgaver Excel\"/>
    </mc:Choice>
  </mc:AlternateContent>
  <xr:revisionPtr revIDLastSave="0" documentId="8_{39DDB59F-BE25-42C2-B1D1-918D262EC520}" xr6:coauthVersionLast="47" xr6:coauthVersionMax="47" xr10:uidLastSave="{00000000-0000-0000-0000-000000000000}"/>
  <bookViews>
    <workbookView xWindow="-120" yWindow="-120" windowWidth="38640" windowHeight="21120" activeTab="3" xr2:uid="{00000000-000D-0000-FFFF-FFFF00000000}"/>
  </bookViews>
  <sheets>
    <sheet name="Oppgave 11.1" sheetId="27" r:id="rId1"/>
    <sheet name="Oppgave 11.2" sheetId="28" r:id="rId2"/>
    <sheet name="Oppgave 11.3" sheetId="29" r:id="rId3"/>
    <sheet name="Oppgave 11.4" sheetId="30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0" i="30" l="1"/>
  <c r="B27" i="30"/>
  <c r="B25" i="30"/>
  <c r="B24" i="30"/>
  <c r="B19" i="30"/>
  <c r="B17" i="30"/>
  <c r="B22" i="30"/>
  <c r="B14" i="30"/>
  <c r="B12" i="30"/>
  <c r="C8" i="30"/>
  <c r="C9" i="30" s="1"/>
  <c r="B16" i="30" s="1"/>
  <c r="B18" i="30" s="1"/>
  <c r="B8" i="30"/>
  <c r="B9" i="30" s="1"/>
  <c r="B25" i="28"/>
  <c r="B22" i="28"/>
  <c r="B16" i="29"/>
  <c r="G26" i="29"/>
  <c r="B28" i="29" s="1"/>
  <c r="B26" i="29"/>
  <c r="C23" i="29"/>
  <c r="G23" i="29" s="1"/>
  <c r="C22" i="29"/>
  <c r="C21" i="29"/>
  <c r="F21" i="29" s="1"/>
  <c r="B17" i="29"/>
  <c r="B14" i="28"/>
  <c r="B21" i="28"/>
  <c r="E20" i="28"/>
  <c r="E23" i="28" s="1"/>
  <c r="F20" i="28"/>
  <c r="F23" i="28" s="1"/>
  <c r="G20" i="28"/>
  <c r="G23" i="28" s="1"/>
  <c r="C20" i="28"/>
  <c r="C23" i="28" s="1"/>
  <c r="D19" i="28"/>
  <c r="D20" i="28" s="1"/>
  <c r="D23" i="28" s="1"/>
  <c r="E19" i="28"/>
  <c r="F19" i="28"/>
  <c r="G19" i="28"/>
  <c r="C19" i="28"/>
  <c r="B10" i="28"/>
  <c r="B15" i="28" s="1"/>
  <c r="B20" i="27"/>
  <c r="B15" i="27"/>
  <c r="B14" i="27"/>
  <c r="B13" i="27"/>
  <c r="B11" i="30" l="1"/>
  <c r="B13" i="30" s="1"/>
  <c r="B21" i="30"/>
  <c r="G21" i="29"/>
  <c r="C24" i="29"/>
  <c r="C25" i="29"/>
  <c r="C29" i="29" s="1"/>
  <c r="E22" i="29"/>
  <c r="F22" i="29"/>
  <c r="G22" i="29"/>
  <c r="G24" i="29" s="1"/>
  <c r="D23" i="29"/>
  <c r="B27" i="29"/>
  <c r="B29" i="29" s="1"/>
  <c r="E23" i="29"/>
  <c r="F23" i="29"/>
  <c r="D22" i="29"/>
  <c r="D21" i="29"/>
  <c r="D24" i="29" s="1"/>
  <c r="E21" i="29"/>
  <c r="E24" i="29" s="1"/>
  <c r="B23" i="28"/>
  <c r="F24" i="29" l="1"/>
  <c r="G25" i="29"/>
  <c r="G29" i="29" s="1"/>
  <c r="F25" i="29"/>
  <c r="F29" i="29" s="1"/>
  <c r="E25" i="29"/>
  <c r="E29" i="29" s="1"/>
  <c r="D25" i="29"/>
  <c r="D29" i="29" s="1"/>
  <c r="B31" i="29" s="1"/>
</calcChain>
</file>

<file path=xl/sharedStrings.xml><?xml version="1.0" encoding="utf-8"?>
<sst xmlns="http://schemas.openxmlformats.org/spreadsheetml/2006/main" count="79" uniqueCount="59">
  <si>
    <t>År</t>
  </si>
  <si>
    <t>Kovarians</t>
  </si>
  <si>
    <t>Varians marked</t>
  </si>
  <si>
    <t>Beta</t>
  </si>
  <si>
    <t>Markedsavkastning</t>
  </si>
  <si>
    <t>Risikori rente</t>
  </si>
  <si>
    <t>Forventet avkastning</t>
  </si>
  <si>
    <t>Investeringsutgift</t>
  </si>
  <si>
    <t>Kontantstrøm før skatt</t>
  </si>
  <si>
    <t>Forventet årlig prisstigning</t>
  </si>
  <si>
    <t>Levetid (år)</t>
  </si>
  <si>
    <t>Avskrivningssats</t>
  </si>
  <si>
    <t>Skattesats</t>
  </si>
  <si>
    <t>Risikofri rente</t>
  </si>
  <si>
    <t>Egenkapitalandel</t>
  </si>
  <si>
    <t>Gjeldsandel</t>
  </si>
  <si>
    <t>Lånerente</t>
  </si>
  <si>
    <t>Egenkapitalbeta</t>
  </si>
  <si>
    <t>Avkastningskrav egenkapital</t>
  </si>
  <si>
    <t>Totalavkastningskrav (WACC)</t>
  </si>
  <si>
    <t>WACC avrundet</t>
  </si>
  <si>
    <t>Skatt</t>
  </si>
  <si>
    <t>Anleggsmidler</t>
  </si>
  <si>
    <t>NV spart skatt avskrivninger</t>
  </si>
  <si>
    <t>Beregningsgrunnlag</t>
  </si>
  <si>
    <t>Nåverdi etter skatt</t>
  </si>
  <si>
    <t>Salgspris</t>
  </si>
  <si>
    <t>Variable enhetskostnader</t>
  </si>
  <si>
    <t>Betalbare faste enhetskostnader</t>
  </si>
  <si>
    <t>Salgsvolum</t>
  </si>
  <si>
    <t>Restverdi</t>
  </si>
  <si>
    <t>Forventet prisstigning</t>
  </si>
  <si>
    <t>Avskrivning</t>
  </si>
  <si>
    <t>Risikofri rente før skatt</t>
  </si>
  <si>
    <t>Avkastning markedsportefølje</t>
  </si>
  <si>
    <t>Lånerente før skatt</t>
  </si>
  <si>
    <t>WACC</t>
  </si>
  <si>
    <t>Omsetning</t>
  </si>
  <si>
    <t>Variable kostnader</t>
  </si>
  <si>
    <t>Faste kostnader</t>
  </si>
  <si>
    <t>Kontantstrøm drift føt skatt</t>
  </si>
  <si>
    <t>NV spart skatt avskrivning</t>
  </si>
  <si>
    <t>NV økt skatt nedskriving</t>
  </si>
  <si>
    <t>Marked</t>
  </si>
  <si>
    <t>Aksje B</t>
  </si>
  <si>
    <t>Sum</t>
  </si>
  <si>
    <t>Gjennomsnitt</t>
  </si>
  <si>
    <t>Varians M</t>
  </si>
  <si>
    <t>Varians M alternativt</t>
  </si>
  <si>
    <t>Standardavvik M</t>
  </si>
  <si>
    <t>Standardavvik alternativt</t>
  </si>
  <si>
    <t>Varians B</t>
  </si>
  <si>
    <t>Varians B alternativt</t>
  </si>
  <si>
    <t>Standardavvik B</t>
  </si>
  <si>
    <t>Kovarians alternativt</t>
  </si>
  <si>
    <t>Korrelasjon</t>
  </si>
  <si>
    <t>Korrelasjon alternativt</t>
  </si>
  <si>
    <r>
      <t>r</t>
    </r>
    <r>
      <rPr>
        <sz val="8"/>
        <color theme="1"/>
        <rFont val="Calibri"/>
        <family val="2"/>
        <scheme val="minor"/>
      </rPr>
      <t>m</t>
    </r>
  </si>
  <si>
    <r>
      <t>r</t>
    </r>
    <r>
      <rPr>
        <sz val="8"/>
        <color theme="1"/>
        <rFont val="Calibri"/>
        <family val="2"/>
        <scheme val="minor"/>
      </rPr>
      <t>j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</si>
</sst>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000"/>
    <numFmt numFmtId="165" formatCode="_-* #,##0_-;\-* #,##0_-;_-* &quot;-&quot;??_-;_-@_-"/>
    <numFmt numFmtId="166" formatCode="0.00000"/>
    <numFmt numFmtId="167" formatCode="0.000\ 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0" fontId="0" fillId="2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2" fontId="0" fillId="4" borderId="2" xfId="0" applyNumberFormat="1" applyFill="1" applyBorder="1" applyAlignment="1">
      <alignment horizontal="center"/>
    </xf>
    <xf numFmtId="2" fontId="0" fillId="4" borderId="3" xfId="0" applyNumberFormat="1" applyFill="1" applyBorder="1" applyAlignment="1">
      <alignment horizontal="center"/>
    </xf>
    <xf numFmtId="0" fontId="0" fillId="5" borderId="4" xfId="0" applyFill="1" applyBorder="1" applyAlignment="1">
      <alignment horizontal="left"/>
    </xf>
    <xf numFmtId="0" fontId="0" fillId="5" borderId="2" xfId="0" applyFill="1" applyBorder="1" applyAlignment="1">
      <alignment horizontal="left"/>
    </xf>
    <xf numFmtId="0" fontId="0" fillId="5" borderId="3" xfId="0" applyFill="1" applyBorder="1" applyAlignment="1">
      <alignment horizontal="left"/>
    </xf>
    <xf numFmtId="164" fontId="0" fillId="6" borderId="4" xfId="0" applyNumberFormat="1" applyFill="1" applyBorder="1" applyAlignment="1">
      <alignment horizontal="center"/>
    </xf>
    <xf numFmtId="164" fontId="0" fillId="6" borderId="2" xfId="0" applyNumberFormat="1" applyFill="1" applyBorder="1" applyAlignment="1">
      <alignment horizontal="center"/>
    </xf>
    <xf numFmtId="164" fontId="0" fillId="6" borderId="3" xfId="0" applyNumberFormat="1" applyFill="1" applyBorder="1" applyAlignment="1">
      <alignment horizontal="center"/>
    </xf>
    <xf numFmtId="0" fontId="0" fillId="6" borderId="4" xfId="0" applyFill="1" applyBorder="1"/>
    <xf numFmtId="0" fontId="0" fillId="6" borderId="2" xfId="0" applyFill="1" applyBorder="1"/>
    <xf numFmtId="0" fontId="0" fillId="6" borderId="3" xfId="0" applyFill="1" applyBorder="1"/>
    <xf numFmtId="3" fontId="0" fillId="4" borderId="4" xfId="0" applyNumberFormat="1" applyFill="1" applyBorder="1"/>
    <xf numFmtId="3" fontId="0" fillId="4" borderId="2" xfId="0" applyNumberFormat="1" applyFill="1" applyBorder="1"/>
    <xf numFmtId="9" fontId="0" fillId="4" borderId="2" xfId="0" applyNumberFormat="1" applyFill="1" applyBorder="1"/>
    <xf numFmtId="0" fontId="0" fillId="4" borderId="2" xfId="0" applyFill="1" applyBorder="1"/>
    <xf numFmtId="10" fontId="0" fillId="4" borderId="2" xfId="0" applyNumberFormat="1" applyFill="1" applyBorder="1"/>
    <xf numFmtId="2" fontId="0" fillId="4" borderId="3" xfId="0" applyNumberFormat="1" applyFill="1" applyBorder="1"/>
    <xf numFmtId="10" fontId="0" fillId="3" borderId="4" xfId="0" applyNumberFormat="1" applyFill="1" applyBorder="1"/>
    <xf numFmtId="10" fontId="0" fillId="3" borderId="3" xfId="0" applyNumberFormat="1" applyFill="1" applyBorder="1"/>
    <xf numFmtId="0" fontId="0" fillId="0" borderId="2" xfId="0" applyBorder="1"/>
    <xf numFmtId="3" fontId="0" fillId="0" borderId="2" xfId="0" applyNumberFormat="1" applyBorder="1"/>
    <xf numFmtId="165" fontId="0" fillId="0" borderId="3" xfId="3" applyNumberFormat="1" applyFont="1" applyBorder="1"/>
    <xf numFmtId="165" fontId="0" fillId="3" borderId="1" xfId="3" applyNumberFormat="1" applyFont="1" applyFill="1" applyBorder="1"/>
    <xf numFmtId="0" fontId="0" fillId="2" borderId="1" xfId="0" applyFill="1" applyBorder="1"/>
    <xf numFmtId="0" fontId="0" fillId="0" borderId="3" xfId="0" applyBorder="1"/>
    <xf numFmtId="0" fontId="0" fillId="3" borderId="1" xfId="0" applyFill="1" applyBorder="1"/>
    <xf numFmtId="165" fontId="0" fillId="0" borderId="2" xfId="3" applyNumberFormat="1" applyFont="1" applyBorder="1"/>
    <xf numFmtId="165" fontId="0" fillId="0" borderId="2" xfId="0" applyNumberFormat="1" applyBorder="1"/>
    <xf numFmtId="10" fontId="0" fillId="4" borderId="4" xfId="1" applyNumberFormat="1" applyFont="1" applyFill="1" applyBorder="1" applyAlignment="1">
      <alignment horizontal="center"/>
    </xf>
    <xf numFmtId="10" fontId="0" fillId="4" borderId="3" xfId="0" applyNumberFormat="1" applyFill="1" applyBorder="1" applyAlignment="1">
      <alignment horizontal="center"/>
    </xf>
    <xf numFmtId="165" fontId="0" fillId="5" borderId="1" xfId="0" applyNumberFormat="1" applyFill="1" applyBorder="1"/>
    <xf numFmtId="3" fontId="0" fillId="0" borderId="3" xfId="0" applyNumberFormat="1" applyBorder="1"/>
    <xf numFmtId="3" fontId="0" fillId="2" borderId="1" xfId="0" applyNumberFormat="1" applyFill="1" applyBorder="1"/>
    <xf numFmtId="0" fontId="0" fillId="4" borderId="4" xfId="0" applyFill="1" applyBorder="1"/>
    <xf numFmtId="0" fontId="0" fillId="4" borderId="3" xfId="0" applyFill="1" applyBorder="1"/>
    <xf numFmtId="3" fontId="0" fillId="6" borderId="2" xfId="0" applyNumberFormat="1" applyFill="1" applyBorder="1"/>
    <xf numFmtId="2" fontId="0" fillId="6" borderId="3" xfId="0" applyNumberFormat="1" applyFill="1" applyBorder="1"/>
    <xf numFmtId="10" fontId="0" fillId="5" borderId="4" xfId="0" applyNumberFormat="1" applyFill="1" applyBorder="1"/>
    <xf numFmtId="10" fontId="0" fillId="5" borderId="2" xfId="0" applyNumberFormat="1" applyFill="1" applyBorder="1"/>
    <xf numFmtId="10" fontId="0" fillId="5" borderId="3" xfId="0" applyNumberFormat="1" applyFill="1" applyBorder="1"/>
    <xf numFmtId="10" fontId="0" fillId="6" borderId="2" xfId="0" applyNumberFormat="1" applyFill="1" applyBorder="1"/>
    <xf numFmtId="0" fontId="0" fillId="5" borderId="1" xfId="0" applyFill="1" applyBorder="1"/>
    <xf numFmtId="3" fontId="0" fillId="5" borderId="1" xfId="0" applyNumberFormat="1" applyFill="1" applyBorder="1"/>
    <xf numFmtId="10" fontId="0" fillId="4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left"/>
    </xf>
    <xf numFmtId="0" fontId="0" fillId="6" borderId="7" xfId="0" applyFill="1" applyBorder="1"/>
    <xf numFmtId="0" fontId="0" fillId="6" borderId="8" xfId="0" applyFill="1" applyBorder="1"/>
    <xf numFmtId="0" fontId="0" fillId="6" borderId="9" xfId="0" applyFill="1" applyBorder="1"/>
    <xf numFmtId="10" fontId="0" fillId="3" borderId="2" xfId="0" applyNumberFormat="1" applyFill="1" applyBorder="1"/>
    <xf numFmtId="0" fontId="3" fillId="2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2" fontId="0" fillId="0" borderId="2" xfId="0" applyNumberFormat="1" applyBorder="1" applyAlignment="1">
      <alignment horizontal="center"/>
    </xf>
    <xf numFmtId="9" fontId="0" fillId="0" borderId="0" xfId="0" applyNumberFormat="1"/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5" borderId="4" xfId="0" applyFill="1" applyBorder="1"/>
    <xf numFmtId="0" fontId="0" fillId="5" borderId="4" xfId="0" applyFill="1" applyBorder="1" applyAlignment="1">
      <alignment horizontal="center"/>
    </xf>
    <xf numFmtId="2" fontId="0" fillId="5" borderId="4" xfId="0" applyNumberFormat="1" applyFill="1" applyBorder="1" applyAlignment="1">
      <alignment horizontal="center"/>
    </xf>
    <xf numFmtId="0" fontId="0" fillId="5" borderId="3" xfId="0" applyFill="1" applyBorder="1"/>
    <xf numFmtId="0" fontId="0" fillId="5" borderId="3" xfId="0" applyFill="1" applyBorder="1" applyAlignment="1">
      <alignment horizontal="center"/>
    </xf>
    <xf numFmtId="2" fontId="0" fillId="5" borderId="3" xfId="0" applyNumberFormat="1" applyFill="1" applyBorder="1" applyAlignment="1">
      <alignment horizontal="center"/>
    </xf>
    <xf numFmtId="0" fontId="0" fillId="4" borderId="1" xfId="0" applyFill="1" applyBorder="1"/>
    <xf numFmtId="166" fontId="0" fillId="5" borderId="4" xfId="0" applyNumberFormat="1" applyFill="1" applyBorder="1"/>
    <xf numFmtId="166" fontId="0" fillId="5" borderId="3" xfId="0" applyNumberFormat="1" applyFill="1" applyBorder="1"/>
    <xf numFmtId="166" fontId="0" fillId="5" borderId="2" xfId="0" applyNumberFormat="1" applyFill="1" applyBorder="1"/>
    <xf numFmtId="166" fontId="0" fillId="5" borderId="5" xfId="0" applyNumberFormat="1" applyFill="1" applyBorder="1"/>
    <xf numFmtId="166" fontId="0" fillId="5" borderId="10" xfId="0" applyNumberFormat="1" applyFill="1" applyBorder="1"/>
    <xf numFmtId="166" fontId="0" fillId="5" borderId="6" xfId="0" applyNumberFormat="1" applyFill="1" applyBorder="1"/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166" fontId="0" fillId="5" borderId="4" xfId="0" applyNumberFormat="1" applyFill="1" applyBorder="1" applyAlignment="1">
      <alignment horizontal="center"/>
    </xf>
    <xf numFmtId="166" fontId="0" fillId="5" borderId="3" xfId="0" applyNumberFormat="1" applyFill="1" applyBorder="1" applyAlignment="1">
      <alignment horizontal="center"/>
    </xf>
    <xf numFmtId="0" fontId="0" fillId="3" borderId="4" xfId="0" applyFill="1" applyBorder="1"/>
    <xf numFmtId="0" fontId="0" fillId="3" borderId="3" xfId="0" applyFill="1" applyBorder="1"/>
    <xf numFmtId="164" fontId="0" fillId="5" borderId="1" xfId="0" applyNumberFormat="1" applyFill="1" applyBorder="1"/>
    <xf numFmtId="9" fontId="0" fillId="5" borderId="5" xfId="0" applyNumberFormat="1" applyFill="1" applyBorder="1"/>
    <xf numFmtId="167" fontId="0" fillId="5" borderId="6" xfId="0" applyNumberFormat="1" applyFill="1" applyBorder="1"/>
  </cellXfs>
  <cellStyles count="4">
    <cellStyle name="Komma" xfId="3" builtinId="3"/>
    <cellStyle name="Normal" xfId="0" builtinId="0"/>
    <cellStyle name="Normal 2" xfId="2" xr:uid="{AB14B307-711B-441D-8860-86ED3C3C6C5E}"/>
    <cellStyle name="Pro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8F7F6-CB12-4359-8122-4FBC62027FBA}">
  <dimension ref="A1:C20"/>
  <sheetViews>
    <sheetView zoomScale="230" zoomScaleNormal="230" workbookViewId="0">
      <selection activeCell="E8" sqref="E8"/>
    </sheetView>
  </sheetViews>
  <sheetFormatPr baseColWidth="10" defaultColWidth="11.42578125" defaultRowHeight="15" x14ac:dyDescent="0.25"/>
  <cols>
    <col min="1" max="1" width="19.7109375" bestFit="1" customWidth="1"/>
    <col min="2" max="2" width="13.7109375" customWidth="1"/>
    <col min="3" max="3" width="13.42578125" bestFit="1" customWidth="1"/>
    <col min="4" max="4" width="13.5703125" customWidth="1"/>
    <col min="6" max="6" width="14.42578125" customWidth="1"/>
  </cols>
  <sheetData>
    <row r="1" spans="1:3" x14ac:dyDescent="0.25">
      <c r="A1" s="3" t="s">
        <v>0</v>
      </c>
      <c r="B1" s="3" t="s">
        <v>57</v>
      </c>
      <c r="C1" s="3" t="s">
        <v>58</v>
      </c>
    </row>
    <row r="2" spans="1:3" x14ac:dyDescent="0.25">
      <c r="A2" s="4">
        <v>1</v>
      </c>
      <c r="B2" s="6">
        <v>0.15</v>
      </c>
      <c r="C2" s="8">
        <v>0.25</v>
      </c>
    </row>
    <row r="3" spans="1:3" x14ac:dyDescent="0.25">
      <c r="A3" s="4">
        <v>2</v>
      </c>
      <c r="B3" s="6">
        <v>-0.09</v>
      </c>
      <c r="C3" s="8">
        <v>-0.12</v>
      </c>
    </row>
    <row r="4" spans="1:3" x14ac:dyDescent="0.25">
      <c r="A4" s="4">
        <v>3</v>
      </c>
      <c r="B4" s="6">
        <v>-0.13</v>
      </c>
      <c r="C4" s="8">
        <v>-0.14000000000000001</v>
      </c>
    </row>
    <row r="5" spans="1:3" x14ac:dyDescent="0.25">
      <c r="A5" s="4">
        <v>4</v>
      </c>
      <c r="B5" s="6">
        <v>0.05</v>
      </c>
      <c r="C5" s="8">
        <v>0.08</v>
      </c>
    </row>
    <row r="6" spans="1:3" x14ac:dyDescent="0.25">
      <c r="A6" s="4">
        <v>5</v>
      </c>
      <c r="B6" s="6">
        <v>0.09</v>
      </c>
      <c r="C6" s="8">
        <v>0.12</v>
      </c>
    </row>
    <row r="7" spans="1:3" x14ac:dyDescent="0.25">
      <c r="A7" s="4">
        <v>6</v>
      </c>
      <c r="B7" s="6">
        <v>0.11</v>
      </c>
      <c r="C7" s="8">
        <v>0.17</v>
      </c>
    </row>
    <row r="8" spans="1:3" x14ac:dyDescent="0.25">
      <c r="A8" s="4">
        <v>7</v>
      </c>
      <c r="B8" s="6">
        <v>0.16</v>
      </c>
      <c r="C8" s="8">
        <v>0.2</v>
      </c>
    </row>
    <row r="9" spans="1:3" x14ac:dyDescent="0.25">
      <c r="A9" s="4">
        <v>8</v>
      </c>
      <c r="B9" s="6">
        <v>0.17</v>
      </c>
      <c r="C9" s="8">
        <v>0.2</v>
      </c>
    </row>
    <row r="10" spans="1:3" x14ac:dyDescent="0.25">
      <c r="A10" s="4">
        <v>9</v>
      </c>
      <c r="B10" s="6">
        <v>0.17</v>
      </c>
      <c r="C10" s="8">
        <v>0.22</v>
      </c>
    </row>
    <row r="11" spans="1:3" x14ac:dyDescent="0.25">
      <c r="A11" s="5">
        <v>10</v>
      </c>
      <c r="B11" s="7">
        <v>-0.05</v>
      </c>
      <c r="C11" s="9">
        <v>-0.1</v>
      </c>
    </row>
    <row r="12" spans="1:3" x14ac:dyDescent="0.25">
      <c r="A12" s="1"/>
    </row>
    <row r="13" spans="1:3" x14ac:dyDescent="0.25">
      <c r="A13" s="10" t="s">
        <v>1</v>
      </c>
      <c r="B13" s="13">
        <f>_xlfn.COVARIANCE.S(B2:B11,C2:C11)</f>
        <v>1.6995555555555555E-2</v>
      </c>
    </row>
    <row r="14" spans="1:3" x14ac:dyDescent="0.25">
      <c r="A14" s="11" t="s">
        <v>2</v>
      </c>
      <c r="B14" s="14">
        <f>_xlfn.VAR.S(B2:B11)</f>
        <v>1.2934444444444446E-2</v>
      </c>
    </row>
    <row r="15" spans="1:3" x14ac:dyDescent="0.25">
      <c r="A15" s="12" t="s">
        <v>3</v>
      </c>
      <c r="B15" s="15">
        <f>B13/B14</f>
        <v>1.3139764625032211</v>
      </c>
    </row>
    <row r="16" spans="1:3" x14ac:dyDescent="0.25">
      <c r="A16" s="1"/>
    </row>
    <row r="17" spans="1:2" x14ac:dyDescent="0.25">
      <c r="A17" s="10" t="s">
        <v>4</v>
      </c>
      <c r="B17" s="36">
        <v>0.1</v>
      </c>
    </row>
    <row r="18" spans="1:2" x14ac:dyDescent="0.25">
      <c r="A18" s="12" t="s">
        <v>5</v>
      </c>
      <c r="B18" s="37">
        <v>0.03</v>
      </c>
    </row>
    <row r="20" spans="1:2" x14ac:dyDescent="0.25">
      <c r="A20" s="52" t="s">
        <v>6</v>
      </c>
      <c r="B20" s="51">
        <f>B18+(B17-B18)*B15</f>
        <v>0.12197835237522549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482A6-6168-4B69-A5DF-FE3F83E21D39}">
  <dimension ref="A1:G25"/>
  <sheetViews>
    <sheetView topLeftCell="A4" zoomScale="160" zoomScaleNormal="160" workbookViewId="0">
      <selection activeCell="C26" sqref="C26"/>
    </sheetView>
  </sheetViews>
  <sheetFormatPr baseColWidth="10" defaultColWidth="11.42578125" defaultRowHeight="15" x14ac:dyDescent="0.25"/>
  <cols>
    <col min="1" max="1" width="27" customWidth="1"/>
    <col min="2" max="7" width="10.7109375" customWidth="1"/>
  </cols>
  <sheetData>
    <row r="1" spans="1:2" x14ac:dyDescent="0.25">
      <c r="A1" s="16" t="s">
        <v>7</v>
      </c>
      <c r="B1" s="19">
        <v>5000000</v>
      </c>
    </row>
    <row r="2" spans="1:2" x14ac:dyDescent="0.25">
      <c r="A2" s="17" t="s">
        <v>8</v>
      </c>
      <c r="B2" s="20">
        <v>1400000</v>
      </c>
    </row>
    <row r="3" spans="1:2" x14ac:dyDescent="0.25">
      <c r="A3" s="17" t="s">
        <v>9</v>
      </c>
      <c r="B3" s="21">
        <v>0.02</v>
      </c>
    </row>
    <row r="4" spans="1:2" x14ac:dyDescent="0.25">
      <c r="A4" s="17" t="s">
        <v>10</v>
      </c>
      <c r="B4" s="22">
        <v>5</v>
      </c>
    </row>
    <row r="5" spans="1:2" x14ac:dyDescent="0.25">
      <c r="A5" s="17" t="s">
        <v>11</v>
      </c>
      <c r="B5" s="23">
        <v>0.2</v>
      </c>
    </row>
    <row r="6" spans="1:2" x14ac:dyDescent="0.25">
      <c r="A6" s="17" t="s">
        <v>12</v>
      </c>
      <c r="B6" s="23">
        <v>0.22</v>
      </c>
    </row>
    <row r="7" spans="1:2" x14ac:dyDescent="0.25">
      <c r="A7" s="17" t="s">
        <v>4</v>
      </c>
      <c r="B7" s="23">
        <v>0.1</v>
      </c>
    </row>
    <row r="8" spans="1:2" x14ac:dyDescent="0.25">
      <c r="A8" s="17" t="s">
        <v>13</v>
      </c>
      <c r="B8" s="23">
        <v>4.1000000000000002E-2</v>
      </c>
    </row>
    <row r="9" spans="1:2" x14ac:dyDescent="0.25">
      <c r="A9" s="17" t="s">
        <v>14</v>
      </c>
      <c r="B9" s="23">
        <v>0.4</v>
      </c>
    </row>
    <row r="10" spans="1:2" x14ac:dyDescent="0.25">
      <c r="A10" s="17" t="s">
        <v>15</v>
      </c>
      <c r="B10" s="23">
        <f>1-B9</f>
        <v>0.6</v>
      </c>
    </row>
    <row r="11" spans="1:2" x14ac:dyDescent="0.25">
      <c r="A11" s="17" t="s">
        <v>16</v>
      </c>
      <c r="B11" s="23">
        <v>5.9200000000000003E-2</v>
      </c>
    </row>
    <row r="12" spans="1:2" x14ac:dyDescent="0.25">
      <c r="A12" s="18" t="s">
        <v>17</v>
      </c>
      <c r="B12" s="24">
        <v>1.52</v>
      </c>
    </row>
    <row r="14" spans="1:2" x14ac:dyDescent="0.25">
      <c r="A14" s="53" t="s">
        <v>18</v>
      </c>
      <c r="B14" s="25">
        <f>B8+(B7-B8)*B12</f>
        <v>0.13068000000000002</v>
      </c>
    </row>
    <row r="15" spans="1:2" x14ac:dyDescent="0.25">
      <c r="A15" s="54" t="s">
        <v>19</v>
      </c>
      <c r="B15" s="56">
        <f>B14*B9+B10*B11*(1-B6)</f>
        <v>7.997760000000001E-2</v>
      </c>
    </row>
    <row r="16" spans="1:2" x14ac:dyDescent="0.25">
      <c r="A16" s="55" t="s">
        <v>20</v>
      </c>
      <c r="B16" s="26">
        <v>0.08</v>
      </c>
    </row>
    <row r="18" spans="1:7" x14ac:dyDescent="0.25">
      <c r="A18" s="31" t="s">
        <v>0</v>
      </c>
      <c r="B18" s="3">
        <v>0</v>
      </c>
      <c r="C18" s="3">
        <v>1</v>
      </c>
      <c r="D18" s="3">
        <v>2</v>
      </c>
      <c r="E18" s="3">
        <v>3</v>
      </c>
      <c r="F18" s="3">
        <v>4</v>
      </c>
      <c r="G18" s="3">
        <v>5</v>
      </c>
    </row>
    <row r="19" spans="1:7" x14ac:dyDescent="0.25">
      <c r="A19" s="27" t="s">
        <v>8</v>
      </c>
      <c r="B19" s="27"/>
      <c r="C19" s="34">
        <f>$B$2*(1+$B$3)^C18</f>
        <v>1428000</v>
      </c>
      <c r="D19" s="34">
        <f t="shared" ref="D19:G19" si="0">$B$2*(1+$B$3)^D18</f>
        <v>1456560</v>
      </c>
      <c r="E19" s="34">
        <f t="shared" si="0"/>
        <v>1485691.2</v>
      </c>
      <c r="F19" s="34">
        <f t="shared" si="0"/>
        <v>1515405.024</v>
      </c>
      <c r="G19" s="34">
        <f t="shared" si="0"/>
        <v>1545713.12448</v>
      </c>
    </row>
    <row r="20" spans="1:7" x14ac:dyDescent="0.25">
      <c r="A20" s="27" t="s">
        <v>21</v>
      </c>
      <c r="B20" s="27"/>
      <c r="C20" s="35">
        <f>-$B$6*C19</f>
        <v>-314160</v>
      </c>
      <c r="D20" s="35">
        <f t="shared" ref="D20:G20" si="1">-$B$6*D19</f>
        <v>-320443.2</v>
      </c>
      <c r="E20" s="35">
        <f t="shared" si="1"/>
        <v>-326852.06400000001</v>
      </c>
      <c r="F20" s="35">
        <f t="shared" si="1"/>
        <v>-333389.10528000002</v>
      </c>
      <c r="G20" s="35">
        <f t="shared" si="1"/>
        <v>-340056.88738560001</v>
      </c>
    </row>
    <row r="21" spans="1:7" x14ac:dyDescent="0.25">
      <c r="A21" s="27" t="s">
        <v>22</v>
      </c>
      <c r="B21" s="28">
        <f>-B1</f>
        <v>-5000000</v>
      </c>
      <c r="C21" s="27"/>
      <c r="D21" s="27"/>
      <c r="E21" s="27"/>
      <c r="F21" s="27"/>
      <c r="G21" s="27"/>
    </row>
    <row r="22" spans="1:7" x14ac:dyDescent="0.25">
      <c r="A22" s="32" t="s">
        <v>23</v>
      </c>
      <c r="B22" s="29">
        <f>B1*B5*B6/(B5+B16)</f>
        <v>785714.28571428568</v>
      </c>
      <c r="C22" s="32"/>
      <c r="D22" s="32"/>
      <c r="E22" s="32"/>
      <c r="F22" s="32"/>
      <c r="G22" s="32"/>
    </row>
    <row r="23" spans="1:7" x14ac:dyDescent="0.25">
      <c r="A23" s="33" t="s">
        <v>24</v>
      </c>
      <c r="B23" s="30">
        <f>SUM(B19:B22)</f>
        <v>-4214285.7142857146</v>
      </c>
      <c r="C23" s="30">
        <f t="shared" ref="C23:G23" si="2">SUM(C19:C22)</f>
        <v>1113840</v>
      </c>
      <c r="D23" s="30">
        <f t="shared" si="2"/>
        <v>1136116.8</v>
      </c>
      <c r="E23" s="30">
        <f t="shared" si="2"/>
        <v>1158839.1359999999</v>
      </c>
      <c r="F23" s="30">
        <f t="shared" si="2"/>
        <v>1182015.91872</v>
      </c>
      <c r="G23" s="30">
        <f t="shared" si="2"/>
        <v>1205656.2370944</v>
      </c>
    </row>
    <row r="25" spans="1:7" x14ac:dyDescent="0.25">
      <c r="A25" s="33" t="s">
        <v>25</v>
      </c>
      <c r="B25" s="38">
        <f>NPV(B15,C23:G23)+B23</f>
        <v>400651.10907529481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5D830-8806-4A79-B75F-712EA66785EE}">
  <dimension ref="A1:G31"/>
  <sheetViews>
    <sheetView workbookViewId="0">
      <selection activeCell="F14" sqref="F14"/>
    </sheetView>
  </sheetViews>
  <sheetFormatPr baseColWidth="10" defaultColWidth="11.42578125" defaultRowHeight="15" x14ac:dyDescent="0.25"/>
  <cols>
    <col min="1" max="1" width="30.28515625" bestFit="1" customWidth="1"/>
  </cols>
  <sheetData>
    <row r="1" spans="1:2" x14ac:dyDescent="0.25">
      <c r="A1" s="41" t="s">
        <v>26</v>
      </c>
      <c r="B1" s="16">
        <v>900</v>
      </c>
    </row>
    <row r="2" spans="1:2" x14ac:dyDescent="0.25">
      <c r="A2" s="22" t="s">
        <v>27</v>
      </c>
      <c r="B2" s="17">
        <v>300</v>
      </c>
    </row>
    <row r="3" spans="1:2" x14ac:dyDescent="0.25">
      <c r="A3" s="22" t="s">
        <v>28</v>
      </c>
      <c r="B3" s="17">
        <v>240</v>
      </c>
    </row>
    <row r="4" spans="1:2" x14ac:dyDescent="0.25">
      <c r="A4" s="22" t="s">
        <v>29</v>
      </c>
      <c r="B4" s="43">
        <v>5000</v>
      </c>
    </row>
    <row r="5" spans="1:2" x14ac:dyDescent="0.25">
      <c r="A5" s="22" t="s">
        <v>7</v>
      </c>
      <c r="B5" s="43">
        <v>6500000</v>
      </c>
    </row>
    <row r="6" spans="1:2" x14ac:dyDescent="0.25">
      <c r="A6" s="22" t="s">
        <v>30</v>
      </c>
      <c r="B6" s="43">
        <v>1000000</v>
      </c>
    </row>
    <row r="7" spans="1:2" x14ac:dyDescent="0.25">
      <c r="A7" s="22" t="s">
        <v>31</v>
      </c>
      <c r="B7" s="48">
        <v>0.03</v>
      </c>
    </row>
    <row r="8" spans="1:2" x14ac:dyDescent="0.25">
      <c r="A8" s="22" t="s">
        <v>32</v>
      </c>
      <c r="B8" s="48">
        <v>0.2</v>
      </c>
    </row>
    <row r="9" spans="1:2" x14ac:dyDescent="0.25">
      <c r="A9" s="22" t="s">
        <v>12</v>
      </c>
      <c r="B9" s="48">
        <v>0.22</v>
      </c>
    </row>
    <row r="10" spans="1:2" x14ac:dyDescent="0.25">
      <c r="A10" s="22" t="s">
        <v>33</v>
      </c>
      <c r="B10" s="48">
        <v>0.04</v>
      </c>
    </row>
    <row r="11" spans="1:2" x14ac:dyDescent="0.25">
      <c r="A11" s="22" t="s">
        <v>34</v>
      </c>
      <c r="B11" s="48">
        <v>0.1</v>
      </c>
    </row>
    <row r="12" spans="1:2" x14ac:dyDescent="0.25">
      <c r="A12" s="22" t="s">
        <v>14</v>
      </c>
      <c r="B12" s="48">
        <v>0.5</v>
      </c>
    </row>
    <row r="13" spans="1:2" x14ac:dyDescent="0.25">
      <c r="A13" s="22" t="s">
        <v>35</v>
      </c>
      <c r="B13" s="48">
        <v>5.0299999999999997E-2</v>
      </c>
    </row>
    <row r="14" spans="1:2" x14ac:dyDescent="0.25">
      <c r="A14" s="42" t="s">
        <v>17</v>
      </c>
      <c r="B14" s="44">
        <v>1.68</v>
      </c>
    </row>
    <row r="16" spans="1:2" x14ac:dyDescent="0.25">
      <c r="A16" s="41" t="s">
        <v>18</v>
      </c>
      <c r="B16" s="45">
        <f>B10+(B11-B10)*B14</f>
        <v>0.14080000000000001</v>
      </c>
    </row>
    <row r="17" spans="1:7" x14ac:dyDescent="0.25">
      <c r="A17" s="22" t="s">
        <v>36</v>
      </c>
      <c r="B17" s="46">
        <f>B13*(1-B9)*B12+B16*B12</f>
        <v>9.0017E-2</v>
      </c>
    </row>
    <row r="18" spans="1:7" x14ac:dyDescent="0.25">
      <c r="A18" s="42" t="s">
        <v>20</v>
      </c>
      <c r="B18" s="47">
        <v>0.09</v>
      </c>
    </row>
    <row r="20" spans="1:7" x14ac:dyDescent="0.25">
      <c r="A20" s="31" t="s">
        <v>0</v>
      </c>
      <c r="B20" s="3">
        <v>0</v>
      </c>
      <c r="C20" s="3">
        <v>1</v>
      </c>
      <c r="D20" s="3">
        <v>2</v>
      </c>
      <c r="E20" s="3">
        <v>3</v>
      </c>
      <c r="F20" s="3">
        <v>4</v>
      </c>
      <c r="G20" s="3">
        <v>5</v>
      </c>
    </row>
    <row r="21" spans="1:7" x14ac:dyDescent="0.25">
      <c r="A21" s="27" t="s">
        <v>37</v>
      </c>
      <c r="B21" s="28"/>
      <c r="C21" s="28">
        <f>B1*B4*(1+B7)</f>
        <v>4635000</v>
      </c>
      <c r="D21" s="28">
        <f>$C$21*(1+$B$7)^C20</f>
        <v>4774050</v>
      </c>
      <c r="E21" s="28">
        <f>$C$21*(1+$B$7)^D20</f>
        <v>4917271.5</v>
      </c>
      <c r="F21" s="28">
        <f>$C$21*(1+$B$7)^E20</f>
        <v>5064789.6449999996</v>
      </c>
      <c r="G21" s="28">
        <f>$C$21*(1+$B$7)^F20</f>
        <v>5216733.3343499992</v>
      </c>
    </row>
    <row r="22" spans="1:7" x14ac:dyDescent="0.25">
      <c r="A22" s="27" t="s">
        <v>38</v>
      </c>
      <c r="B22" s="28"/>
      <c r="C22" s="28">
        <f>-B2*B4*(1+B7)</f>
        <v>-1545000</v>
      </c>
      <c r="D22" s="28">
        <f>$C$22*(1+$B$7)^C20</f>
        <v>-1591350</v>
      </c>
      <c r="E22" s="28">
        <f>$C$22*(1+$B$7)^D20</f>
        <v>-1639090.5</v>
      </c>
      <c r="F22" s="28">
        <f>$C$22*(1+$B$7)^E20</f>
        <v>-1688263.2150000001</v>
      </c>
      <c r="G22" s="28">
        <f>$C$22*(1+$B$7)^F20</f>
        <v>-1738911.11145</v>
      </c>
    </row>
    <row r="23" spans="1:7" x14ac:dyDescent="0.25">
      <c r="A23" s="32" t="s">
        <v>39</v>
      </c>
      <c r="B23" s="39"/>
      <c r="C23" s="39">
        <f>-B3*B4*(1+B7)</f>
        <v>-1236000</v>
      </c>
      <c r="D23" s="39">
        <f>$C$23*(1+$B$7)^C20</f>
        <v>-1273080</v>
      </c>
      <c r="E23" s="39">
        <f>$C$23*(1+$B$7)^D20</f>
        <v>-1311272.3999999999</v>
      </c>
      <c r="F23" s="39">
        <f>$C$23*(1+$B$7)^E20</f>
        <v>-1350610.5719999999</v>
      </c>
      <c r="G23" s="39">
        <f>$C$23*(1+$B$7)^F20</f>
        <v>-1391128.8891599998</v>
      </c>
    </row>
    <row r="24" spans="1:7" x14ac:dyDescent="0.25">
      <c r="A24" s="27" t="s">
        <v>40</v>
      </c>
      <c r="B24" s="28"/>
      <c r="C24" s="28">
        <f>SUM(C21:C23)</f>
        <v>1854000</v>
      </c>
      <c r="D24" s="28">
        <f t="shared" ref="D24:G24" si="0">SUM(D21:D23)</f>
        <v>1909620</v>
      </c>
      <c r="E24" s="28">
        <f t="shared" si="0"/>
        <v>1966908.6</v>
      </c>
      <c r="F24" s="28">
        <f t="shared" si="0"/>
        <v>2025915.8579999998</v>
      </c>
      <c r="G24" s="28">
        <f t="shared" si="0"/>
        <v>2086693.3337399997</v>
      </c>
    </row>
    <row r="25" spans="1:7" x14ac:dyDescent="0.25">
      <c r="A25" s="27" t="s">
        <v>21</v>
      </c>
      <c r="B25" s="28"/>
      <c r="C25" s="28">
        <f>-$B$9*C24</f>
        <v>-407880</v>
      </c>
      <c r="D25" s="28">
        <f t="shared" ref="D25:G25" si="1">-$B$9*D24</f>
        <v>-420116.4</v>
      </c>
      <c r="E25" s="28">
        <f t="shared" si="1"/>
        <v>-432719.89200000005</v>
      </c>
      <c r="F25" s="28">
        <f t="shared" si="1"/>
        <v>-445701.48875999998</v>
      </c>
      <c r="G25" s="28">
        <f t="shared" si="1"/>
        <v>-459072.53342279996</v>
      </c>
    </row>
    <row r="26" spans="1:7" x14ac:dyDescent="0.25">
      <c r="A26" s="27" t="s">
        <v>22</v>
      </c>
      <c r="B26" s="28">
        <f>-B5</f>
        <v>-6500000</v>
      </c>
      <c r="C26" s="28"/>
      <c r="D26" s="28"/>
      <c r="E26" s="28"/>
      <c r="F26" s="28"/>
      <c r="G26" s="28">
        <f>B6</f>
        <v>1000000</v>
      </c>
    </row>
    <row r="27" spans="1:7" x14ac:dyDescent="0.25">
      <c r="A27" s="27" t="s">
        <v>41</v>
      </c>
      <c r="B27" s="28">
        <f>-B26*B8*B9/(B8+B18)</f>
        <v>986206.89655172406</v>
      </c>
      <c r="C27" s="28"/>
      <c r="D27" s="28"/>
      <c r="E27" s="28"/>
      <c r="F27" s="28"/>
      <c r="G27" s="28"/>
    </row>
    <row r="28" spans="1:7" x14ac:dyDescent="0.25">
      <c r="A28" s="32" t="s">
        <v>42</v>
      </c>
      <c r="B28" s="39">
        <f>-G26*B8*B9/((1+B18)^G20*(B18+B8))</f>
        <v>-98610.279300438575</v>
      </c>
      <c r="C28" s="39"/>
      <c r="D28" s="39"/>
      <c r="E28" s="39"/>
      <c r="F28" s="39"/>
      <c r="G28" s="39"/>
    </row>
    <row r="29" spans="1:7" x14ac:dyDescent="0.25">
      <c r="A29" s="49" t="s">
        <v>24</v>
      </c>
      <c r="B29" s="50">
        <f>SUM(B21:B28)</f>
        <v>-5612403.3827487137</v>
      </c>
      <c r="C29" s="50">
        <f>SUM(C24:C28)</f>
        <v>1446120</v>
      </c>
      <c r="D29" s="50">
        <f t="shared" ref="D29:G29" si="2">SUM(D24:D28)</f>
        <v>1489503.6</v>
      </c>
      <c r="E29" s="50">
        <f t="shared" si="2"/>
        <v>1534188.7080000001</v>
      </c>
      <c r="F29" s="50">
        <f t="shared" si="2"/>
        <v>1580214.3692399999</v>
      </c>
      <c r="G29" s="50">
        <f t="shared" si="2"/>
        <v>2627620.8003171999</v>
      </c>
    </row>
    <row r="30" spans="1:7" x14ac:dyDescent="0.25">
      <c r="B30" s="2"/>
      <c r="C30" s="2"/>
      <c r="D30" s="2"/>
      <c r="E30" s="2"/>
      <c r="F30" s="2"/>
      <c r="G30" s="2"/>
    </row>
    <row r="31" spans="1:7" x14ac:dyDescent="0.25">
      <c r="A31" s="33" t="s">
        <v>25</v>
      </c>
      <c r="B31" s="40">
        <f>NPV(B18,C29:G29)+B29</f>
        <v>979909.69668753445</v>
      </c>
      <c r="C31" s="2"/>
      <c r="D31" s="2"/>
      <c r="E31" s="2"/>
      <c r="F31" s="2"/>
      <c r="G31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E50BB-C3DD-4827-B589-221E6A3344F0}">
  <dimension ref="A1:F30"/>
  <sheetViews>
    <sheetView tabSelected="1" zoomScale="120" zoomScaleNormal="120" workbookViewId="0">
      <selection activeCell="H14" sqref="H14"/>
    </sheetView>
  </sheetViews>
  <sheetFormatPr baseColWidth="10" defaultColWidth="11.42578125" defaultRowHeight="15" x14ac:dyDescent="0.25"/>
  <cols>
    <col min="1" max="1" width="23.42578125" bestFit="1" customWidth="1"/>
  </cols>
  <sheetData>
    <row r="1" spans="1:6" x14ac:dyDescent="0.25">
      <c r="A1" s="57" t="s">
        <v>0</v>
      </c>
      <c r="B1" s="57" t="s">
        <v>43</v>
      </c>
      <c r="C1" s="57" t="s">
        <v>44</v>
      </c>
    </row>
    <row r="2" spans="1:6" x14ac:dyDescent="0.25">
      <c r="A2" s="58">
        <v>2022</v>
      </c>
      <c r="B2" s="58">
        <v>0.27</v>
      </c>
      <c r="C2" s="59">
        <v>0.25</v>
      </c>
      <c r="F2" s="60"/>
    </row>
    <row r="3" spans="1:6" x14ac:dyDescent="0.25">
      <c r="A3" s="58">
        <v>2021</v>
      </c>
      <c r="B3" s="58">
        <v>0.12</v>
      </c>
      <c r="C3" s="59">
        <v>0.05</v>
      </c>
    </row>
    <row r="4" spans="1:6" x14ac:dyDescent="0.25">
      <c r="A4" s="58">
        <v>2020</v>
      </c>
      <c r="B4" s="58">
        <v>-0.03</v>
      </c>
      <c r="C4" s="59">
        <v>-0.05</v>
      </c>
    </row>
    <row r="5" spans="1:6" x14ac:dyDescent="0.25">
      <c r="A5" s="58">
        <v>2019</v>
      </c>
      <c r="B5" s="58">
        <v>0.12</v>
      </c>
      <c r="C5" s="59">
        <v>0.15</v>
      </c>
    </row>
    <row r="6" spans="1:6" x14ac:dyDescent="0.25">
      <c r="A6" s="58">
        <v>2018</v>
      </c>
      <c r="B6" s="58">
        <v>-0.03</v>
      </c>
      <c r="C6" s="59">
        <v>-0.1</v>
      </c>
    </row>
    <row r="7" spans="1:6" x14ac:dyDescent="0.25">
      <c r="A7" s="61">
        <v>2017</v>
      </c>
      <c r="B7" s="61">
        <v>0.27</v>
      </c>
      <c r="C7" s="62">
        <v>0.3</v>
      </c>
    </row>
    <row r="8" spans="1:6" x14ac:dyDescent="0.25">
      <c r="A8" s="81" t="s">
        <v>45</v>
      </c>
      <c r="B8" s="64">
        <f>SUM(B2:B7)</f>
        <v>0.72</v>
      </c>
      <c r="C8" s="65">
        <f>SUM(C2:C7)</f>
        <v>0.60000000000000009</v>
      </c>
    </row>
    <row r="9" spans="1:6" x14ac:dyDescent="0.25">
      <c r="A9" s="82" t="s">
        <v>46</v>
      </c>
      <c r="B9" s="67">
        <f>B8/6</f>
        <v>0.12</v>
      </c>
      <c r="C9" s="68">
        <f>C8/6</f>
        <v>0.10000000000000002</v>
      </c>
    </row>
    <row r="11" spans="1:6" x14ac:dyDescent="0.25">
      <c r="A11" s="41" t="s">
        <v>47</v>
      </c>
      <c r="B11" s="73">
        <f>((B2-B9)^2+(B3-B9)^2+(B4-B9)^2+(B5-B9)^2+(B6-B9)^2+(B7-B9)^2)/5</f>
        <v>1.8000000000000002E-2</v>
      </c>
    </row>
    <row r="12" spans="1:6" x14ac:dyDescent="0.25">
      <c r="A12" s="22" t="s">
        <v>48</v>
      </c>
      <c r="B12" s="74">
        <f>_xlfn.VAR.S(B2:B7)</f>
        <v>1.8000000000000002E-2</v>
      </c>
    </row>
    <row r="13" spans="1:6" x14ac:dyDescent="0.25">
      <c r="A13" s="22" t="s">
        <v>49</v>
      </c>
      <c r="B13" s="74">
        <f>SQRT(B11)</f>
        <v>0.13416407864998739</v>
      </c>
    </row>
    <row r="14" spans="1:6" x14ac:dyDescent="0.25">
      <c r="A14" s="42" t="s">
        <v>50</v>
      </c>
      <c r="B14" s="75">
        <f>_xlfn.STDEV.S(B2:B7)</f>
        <v>0.13416407864998739</v>
      </c>
    </row>
    <row r="16" spans="1:6" x14ac:dyDescent="0.25">
      <c r="A16" s="76" t="s">
        <v>51</v>
      </c>
      <c r="B16" s="70">
        <f>((C2-C9)^2+(C3-C9)^2+(C4-C9)^2+(C5-C9)^2+(C6-C9)^2+(C7-C9)^2)/5</f>
        <v>2.5999999999999995E-2</v>
      </c>
    </row>
    <row r="17" spans="1:2" x14ac:dyDescent="0.25">
      <c r="A17" s="77" t="s">
        <v>52</v>
      </c>
      <c r="B17" s="72">
        <f>_xlfn.VAR.S(C2:C7)</f>
        <v>2.5999999999999995E-2</v>
      </c>
    </row>
    <row r="18" spans="1:2" x14ac:dyDescent="0.25">
      <c r="A18" s="77" t="s">
        <v>53</v>
      </c>
      <c r="B18" s="72">
        <f>SQRT(B16)</f>
        <v>0.16124515496597097</v>
      </c>
    </row>
    <row r="19" spans="1:2" x14ac:dyDescent="0.25">
      <c r="A19" s="78" t="s">
        <v>50</v>
      </c>
      <c r="B19" s="71">
        <f>_xlfn.STDEV.S(C2:C7)</f>
        <v>0.16124515496597097</v>
      </c>
    </row>
    <row r="21" spans="1:2" x14ac:dyDescent="0.25">
      <c r="A21" s="76" t="s">
        <v>1</v>
      </c>
      <c r="B21" s="79">
        <f>((B2-B9)*(C2-C9)+(B3-B9)*(C3-C9)+(B4-B9)*(C4-C9)+(B5-B9)*(C5-C9)+(B6-B9)*(C6-C9)+(B7-B9)*(C7-C9))/5</f>
        <v>2.0999999999999998E-2</v>
      </c>
    </row>
    <row r="22" spans="1:2" x14ac:dyDescent="0.25">
      <c r="A22" s="78" t="s">
        <v>54</v>
      </c>
      <c r="B22" s="80">
        <f>_xlfn.COVARIANCE.S(B2:B7,C2:C7)</f>
        <v>2.0999999999999998E-2</v>
      </c>
    </row>
    <row r="24" spans="1:2" x14ac:dyDescent="0.25">
      <c r="A24" s="76" t="s">
        <v>55</v>
      </c>
      <c r="B24" s="63">
        <f>B21/(B13*B18)</f>
        <v>0.97072534339415084</v>
      </c>
    </row>
    <row r="25" spans="1:2" x14ac:dyDescent="0.25">
      <c r="A25" s="78" t="s">
        <v>56</v>
      </c>
      <c r="B25" s="66">
        <f>CORREL(B2:B7,C2:C7)</f>
        <v>0.97072534339415095</v>
      </c>
    </row>
    <row r="27" spans="1:2" x14ac:dyDescent="0.25">
      <c r="A27" s="69" t="s">
        <v>3</v>
      </c>
      <c r="B27" s="83">
        <f>B21/B12</f>
        <v>1.1666666666666665</v>
      </c>
    </row>
    <row r="29" spans="1:2" x14ac:dyDescent="0.25">
      <c r="A29" s="41" t="s">
        <v>13</v>
      </c>
      <c r="B29" s="84">
        <v>0.05</v>
      </c>
    </row>
    <row r="30" spans="1:2" x14ac:dyDescent="0.25">
      <c r="A30" s="42" t="s">
        <v>6</v>
      </c>
      <c r="B30" s="85">
        <f>B29+(B9-B29)*B27</f>
        <v>0.13166666666666665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Oppgave 11.1</vt:lpstr>
      <vt:lpstr>Oppgave 11.2</vt:lpstr>
      <vt:lpstr>Oppgave 11.3</vt:lpstr>
      <vt:lpstr>Oppgave 11.4</vt:lpstr>
    </vt:vector>
  </TitlesOfParts>
  <Manager/>
  <Company>Høgskolen i Oslo og Akershus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Ivar Bredesen</dc:creator>
  <cp:keywords/>
  <dc:description/>
  <cp:lastModifiedBy>Ivar Bredesen</cp:lastModifiedBy>
  <cp:revision/>
  <dcterms:created xsi:type="dcterms:W3CDTF">2015-04-23T07:41:55Z</dcterms:created>
  <dcterms:modified xsi:type="dcterms:W3CDTF">2023-06-29T10:02:44Z</dcterms:modified>
  <cp:category/>
  <cp:contentStatus/>
</cp:coreProperties>
</file>