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varbr\OneDrive - OsloMet\Lærebok 6. utgave\Slides mv 6. utgave til forlag\Excel oppgaver\"/>
    </mc:Choice>
  </mc:AlternateContent>
  <bookViews>
    <workbookView xWindow="480" yWindow="15" windowWidth="10380" windowHeight="6540" firstSheet="1" activeTab="9"/>
  </bookViews>
  <sheets>
    <sheet name="Opp 1 a - d" sheetId="1" r:id="rId1"/>
    <sheet name="Opp 1" sheetId="3" r:id="rId2"/>
    <sheet name="Opp 2" sheetId="4" r:id="rId3"/>
    <sheet name="Opp 3" sheetId="10" r:id="rId4"/>
    <sheet name="Opp 4" sheetId="5" r:id="rId5"/>
    <sheet name="Opp 5" sheetId="6" r:id="rId6"/>
    <sheet name="Opp 7" sheetId="9" r:id="rId7"/>
    <sheet name="Opp 8" sheetId="7" r:id="rId8"/>
    <sheet name="Opp 9" sheetId="8" r:id="rId9"/>
    <sheet name="Opp 10" sheetId="11" r:id="rId10"/>
  </sheets>
  <calcPr calcId="162913"/>
</workbook>
</file>

<file path=xl/calcChain.xml><?xml version="1.0" encoding="utf-8"?>
<calcChain xmlns="http://schemas.openxmlformats.org/spreadsheetml/2006/main">
  <c r="B21" i="11" l="1"/>
  <c r="B22" i="10"/>
  <c r="B7" i="10"/>
  <c r="B44" i="3"/>
  <c r="B43" i="3"/>
  <c r="B42" i="3"/>
  <c r="B38" i="3"/>
  <c r="B36" i="3"/>
  <c r="B34" i="3"/>
  <c r="B33" i="3"/>
  <c r="B28" i="3"/>
  <c r="B22" i="3"/>
  <c r="D19" i="3"/>
  <c r="C19" i="3"/>
  <c r="D18" i="3"/>
  <c r="D22" i="3" s="1"/>
  <c r="C18" i="3"/>
  <c r="B17" i="3"/>
  <c r="D11" i="3"/>
  <c r="C11" i="3"/>
  <c r="B13" i="3"/>
  <c r="B11" i="3"/>
  <c r="D9" i="3"/>
  <c r="C9" i="3"/>
  <c r="D8" i="3"/>
  <c r="C8" i="3"/>
  <c r="B7" i="3"/>
  <c r="C22" i="3" l="1"/>
  <c r="B24" i="3"/>
  <c r="B16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C13" i="11"/>
  <c r="B12" i="11"/>
  <c r="B11" i="11"/>
  <c r="B3" i="11"/>
  <c r="D14" i="11" s="1"/>
  <c r="K16" i="11" l="1"/>
  <c r="F16" i="11"/>
  <c r="P16" i="11"/>
  <c r="C15" i="11"/>
  <c r="K15" i="11"/>
  <c r="C14" i="11"/>
  <c r="C16" i="11" s="1"/>
  <c r="K14" i="11"/>
  <c r="Q15" i="11"/>
  <c r="M15" i="11"/>
  <c r="I15" i="11"/>
  <c r="E15" i="11"/>
  <c r="Q14" i="11"/>
  <c r="Q16" i="11" s="1"/>
  <c r="M14" i="11"/>
  <c r="M16" i="11" s="1"/>
  <c r="I14" i="11"/>
  <c r="I16" i="11" s="1"/>
  <c r="E14" i="11"/>
  <c r="E16" i="11" s="1"/>
  <c r="O15" i="11"/>
  <c r="G15" i="11"/>
  <c r="O14" i="11"/>
  <c r="O16" i="11" s="1"/>
  <c r="G14" i="11"/>
  <c r="G16" i="11" s="1"/>
  <c r="B8" i="11"/>
  <c r="B25" i="11" s="1"/>
  <c r="B29" i="11" s="1"/>
  <c r="R15" i="11"/>
  <c r="N15" i="11"/>
  <c r="J15" i="11"/>
  <c r="F15" i="11"/>
  <c r="R14" i="11"/>
  <c r="R16" i="11" s="1"/>
  <c r="N14" i="11"/>
  <c r="N16" i="11" s="1"/>
  <c r="J14" i="11"/>
  <c r="J16" i="11" s="1"/>
  <c r="F14" i="11"/>
  <c r="P15" i="11"/>
  <c r="L15" i="11"/>
  <c r="H15" i="11"/>
  <c r="D15" i="11"/>
  <c r="D16" i="11" s="1"/>
  <c r="P14" i="11"/>
  <c r="L14" i="11"/>
  <c r="L16" i="11" s="1"/>
  <c r="H14" i="11"/>
  <c r="H16" i="11" s="1"/>
  <c r="B20" i="10"/>
  <c r="B21" i="10" s="1"/>
  <c r="B10" i="10"/>
  <c r="A10" i="10"/>
  <c r="B3" i="10"/>
  <c r="B14" i="10" s="1"/>
  <c r="C5" i="1"/>
  <c r="D5" i="1"/>
  <c r="D4" i="1" s="1"/>
  <c r="D7" i="1" s="1"/>
  <c r="B7" i="1"/>
  <c r="B10" i="1"/>
  <c r="C4" i="1" s="1"/>
  <c r="C7" i="1" s="1"/>
  <c r="C16" i="1"/>
  <c r="D16" i="1"/>
  <c r="B18" i="1"/>
  <c r="B21" i="1"/>
  <c r="D15" i="1" s="1"/>
  <c r="D18" i="1" s="1"/>
  <c r="B29" i="1"/>
  <c r="B30" i="1"/>
  <c r="B34" i="1"/>
  <c r="B35" i="1" s="1"/>
  <c r="C49" i="3"/>
  <c r="D49" i="3"/>
  <c r="E49" i="3"/>
  <c r="E52" i="3" s="1"/>
  <c r="F49" i="3"/>
  <c r="G49" i="3"/>
  <c r="H49" i="3"/>
  <c r="C50" i="3"/>
  <c r="E50" i="3"/>
  <c r="B52" i="3"/>
  <c r="C63" i="3"/>
  <c r="C64" i="3" s="1"/>
  <c r="D63" i="3"/>
  <c r="D64" i="3" s="1"/>
  <c r="E63" i="3"/>
  <c r="F63" i="3"/>
  <c r="G63" i="3"/>
  <c r="G64" i="3" s="1"/>
  <c r="H63" i="3"/>
  <c r="H64" i="3" s="1"/>
  <c r="I63" i="3"/>
  <c r="J63" i="3"/>
  <c r="J64" i="3" s="1"/>
  <c r="K63" i="3"/>
  <c r="K64" i="3" s="1"/>
  <c r="L63" i="3"/>
  <c r="M63" i="3"/>
  <c r="B64" i="3"/>
  <c r="E64" i="3"/>
  <c r="F64" i="3"/>
  <c r="I64" i="3"/>
  <c r="L64" i="3"/>
  <c r="M64" i="3"/>
  <c r="N64" i="3"/>
  <c r="B2" i="4"/>
  <c r="G2" i="4"/>
  <c r="H2" i="4" s="1"/>
  <c r="B3" i="4"/>
  <c r="G3" i="4" s="1"/>
  <c r="H3" i="4" s="1"/>
  <c r="B5" i="5"/>
  <c r="C5" i="5"/>
  <c r="D5" i="5"/>
  <c r="E5" i="5"/>
  <c r="F5" i="5"/>
  <c r="G5" i="5"/>
  <c r="B14" i="5"/>
  <c r="B19" i="5"/>
  <c r="B17" i="5" s="1"/>
  <c r="B22" i="5"/>
  <c r="B29" i="5"/>
  <c r="B5" i="6"/>
  <c r="C5" i="6"/>
  <c r="B12" i="6"/>
  <c r="C17" i="6"/>
  <c r="D17" i="6"/>
  <c r="E17" i="6"/>
  <c r="F17" i="6"/>
  <c r="G17" i="6"/>
  <c r="H17" i="6"/>
  <c r="B20" i="6"/>
  <c r="B22" i="6"/>
  <c r="B5" i="9"/>
  <c r="B6" i="9" s="1"/>
  <c r="G11" i="9"/>
  <c r="G16" i="9"/>
  <c r="G15" i="9"/>
  <c r="G19" i="9" s="1"/>
  <c r="B17" i="9"/>
  <c r="B18" i="9" s="1"/>
  <c r="G22" i="9" s="1"/>
  <c r="G23" i="9"/>
  <c r="F2" i="7"/>
  <c r="F5" i="7"/>
  <c r="F4" i="7" s="1"/>
  <c r="F8" i="7" s="1"/>
  <c r="F6" i="7"/>
  <c r="F10" i="7"/>
  <c r="F13" i="7" s="1"/>
  <c r="F15" i="7" s="1"/>
  <c r="F11" i="7"/>
  <c r="B6" i="8"/>
  <c r="C6" i="8"/>
  <c r="B10" i="8" s="1"/>
  <c r="D6" i="8"/>
  <c r="E6" i="8"/>
  <c r="F6" i="8"/>
  <c r="G6" i="8"/>
  <c r="B19" i="8"/>
  <c r="C19" i="8"/>
  <c r="D19" i="8"/>
  <c r="E19" i="8"/>
  <c r="F19" i="8"/>
  <c r="G19" i="8"/>
  <c r="H19" i="8"/>
  <c r="B26" i="8"/>
  <c r="B29" i="8"/>
  <c r="B31" i="8" s="1"/>
  <c r="B33" i="8" s="1"/>
  <c r="B34" i="8" s="1"/>
  <c r="B9" i="10"/>
  <c r="B18" i="11" l="1"/>
  <c r="B19" i="11" s="1"/>
  <c r="G50" i="3"/>
  <c r="B21" i="8"/>
  <c r="B22" i="8" s="1"/>
  <c r="E18" i="6"/>
  <c r="B7" i="5"/>
  <c r="B12" i="1"/>
  <c r="B33" i="11"/>
  <c r="B30" i="11"/>
  <c r="B31" i="11" s="1"/>
  <c r="B9" i="8"/>
  <c r="G24" i="9"/>
  <c r="G25" i="9" s="1"/>
  <c r="G52" i="3"/>
  <c r="D50" i="3"/>
  <c r="D52" i="3" s="1"/>
  <c r="B7" i="6"/>
  <c r="B8" i="6" s="1"/>
  <c r="B24" i="5"/>
  <c r="B26" i="5" s="1"/>
  <c r="B30" i="5" s="1"/>
  <c r="B16" i="10"/>
  <c r="B15" i="10"/>
  <c r="E20" i="6"/>
  <c r="B66" i="3"/>
  <c r="B11" i="10"/>
  <c r="B23" i="10" s="1"/>
  <c r="G18" i="6"/>
  <c r="G20" i="6" s="1"/>
  <c r="C52" i="3"/>
  <c r="H50" i="3"/>
  <c r="H52" i="3" s="1"/>
  <c r="C15" i="1"/>
  <c r="C18" i="1" s="1"/>
  <c r="B23" i="1" s="1"/>
  <c r="H18" i="6"/>
  <c r="H20" i="6" s="1"/>
  <c r="C18" i="6"/>
  <c r="C20" i="6" s="1"/>
  <c r="F50" i="3"/>
  <c r="F52" i="3" s="1"/>
  <c r="F18" i="6"/>
  <c r="F20" i="6" s="1"/>
  <c r="D18" i="6"/>
  <c r="D20" i="6" s="1"/>
  <c r="B23" i="6" l="1"/>
  <c r="B24" i="6" s="1"/>
  <c r="B55" i="3"/>
  <c r="B56" i="3" s="1"/>
  <c r="B58" i="3" s="1"/>
  <c r="B59" i="3" s="1"/>
  <c r="B18" i="10"/>
  <c r="C14" i="10"/>
  <c r="C16" i="10" l="1"/>
  <c r="C15" i="10"/>
  <c r="D14" i="10" s="1"/>
  <c r="C18" i="10" l="1"/>
  <c r="D16" i="10"/>
  <c r="D15" i="10"/>
  <c r="D18" i="10" l="1"/>
</calcChain>
</file>

<file path=xl/sharedStrings.xml><?xml version="1.0" encoding="utf-8"?>
<sst xmlns="http://schemas.openxmlformats.org/spreadsheetml/2006/main" count="242" uniqueCount="138">
  <si>
    <t xml:space="preserve">Periode </t>
  </si>
  <si>
    <t>Lån 1</t>
  </si>
  <si>
    <t>Nominell rente</t>
  </si>
  <si>
    <t>Gebyr</t>
  </si>
  <si>
    <t>Kontantstrøm</t>
  </si>
  <si>
    <t>Effektiv årsrente</t>
  </si>
  <si>
    <t>Lånebeløp</t>
  </si>
  <si>
    <t>Årlig ytelse</t>
  </si>
  <si>
    <t>Renter</t>
  </si>
  <si>
    <t>Avdrag</t>
  </si>
  <si>
    <t>Betale om 15 dager</t>
  </si>
  <si>
    <t>Betale om 45 dager</t>
  </si>
  <si>
    <t>Rente pr 45 dager</t>
  </si>
  <si>
    <t>Rente pr 30 dager</t>
  </si>
  <si>
    <t>Betale om 60 dager</t>
  </si>
  <si>
    <t>Periode</t>
  </si>
  <si>
    <t>Lån</t>
  </si>
  <si>
    <t>Nominell rente 6 mnd</t>
  </si>
  <si>
    <t>Effektiv rente 6 mnd</t>
  </si>
  <si>
    <t>Kvartalsrente</t>
  </si>
  <si>
    <t>Avgift</t>
  </si>
  <si>
    <t>Perioderente</t>
  </si>
  <si>
    <t>Årsrente</t>
  </si>
  <si>
    <t>Lån 2</t>
  </si>
  <si>
    <t>Kontant</t>
  </si>
  <si>
    <t>Avbetaling</t>
  </si>
  <si>
    <t>Månedsrente</t>
  </si>
  <si>
    <t>Limitprovisjon</t>
  </si>
  <si>
    <t>Utnyttelse</t>
  </si>
  <si>
    <t>Effektiv rente</t>
  </si>
  <si>
    <t>Ytelse</t>
  </si>
  <si>
    <t>Sum</t>
  </si>
  <si>
    <t>Utbetalt</t>
  </si>
  <si>
    <t>Effektiv månedsrente</t>
  </si>
  <si>
    <t>Nominell månedsrente</t>
  </si>
  <si>
    <t>Nåverdi lån</t>
  </si>
  <si>
    <t>Nå</t>
  </si>
  <si>
    <t>4 mnd</t>
  </si>
  <si>
    <t>Kreditt</t>
  </si>
  <si>
    <t>Rente 4 mnd</t>
  </si>
  <si>
    <t>Effelktiv årsrente</t>
  </si>
  <si>
    <t>Måned</t>
  </si>
  <si>
    <t>Nom rente mnd</t>
  </si>
  <si>
    <t>Månedlig ytelse</t>
  </si>
  <si>
    <t>Eff. månedsrente</t>
  </si>
  <si>
    <t>Omsetning</t>
  </si>
  <si>
    <t>Kundekredittid</t>
  </si>
  <si>
    <t>Factoring data:</t>
  </si>
  <si>
    <t>Margin tilbakeholdes</t>
  </si>
  <si>
    <t>Rest forskutteres etter</t>
  </si>
  <si>
    <t>Kostnader factoring</t>
  </si>
  <si>
    <t>Renter forskuttert kap.</t>
  </si>
  <si>
    <t>Fakturagebyr</t>
  </si>
  <si>
    <t>År</t>
  </si>
  <si>
    <t>Investering</t>
  </si>
  <si>
    <t>Kontantstrøm drift</t>
  </si>
  <si>
    <t>Salg anleggsmiddel</t>
  </si>
  <si>
    <t>Avkastningskrav</t>
  </si>
  <si>
    <t>Nåverdi</t>
  </si>
  <si>
    <t>Internrente</t>
  </si>
  <si>
    <t>Halvårstermin</t>
  </si>
  <si>
    <t>Termingebyr</t>
  </si>
  <si>
    <t>Halvårsrente</t>
  </si>
  <si>
    <t>Oppgave a og b</t>
  </si>
  <si>
    <t>Oppgave c og d</t>
  </si>
  <si>
    <t>Oppgave a</t>
  </si>
  <si>
    <t>Oppgave b</t>
  </si>
  <si>
    <t>Oppgave c</t>
  </si>
  <si>
    <t>Kassekredittrente pr kvartal</t>
  </si>
  <si>
    <t>Utnyttelsesgrad</t>
  </si>
  <si>
    <t>Effektiv rente pr. kvartal</t>
  </si>
  <si>
    <t>Kapitalbinding før factoring</t>
  </si>
  <si>
    <t>Kredittsalg</t>
  </si>
  <si>
    <t>Kredittid</t>
  </si>
  <si>
    <t>Kundefordringer før factoring</t>
  </si>
  <si>
    <t>Kapitalbinding etter factoring</t>
  </si>
  <si>
    <t>Margin</t>
  </si>
  <si>
    <t>Forskuttert</t>
  </si>
  <si>
    <t>Forskuttert beløp</t>
  </si>
  <si>
    <t>Kundefordringer etter factoring</t>
  </si>
  <si>
    <t>Finansiering margin</t>
  </si>
  <si>
    <t>Rest forskutteres</t>
  </si>
  <si>
    <t>Frigjort kapital</t>
  </si>
  <si>
    <t>Kostnader</t>
  </si>
  <si>
    <t>Renter forskuttert beløp</t>
  </si>
  <si>
    <t>Factoringgebyr</t>
  </si>
  <si>
    <t>Sum kostnader ved factoring</t>
  </si>
  <si>
    <t>Prosentvise kostnader ved faktoring</t>
  </si>
  <si>
    <t>Rest må finansieres i 7 dager</t>
  </si>
  <si>
    <t>Reduksjon kapitalbinding</t>
  </si>
  <si>
    <t>Sparte administrasjonskostnader</t>
  </si>
  <si>
    <t>Sum kostnader netto</t>
  </si>
  <si>
    <t>Prosentvise kostnader ved factoring</t>
  </si>
  <si>
    <t>Kundefordinger før factoring</t>
  </si>
  <si>
    <t>Margin må finansieres i 60 dager</t>
  </si>
  <si>
    <t>Oppgave d</t>
  </si>
  <si>
    <t>Leasingavgift (%)</t>
  </si>
  <si>
    <t>Leasingavgift (kr)</t>
  </si>
  <si>
    <t>Forskuddsbetaling</t>
  </si>
  <si>
    <t>Perioder</t>
  </si>
  <si>
    <t>Løpetid (mnd)</t>
  </si>
  <si>
    <t>Etableringsgebyr</t>
  </si>
  <si>
    <t>Rente/avdrag mnd</t>
  </si>
  <si>
    <t>Sum pr mnd</t>
  </si>
  <si>
    <t>Restgjeld</t>
  </si>
  <si>
    <t>Månedsrente uten gebyr</t>
  </si>
  <si>
    <t>Effektiv rente uten gebyr</t>
  </si>
  <si>
    <t>Kvartalstente</t>
  </si>
  <si>
    <t>Terminer</t>
  </si>
  <si>
    <t>Termin</t>
  </si>
  <si>
    <t>Etablering</t>
  </si>
  <si>
    <t>Rente</t>
  </si>
  <si>
    <t>Effektiv kvartalsrente</t>
  </si>
  <si>
    <t>Betaling pr. periode</t>
  </si>
  <si>
    <t>Gjenværende perioder</t>
  </si>
  <si>
    <t>Ny perioderente</t>
  </si>
  <si>
    <t>NV gjenværende betalinger</t>
  </si>
  <si>
    <t>Overkurs</t>
  </si>
  <si>
    <t>Restgjeld etter 3 år</t>
  </si>
  <si>
    <t>Rente alternativ 1</t>
  </si>
  <si>
    <t>Rente alternativ 2</t>
  </si>
  <si>
    <t>Løpetid</t>
  </si>
  <si>
    <t>Takst</t>
  </si>
  <si>
    <t>Gebyrer</t>
  </si>
  <si>
    <t>Uten rabatt</t>
  </si>
  <si>
    <t>Med rabatt</t>
  </si>
  <si>
    <t>Rabatt dager</t>
  </si>
  <si>
    <t>Rabatt</t>
  </si>
  <si>
    <t>Faktura</t>
  </si>
  <si>
    <t>Rente 30 dager</t>
  </si>
  <si>
    <t>Netto</t>
  </si>
  <si>
    <t>Måneder pr. år</t>
  </si>
  <si>
    <t>Låneperiode (dager)</t>
  </si>
  <si>
    <t>Å betale</t>
  </si>
  <si>
    <t>Rente 45 dager</t>
  </si>
  <si>
    <t>Perioder pr. år</t>
  </si>
  <si>
    <t>Utbetalt etter gebyr</t>
  </si>
  <si>
    <t>Alternativ effektiv kvartalsrente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</si>
</sst>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.0\ %"/>
    <numFmt numFmtId="167" formatCode="0.000\ %"/>
    <numFmt numFmtId="168" formatCode="0.0000\ %"/>
    <numFmt numFmtId="169" formatCode="0.0%"/>
    <numFmt numFmtId="170" formatCode="0&quot; dager&quot;"/>
    <numFmt numFmtId="171" formatCode="#,##0.00_ ;[Red]\-#,##0.00\ "/>
    <numFmt numFmtId="172" formatCode="#,##0_ ;\-#,##0\ "/>
    <numFmt numFmtId="173" formatCode="#,##0_ ;[Red]\-#,##0\ "/>
    <numFmt numFmtId="177" formatCode="_-* #,##0.0000_-;\-* #,##0.0000_-;_-* &quot;-&quot;??_-;_-@_-"/>
  </numFmts>
  <fonts count="5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4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2" borderId="3" xfId="0" applyFill="1" applyBorder="1" applyAlignment="1">
      <alignment horizontal="center"/>
    </xf>
    <xf numFmtId="165" fontId="0" fillId="0" borderId="3" xfId="1" applyNumberFormat="1" applyFont="1" applyBorder="1"/>
    <xf numFmtId="0" fontId="0" fillId="0" borderId="4" xfId="0" applyBorder="1"/>
    <xf numFmtId="3" fontId="0" fillId="0" borderId="4" xfId="0" applyNumberFormat="1" applyBorder="1"/>
    <xf numFmtId="3" fontId="0" fillId="0" borderId="3" xfId="0" applyNumberFormat="1" applyBorder="1"/>
    <xf numFmtId="0" fontId="0" fillId="2" borderId="3" xfId="0" applyFill="1" applyBorder="1"/>
    <xf numFmtId="0" fontId="0" fillId="0" borderId="3" xfId="0" applyBorder="1"/>
    <xf numFmtId="0" fontId="0" fillId="0" borderId="5" xfId="0" applyBorder="1"/>
    <xf numFmtId="3" fontId="0" fillId="0" borderId="5" xfId="0" applyNumberFormat="1" applyBorder="1"/>
    <xf numFmtId="165" fontId="0" fillId="0" borderId="5" xfId="1" applyNumberFormat="1" applyFont="1" applyBorder="1"/>
    <xf numFmtId="164" fontId="0" fillId="0" borderId="3" xfId="1" applyNumberFormat="1" applyFont="1" applyBorder="1"/>
    <xf numFmtId="164" fontId="0" fillId="0" borderId="5" xfId="1" applyNumberFormat="1" applyFont="1" applyBorder="1"/>
    <xf numFmtId="2" fontId="0" fillId="0" borderId="4" xfId="0" applyNumberFormat="1" applyBorder="1"/>
    <xf numFmtId="164" fontId="0" fillId="0" borderId="5" xfId="1" applyFont="1" applyBorder="1"/>
    <xf numFmtId="0" fontId="0" fillId="0" borderId="6" xfId="0" applyBorder="1"/>
    <xf numFmtId="0" fontId="0" fillId="3" borderId="7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7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165" fontId="0" fillId="0" borderId="4" xfId="1" applyNumberFormat="1" applyFont="1" applyBorder="1"/>
    <xf numFmtId="10" fontId="0" fillId="4" borderId="3" xfId="0" applyNumberFormat="1" applyFill="1" applyBorder="1"/>
    <xf numFmtId="10" fontId="0" fillId="4" borderId="4" xfId="0" applyNumberFormat="1" applyFill="1" applyBorder="1"/>
    <xf numFmtId="10" fontId="0" fillId="4" borderId="3" xfId="2" applyNumberFormat="1" applyFont="1" applyFill="1" applyBorder="1"/>
    <xf numFmtId="10" fontId="0" fillId="4" borderId="4" xfId="2" applyNumberFormat="1" applyFont="1" applyFill="1" applyBorder="1"/>
    <xf numFmtId="168" fontId="0" fillId="0" borderId="0" xfId="2" applyNumberFormat="1" applyFont="1"/>
    <xf numFmtId="0" fontId="0" fillId="4" borderId="4" xfId="0" applyFill="1" applyBorder="1"/>
    <xf numFmtId="0" fontId="0" fillId="4" borderId="3" xfId="0" applyFill="1" applyBorder="1"/>
    <xf numFmtId="0" fontId="0" fillId="4" borderId="8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6" xfId="0" applyFill="1" applyBorder="1"/>
    <xf numFmtId="0" fontId="0" fillId="4" borderId="7" xfId="0" applyFill="1" applyBorder="1"/>
    <xf numFmtId="10" fontId="0" fillId="0" borderId="5" xfId="0" applyNumberFormat="1" applyBorder="1"/>
    <xf numFmtId="9" fontId="0" fillId="0" borderId="4" xfId="0" applyNumberFormat="1" applyBorder="1"/>
    <xf numFmtId="10" fontId="0" fillId="0" borderId="3" xfId="0" applyNumberFormat="1" applyBorder="1"/>
    <xf numFmtId="164" fontId="0" fillId="0" borderId="5" xfId="0" applyNumberFormat="1" applyBorder="1"/>
    <xf numFmtId="2" fontId="0" fillId="0" borderId="5" xfId="0" applyNumberFormat="1" applyBorder="1"/>
    <xf numFmtId="3" fontId="0" fillId="5" borderId="5" xfId="0" applyNumberFormat="1" applyFill="1" applyBorder="1"/>
    <xf numFmtId="10" fontId="0" fillId="5" borderId="4" xfId="0" applyNumberFormat="1" applyFill="1" applyBorder="1"/>
    <xf numFmtId="0" fontId="0" fillId="5" borderId="3" xfId="0" applyFill="1" applyBorder="1"/>
    <xf numFmtId="0" fontId="0" fillId="5" borderId="5" xfId="0" applyFill="1" applyBorder="1"/>
    <xf numFmtId="10" fontId="0" fillId="5" borderId="3" xfId="0" applyNumberFormat="1" applyFill="1" applyBorder="1"/>
    <xf numFmtId="0" fontId="0" fillId="0" borderId="0" xfId="0" applyFill="1"/>
    <xf numFmtId="0" fontId="0" fillId="4" borderId="5" xfId="0" applyFill="1" applyBorder="1"/>
    <xf numFmtId="3" fontId="0" fillId="5" borderId="3" xfId="0" applyNumberFormat="1" applyFill="1" applyBorder="1"/>
    <xf numFmtId="10" fontId="0" fillId="5" borderId="5" xfId="0" applyNumberFormat="1" applyFill="1" applyBorder="1"/>
    <xf numFmtId="0" fontId="0" fillId="6" borderId="4" xfId="0" applyFill="1" applyBorder="1"/>
    <xf numFmtId="3" fontId="0" fillId="6" borderId="4" xfId="0" applyNumberFormat="1" applyFill="1" applyBorder="1"/>
    <xf numFmtId="4" fontId="0" fillId="6" borderId="4" xfId="0" applyNumberFormat="1" applyFill="1" applyBorder="1"/>
    <xf numFmtId="0" fontId="0" fillId="4" borderId="0" xfId="0" applyFill="1" applyBorder="1"/>
    <xf numFmtId="0" fontId="0" fillId="0" borderId="0" xfId="0" applyFill="1" applyBorder="1"/>
    <xf numFmtId="10" fontId="0" fillId="0" borderId="0" xfId="0" applyNumberFormat="1" applyFill="1" applyBorder="1"/>
    <xf numFmtId="10" fontId="0" fillId="5" borderId="5" xfId="2" applyNumberFormat="1" applyFont="1" applyFill="1" applyBorder="1"/>
    <xf numFmtId="10" fontId="0" fillId="5" borderId="4" xfId="2" applyNumberFormat="1" applyFont="1" applyFill="1" applyBorder="1"/>
    <xf numFmtId="10" fontId="0" fillId="5" borderId="7" xfId="0" applyNumberFormat="1" applyFill="1" applyBorder="1"/>
    <xf numFmtId="10" fontId="0" fillId="5" borderId="7" xfId="2" applyNumberFormat="1" applyFont="1" applyFill="1" applyBorder="1"/>
    <xf numFmtId="3" fontId="0" fillId="5" borderId="4" xfId="0" applyNumberFormat="1" applyFill="1" applyBorder="1"/>
    <xf numFmtId="168" fontId="0" fillId="5" borderId="3" xfId="0" applyNumberFormat="1" applyFill="1" applyBorder="1"/>
    <xf numFmtId="168" fontId="0" fillId="5" borderId="4" xfId="2" applyNumberFormat="1" applyFont="1" applyFill="1" applyBorder="1"/>
    <xf numFmtId="165" fontId="0" fillId="5" borderId="7" xfId="0" applyNumberFormat="1" applyFill="1" applyBorder="1"/>
    <xf numFmtId="168" fontId="0" fillId="5" borderId="5" xfId="0" applyNumberFormat="1" applyFill="1" applyBorder="1"/>
    <xf numFmtId="165" fontId="0" fillId="5" borderId="4" xfId="1" applyNumberFormat="1" applyFont="1" applyFill="1" applyBorder="1"/>
    <xf numFmtId="0" fontId="0" fillId="6" borderId="8" xfId="0" applyFill="1" applyBorder="1"/>
    <xf numFmtId="3" fontId="0" fillId="6" borderId="7" xfId="0" applyNumberFormat="1" applyFill="1" applyBorder="1"/>
    <xf numFmtId="164" fontId="0" fillId="5" borderId="5" xfId="1" applyFont="1" applyFill="1" applyBorder="1"/>
    <xf numFmtId="0" fontId="0" fillId="6" borderId="7" xfId="0" applyFill="1" applyBorder="1"/>
    <xf numFmtId="4" fontId="0" fillId="6" borderId="7" xfId="0" applyNumberFormat="1" applyFill="1" applyBorder="1"/>
    <xf numFmtId="0" fontId="3" fillId="0" borderId="0" xfId="0" applyFont="1"/>
    <xf numFmtId="0" fontId="3" fillId="3" borderId="7" xfId="0" applyFont="1" applyFill="1" applyBorder="1"/>
    <xf numFmtId="0" fontId="3" fillId="4" borderId="3" xfId="0" applyFont="1" applyFill="1" applyBorder="1"/>
    <xf numFmtId="0" fontId="3" fillId="4" borderId="5" xfId="0" applyFont="1" applyFill="1" applyBorder="1"/>
    <xf numFmtId="0" fontId="3" fillId="4" borderId="4" xfId="0" applyFont="1" applyFill="1" applyBorder="1"/>
    <xf numFmtId="0" fontId="3" fillId="4" borderId="3" xfId="0" applyFont="1" applyFill="1" applyBorder="1" applyAlignment="1"/>
    <xf numFmtId="0" fontId="3" fillId="4" borderId="4" xfId="0" applyFont="1" applyFill="1" applyBorder="1" applyAlignment="1"/>
    <xf numFmtId="10" fontId="3" fillId="5" borderId="3" xfId="0" applyNumberFormat="1" applyFont="1" applyFill="1" applyBorder="1"/>
    <xf numFmtId="10" fontId="3" fillId="5" borderId="5" xfId="0" applyNumberFormat="1" applyFont="1" applyFill="1" applyBorder="1"/>
    <xf numFmtId="9" fontId="3" fillId="5" borderId="4" xfId="0" applyNumberFormat="1" applyFont="1" applyFill="1" applyBorder="1"/>
    <xf numFmtId="169" fontId="3" fillId="5" borderId="3" xfId="0" applyNumberFormat="1" applyFont="1" applyFill="1" applyBorder="1"/>
    <xf numFmtId="169" fontId="3" fillId="5" borderId="4" xfId="0" applyNumberFormat="1" applyFont="1" applyFill="1" applyBorder="1"/>
    <xf numFmtId="165" fontId="3" fillId="0" borderId="0" xfId="1" applyNumberFormat="1" applyFont="1"/>
    <xf numFmtId="0" fontId="3" fillId="5" borderId="3" xfId="0" applyFont="1" applyFill="1" applyBorder="1"/>
    <xf numFmtId="0" fontId="3" fillId="5" borderId="5" xfId="0" applyFont="1" applyFill="1" applyBorder="1"/>
    <xf numFmtId="0" fontId="3" fillId="5" borderId="4" xfId="0" applyFont="1" applyFill="1" applyBorder="1"/>
    <xf numFmtId="165" fontId="3" fillId="5" borderId="7" xfId="1" applyNumberFormat="1" applyFont="1" applyFill="1" applyBorder="1"/>
    <xf numFmtId="0" fontId="3" fillId="5" borderId="8" xfId="0" applyFont="1" applyFill="1" applyBorder="1"/>
    <xf numFmtId="0" fontId="3" fillId="5" borderId="9" xfId="0" applyFont="1" applyFill="1" applyBorder="1"/>
    <xf numFmtId="0" fontId="3" fillId="5" borderId="10" xfId="0" applyFont="1" applyFill="1" applyBorder="1"/>
    <xf numFmtId="0" fontId="3" fillId="5" borderId="1" xfId="0" applyFont="1" applyFill="1" applyBorder="1"/>
    <xf numFmtId="0" fontId="3" fillId="5" borderId="11" xfId="0" applyFont="1" applyFill="1" applyBorder="1"/>
    <xf numFmtId="0" fontId="3" fillId="5" borderId="12" xfId="0" applyFont="1" applyFill="1" applyBorder="1"/>
    <xf numFmtId="0" fontId="3" fillId="5" borderId="6" xfId="0" applyFont="1" applyFill="1" applyBorder="1"/>
    <xf numFmtId="0" fontId="3" fillId="5" borderId="0" xfId="0" applyFont="1" applyFill="1" applyBorder="1"/>
    <xf numFmtId="170" fontId="3" fillId="5" borderId="13" xfId="0" applyNumberFormat="1" applyFont="1" applyFill="1" applyBorder="1"/>
    <xf numFmtId="0" fontId="3" fillId="5" borderId="2" xfId="0" applyFont="1" applyFill="1" applyBorder="1"/>
    <xf numFmtId="0" fontId="3" fillId="5" borderId="14" xfId="0" applyFont="1" applyFill="1" applyBorder="1"/>
    <xf numFmtId="0" fontId="3" fillId="5" borderId="15" xfId="0" applyFont="1" applyFill="1" applyBorder="1"/>
    <xf numFmtId="165" fontId="3" fillId="5" borderId="3" xfId="1" applyNumberFormat="1" applyFont="1" applyFill="1" applyBorder="1"/>
    <xf numFmtId="165" fontId="3" fillId="5" borderId="5" xfId="1" applyNumberFormat="1" applyFont="1" applyFill="1" applyBorder="1"/>
    <xf numFmtId="9" fontId="3" fillId="5" borderId="13" xfId="0" applyNumberFormat="1" applyFont="1" applyFill="1" applyBorder="1"/>
    <xf numFmtId="10" fontId="3" fillId="5" borderId="13" xfId="0" applyNumberFormat="1" applyFont="1" applyFill="1" applyBorder="1"/>
    <xf numFmtId="170" fontId="3" fillId="5" borderId="4" xfId="0" applyNumberFormat="1" applyFont="1" applyFill="1" applyBorder="1"/>
    <xf numFmtId="170" fontId="2" fillId="5" borderId="5" xfId="0" applyNumberFormat="1" applyFont="1" applyFill="1" applyBorder="1"/>
    <xf numFmtId="9" fontId="3" fillId="5" borderId="5" xfId="0" applyNumberFormat="1" applyFont="1" applyFill="1" applyBorder="1"/>
    <xf numFmtId="165" fontId="3" fillId="5" borderId="4" xfId="1" applyNumberFormat="1" applyFont="1" applyFill="1" applyBorder="1"/>
    <xf numFmtId="0" fontId="3" fillId="6" borderId="2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169" fontId="3" fillId="6" borderId="4" xfId="0" applyNumberFormat="1" applyFont="1" applyFill="1" applyBorder="1"/>
    <xf numFmtId="165" fontId="0" fillId="5" borderId="1" xfId="1" applyNumberFormat="1" applyFont="1" applyFill="1" applyBorder="1"/>
    <xf numFmtId="170" fontId="0" fillId="5" borderId="6" xfId="0" applyNumberFormat="1" applyFill="1" applyBorder="1"/>
    <xf numFmtId="0" fontId="0" fillId="5" borderId="6" xfId="0" applyFill="1" applyBorder="1"/>
    <xf numFmtId="9" fontId="0" fillId="5" borderId="6" xfId="0" applyNumberFormat="1" applyFill="1" applyBorder="1"/>
    <xf numFmtId="0" fontId="0" fillId="5" borderId="2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 applyAlignment="1">
      <alignment horizontal="right"/>
    </xf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 applyAlignment="1">
      <alignment horizontal="right"/>
    </xf>
    <xf numFmtId="165" fontId="0" fillId="5" borderId="5" xfId="1" applyNumberFormat="1" applyFont="1" applyFill="1" applyBorder="1"/>
    <xf numFmtId="0" fontId="0" fillId="6" borderId="6" xfId="0" applyFill="1" applyBorder="1"/>
    <xf numFmtId="0" fontId="0" fillId="6" borderId="0" xfId="0" applyFill="1" applyBorder="1"/>
    <xf numFmtId="0" fontId="0" fillId="6" borderId="13" xfId="0" applyFill="1" applyBorder="1" applyAlignment="1">
      <alignment horizontal="right"/>
    </xf>
    <xf numFmtId="165" fontId="0" fillId="6" borderId="5" xfId="1" applyNumberFormat="1" applyFont="1" applyFill="1" applyBorder="1"/>
    <xf numFmtId="0" fontId="0" fillId="6" borderId="9" xfId="0" applyFill="1" applyBorder="1"/>
    <xf numFmtId="0" fontId="0" fillId="6" borderId="10" xfId="0" applyFill="1" applyBorder="1" applyAlignment="1">
      <alignment horizontal="right"/>
    </xf>
    <xf numFmtId="165" fontId="0" fillId="6" borderId="7" xfId="1" applyNumberFormat="1" applyFont="1" applyFill="1" applyBorder="1"/>
    <xf numFmtId="169" fontId="0" fillId="6" borderId="7" xfId="0" applyNumberFormat="1" applyFill="1" applyBorder="1"/>
    <xf numFmtId="0" fontId="0" fillId="2" borderId="4" xfId="0" applyFill="1" applyBorder="1"/>
    <xf numFmtId="0" fontId="0" fillId="2" borderId="5" xfId="0" applyFill="1" applyBorder="1"/>
    <xf numFmtId="166" fontId="0" fillId="5" borderId="3" xfId="2" applyNumberFormat="1" applyFont="1" applyFill="1" applyBorder="1"/>
    <xf numFmtId="10" fontId="0" fillId="6" borderId="7" xfId="2" applyNumberFormat="1" applyFont="1" applyFill="1" applyBorder="1"/>
    <xf numFmtId="3" fontId="0" fillId="6" borderId="8" xfId="0" applyNumberFormat="1" applyFill="1" applyBorder="1"/>
    <xf numFmtId="167" fontId="0" fillId="5" borderId="4" xfId="2" applyNumberFormat="1" applyFont="1" applyFill="1" applyBorder="1"/>
    <xf numFmtId="167" fontId="0" fillId="5" borderId="7" xfId="0" applyNumberFormat="1" applyFill="1" applyBorder="1"/>
    <xf numFmtId="10" fontId="0" fillId="0" borderId="0" xfId="2" applyNumberFormat="1" applyFont="1"/>
    <xf numFmtId="0" fontId="0" fillId="4" borderId="7" xfId="0" applyFill="1" applyBorder="1" applyAlignment="1">
      <alignment horizontal="center"/>
    </xf>
    <xf numFmtId="0" fontId="0" fillId="6" borderId="5" xfId="0" applyFill="1" applyBorder="1"/>
    <xf numFmtId="3" fontId="0" fillId="6" borderId="5" xfId="0" applyNumberFormat="1" applyFill="1" applyBorder="1"/>
    <xf numFmtId="0" fontId="0" fillId="8" borderId="3" xfId="0" applyFill="1" applyBorder="1"/>
    <xf numFmtId="0" fontId="0" fillId="8" borderId="5" xfId="0" applyFill="1" applyBorder="1"/>
    <xf numFmtId="3" fontId="0" fillId="9" borderId="3" xfId="0" applyNumberFormat="1" applyFill="1" applyBorder="1"/>
    <xf numFmtId="10" fontId="0" fillId="9" borderId="5" xfId="0" applyNumberFormat="1" applyFill="1" applyBorder="1"/>
    <xf numFmtId="10" fontId="0" fillId="9" borderId="5" xfId="2" applyNumberFormat="1" applyFont="1" applyFill="1" applyBorder="1"/>
    <xf numFmtId="0" fontId="0" fillId="9" borderId="5" xfId="0" applyFill="1" applyBorder="1"/>
    <xf numFmtId="38" fontId="0" fillId="0" borderId="3" xfId="0" applyNumberFormat="1" applyBorder="1"/>
    <xf numFmtId="38" fontId="0" fillId="4" borderId="7" xfId="0" applyNumberFormat="1" applyFill="1" applyBorder="1"/>
    <xf numFmtId="0" fontId="1" fillId="0" borderId="0" xfId="0" applyFont="1"/>
    <xf numFmtId="0" fontId="1" fillId="8" borderId="14" xfId="0" applyFont="1" applyFill="1" applyBorder="1"/>
    <xf numFmtId="0" fontId="1" fillId="0" borderId="14" xfId="0" applyFont="1" applyBorder="1"/>
    <xf numFmtId="173" fontId="0" fillId="0" borderId="0" xfId="0" applyNumberFormat="1"/>
    <xf numFmtId="0" fontId="1" fillId="7" borderId="3" xfId="0" applyFont="1" applyFill="1" applyBorder="1"/>
    <xf numFmtId="0" fontId="1" fillId="7" borderId="5" xfId="0" applyFont="1" applyFill="1" applyBorder="1"/>
    <xf numFmtId="0" fontId="1" fillId="7" borderId="4" xfId="0" applyFont="1" applyFill="1" applyBorder="1"/>
    <xf numFmtId="3" fontId="0" fillId="9" borderId="5" xfId="0" applyNumberFormat="1" applyFill="1" applyBorder="1"/>
    <xf numFmtId="0" fontId="0" fillId="9" borderId="4" xfId="0" applyFill="1" applyBorder="1"/>
    <xf numFmtId="0" fontId="1" fillId="0" borderId="3" xfId="0" applyFont="1" applyBorder="1"/>
    <xf numFmtId="0" fontId="1" fillId="0" borderId="4" xfId="0" applyFont="1" applyBorder="1"/>
    <xf numFmtId="10" fontId="0" fillId="0" borderId="4" xfId="2" applyNumberFormat="1" applyFont="1" applyBorder="1"/>
    <xf numFmtId="0" fontId="1" fillId="0" borderId="5" xfId="0" applyFont="1" applyBorder="1"/>
    <xf numFmtId="171" fontId="0" fillId="0" borderId="3" xfId="0" applyNumberFormat="1" applyBorder="1"/>
    <xf numFmtId="0" fontId="1" fillId="8" borderId="7" xfId="0" applyFont="1" applyFill="1" applyBorder="1"/>
    <xf numFmtId="165" fontId="0" fillId="8" borderId="7" xfId="0" applyNumberFormat="1" applyFill="1" applyBorder="1"/>
    <xf numFmtId="0" fontId="1" fillId="0" borderId="7" xfId="0" applyFont="1" applyBorder="1"/>
    <xf numFmtId="172" fontId="0" fillId="0" borderId="7" xfId="0" applyNumberFormat="1" applyBorder="1"/>
    <xf numFmtId="0" fontId="1" fillId="7" borderId="9" xfId="0" applyFont="1" applyFill="1" applyBorder="1"/>
    <xf numFmtId="9" fontId="0" fillId="0" borderId="0" xfId="0" applyNumberFormat="1"/>
    <xf numFmtId="0" fontId="1" fillId="0" borderId="0" xfId="0" applyFont="1" applyFill="1" applyBorder="1"/>
    <xf numFmtId="3" fontId="0" fillId="7" borderId="3" xfId="0" applyNumberFormat="1" applyFill="1" applyBorder="1"/>
    <xf numFmtId="9" fontId="0" fillId="7" borderId="5" xfId="0" applyNumberFormat="1" applyFill="1" applyBorder="1"/>
    <xf numFmtId="0" fontId="0" fillId="7" borderId="4" xfId="0" applyFill="1" applyBorder="1"/>
    <xf numFmtId="0" fontId="1" fillId="12" borderId="9" xfId="0" applyFont="1" applyFill="1" applyBorder="1"/>
    <xf numFmtId="0" fontId="1" fillId="0" borderId="0" xfId="0" applyFont="1" applyBorder="1"/>
    <xf numFmtId="0" fontId="1" fillId="12" borderId="0" xfId="0" applyFont="1" applyFill="1"/>
    <xf numFmtId="10" fontId="0" fillId="12" borderId="0" xfId="0" applyNumberFormat="1" applyFill="1"/>
    <xf numFmtId="0" fontId="1" fillId="11" borderId="14" xfId="0" applyFont="1" applyFill="1" applyBorder="1"/>
    <xf numFmtId="0" fontId="0" fillId="11" borderId="7" xfId="0" applyFill="1" applyBorder="1" applyAlignment="1">
      <alignment horizontal="center"/>
    </xf>
    <xf numFmtId="3" fontId="0" fillId="12" borderId="7" xfId="0" applyNumberFormat="1" applyFill="1" applyBorder="1"/>
    <xf numFmtId="164" fontId="0" fillId="0" borderId="4" xfId="1" applyFont="1" applyBorder="1"/>
    <xf numFmtId="0" fontId="0" fillId="0" borderId="7" xfId="0" applyBorder="1"/>
    <xf numFmtId="4" fontId="0" fillId="12" borderId="7" xfId="0" applyNumberFormat="1" applyFill="1" applyBorder="1"/>
    <xf numFmtId="0" fontId="4" fillId="12" borderId="0" xfId="0" applyFont="1" applyFill="1"/>
    <xf numFmtId="10" fontId="4" fillId="12" borderId="0" xfId="0" applyNumberFormat="1" applyFont="1" applyFill="1"/>
    <xf numFmtId="0" fontId="1" fillId="7" borderId="0" xfId="0" applyFont="1" applyFill="1" applyBorder="1"/>
    <xf numFmtId="0" fontId="1" fillId="7" borderId="14" xfId="0" applyFont="1" applyFill="1" applyBorder="1"/>
    <xf numFmtId="0" fontId="0" fillId="10" borderId="0" xfId="0" applyFill="1"/>
    <xf numFmtId="0" fontId="0" fillId="13" borderId="0" xfId="0" applyFill="1"/>
    <xf numFmtId="0" fontId="0" fillId="13" borderId="14" xfId="0" applyFill="1" applyBorder="1"/>
    <xf numFmtId="0" fontId="1" fillId="8" borderId="0" xfId="0" applyFont="1" applyFill="1" applyBorder="1"/>
    <xf numFmtId="2" fontId="0" fillId="10" borderId="0" xfId="0" applyNumberFormat="1" applyFill="1"/>
    <xf numFmtId="164" fontId="0" fillId="10" borderId="14" xfId="1" applyFont="1" applyFill="1" applyBorder="1"/>
    <xf numFmtId="43" fontId="0" fillId="10" borderId="0" xfId="0" applyNumberFormat="1" applyFill="1"/>
    <xf numFmtId="177" fontId="0" fillId="10" borderId="0" xfId="0" applyNumberFormat="1" applyFill="1"/>
    <xf numFmtId="10" fontId="0" fillId="10" borderId="0" xfId="2" applyNumberFormat="1" applyFont="1" applyFill="1"/>
    <xf numFmtId="10" fontId="0" fillId="0" borderId="0" xfId="2" applyNumberFormat="1" applyFont="1" applyFill="1"/>
    <xf numFmtId="2" fontId="0" fillId="7" borderId="0" xfId="2" applyNumberFormat="1" applyFont="1" applyFill="1"/>
    <xf numFmtId="43" fontId="0" fillId="7" borderId="0" xfId="0" applyNumberFormat="1" applyFill="1"/>
    <xf numFmtId="10" fontId="1" fillId="7" borderId="0" xfId="2" applyNumberFormat="1" applyFont="1" applyFill="1"/>
    <xf numFmtId="0" fontId="0" fillId="7" borderId="7" xfId="0" applyFill="1" applyBorder="1"/>
    <xf numFmtId="3" fontId="0" fillId="7" borderId="7" xfId="0" applyNumberFormat="1" applyFill="1" applyBorder="1"/>
    <xf numFmtId="0" fontId="0" fillId="7" borderId="3" xfId="0" applyFill="1" applyBorder="1"/>
    <xf numFmtId="0" fontId="0" fillId="7" borderId="5" xfId="0" applyFill="1" applyBorder="1"/>
    <xf numFmtId="10" fontId="3" fillId="7" borderId="3" xfId="2" applyNumberFormat="1" applyFont="1" applyFill="1" applyBorder="1"/>
    <xf numFmtId="10" fontId="3" fillId="7" borderId="5" xfId="2" applyNumberFormat="1" applyFont="1" applyFill="1" applyBorder="1"/>
    <xf numFmtId="10" fontId="0" fillId="6" borderId="5" xfId="2" applyNumberFormat="1" applyFont="1" applyFill="1" applyBorder="1"/>
    <xf numFmtId="10" fontId="0" fillId="6" borderId="4" xfId="2" applyNumberFormat="1" applyFont="1" applyFill="1" applyBorder="1"/>
    <xf numFmtId="3" fontId="0" fillId="10" borderId="12" xfId="0" applyNumberFormat="1" applyFill="1" applyBorder="1"/>
    <xf numFmtId="10" fontId="0" fillId="10" borderId="13" xfId="0" applyNumberFormat="1" applyFill="1" applyBorder="1"/>
    <xf numFmtId="10" fontId="0" fillId="10" borderId="13" xfId="2" applyNumberFormat="1" applyFont="1" applyFill="1" applyBorder="1"/>
    <xf numFmtId="0" fontId="0" fillId="10" borderId="13" xfId="0" applyFill="1" applyBorder="1"/>
    <xf numFmtId="3" fontId="0" fillId="10" borderId="15" xfId="0" applyNumberFormat="1" applyFill="1" applyBorder="1"/>
    <xf numFmtId="0" fontId="1" fillId="8" borderId="4" xfId="0" applyFont="1" applyFill="1" applyBorder="1"/>
    <xf numFmtId="3" fontId="0" fillId="10" borderId="13" xfId="0" applyNumberFormat="1" applyFill="1" applyBorder="1"/>
    <xf numFmtId="10" fontId="0" fillId="0" borderId="0" xfId="2" applyNumberFormat="1" applyFont="1" applyBorder="1"/>
    <xf numFmtId="0" fontId="0" fillId="8" borderId="7" xfId="0" applyFill="1" applyBorder="1" applyAlignment="1">
      <alignment horizontal="center"/>
    </xf>
    <xf numFmtId="172" fontId="0" fillId="0" borderId="4" xfId="0" applyNumberFormat="1" applyBorder="1"/>
    <xf numFmtId="0" fontId="4" fillId="11" borderId="0" xfId="0" applyFont="1" applyFill="1" applyBorder="1"/>
    <xf numFmtId="10" fontId="0" fillId="11" borderId="0" xfId="2" applyNumberFormat="1" applyFont="1" applyFill="1" applyBorder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19</xdr:row>
      <xdr:rowOff>0</xdr:rowOff>
    </xdr:from>
    <xdr:to>
      <xdr:col>2</xdr:col>
      <xdr:colOff>342900</xdr:colOff>
      <xdr:row>25</xdr:row>
      <xdr:rowOff>38100</xdr:rowOff>
    </xdr:to>
    <xdr:sp macro="" textlink="">
      <xdr:nvSpPr>
        <xdr:cNvPr id="1025" name="Tekst 1"/>
        <xdr:cNvSpPr txBox="1">
          <a:spLocks noChangeArrowheads="1"/>
        </xdr:cNvSpPr>
      </xdr:nvSpPr>
      <xdr:spPr bwMode="auto">
        <a:xfrm>
          <a:off x="47625" y="3076575"/>
          <a:ext cx="2743200" cy="1009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MS Sans Serif"/>
            </a:rPr>
            <a:t>Dersom factoringselskapet greier å presse ned kunde-kredittiden (til ca 32 dager) vil factroing være mest gunstig. Prøv dette ved å sette inn 32 i B15.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D39" sqref="D39"/>
    </sheetView>
  </sheetViews>
  <sheetFormatPr baseColWidth="10" defaultColWidth="11.42578125" defaultRowHeight="12.75" x14ac:dyDescent="0.2"/>
  <cols>
    <col min="1" max="1" width="17.28515625" bestFit="1" customWidth="1"/>
    <col min="2" max="2" width="11.42578125" customWidth="1"/>
    <col min="3" max="3" width="11.85546875" bestFit="1" customWidth="1"/>
  </cols>
  <sheetData>
    <row r="1" spans="1:4" x14ac:dyDescent="0.2">
      <c r="A1" s="19" t="s">
        <v>63</v>
      </c>
    </row>
    <row r="3" spans="1:4" x14ac:dyDescent="0.2">
      <c r="A3" s="9" t="s">
        <v>0</v>
      </c>
      <c r="B3" s="4">
        <v>0</v>
      </c>
      <c r="C3" s="4">
        <v>1</v>
      </c>
      <c r="D3" s="4">
        <v>2</v>
      </c>
    </row>
    <row r="4" spans="1:4" x14ac:dyDescent="0.2">
      <c r="A4" s="10" t="s">
        <v>9</v>
      </c>
      <c r="B4" s="8">
        <v>50000</v>
      </c>
      <c r="C4" s="14">
        <f>$B$10-C5</f>
        <v>-23923.444976076549</v>
      </c>
      <c r="D4" s="14">
        <f>$B$10-D5</f>
        <v>-26076.55502392344</v>
      </c>
    </row>
    <row r="5" spans="1:4" x14ac:dyDescent="0.2">
      <c r="A5" s="11" t="s">
        <v>8</v>
      </c>
      <c r="B5" s="12"/>
      <c r="C5" s="15">
        <f>IPMT($B$11,C3:D3,2,$B$4)</f>
        <v>-4500</v>
      </c>
      <c r="D5" s="15">
        <f>IPMT($B$11,D3:E3,2,$B$4)</f>
        <v>-2346.8899521531098</v>
      </c>
    </row>
    <row r="6" spans="1:4" x14ac:dyDescent="0.2">
      <c r="A6" s="6" t="s">
        <v>3</v>
      </c>
      <c r="B6" s="6"/>
      <c r="C6" s="16">
        <v>-100</v>
      </c>
      <c r="D6" s="16">
        <v>-100</v>
      </c>
    </row>
    <row r="7" spans="1:4" x14ac:dyDescent="0.2">
      <c r="A7" s="52" t="s">
        <v>4</v>
      </c>
      <c r="B7" s="53">
        <f>SUM(B4:B6)</f>
        <v>50000</v>
      </c>
      <c r="C7" s="54">
        <f>SUM(C4:C6)</f>
        <v>-28523.444976076549</v>
      </c>
      <c r="D7" s="54">
        <f>SUM(D4:D6)</f>
        <v>-28523.444976076549</v>
      </c>
    </row>
    <row r="9" spans="1:4" x14ac:dyDescent="0.2">
      <c r="A9" s="32" t="s">
        <v>6</v>
      </c>
      <c r="B9" s="50">
        <v>50000</v>
      </c>
    </row>
    <row r="10" spans="1:4" x14ac:dyDescent="0.2">
      <c r="A10" s="49" t="s">
        <v>7</v>
      </c>
      <c r="B10" s="43">
        <f>PMT(B11,2,B9)</f>
        <v>-28423.444976076549</v>
      </c>
    </row>
    <row r="11" spans="1:4" x14ac:dyDescent="0.2">
      <c r="A11" s="49" t="s">
        <v>2</v>
      </c>
      <c r="B11" s="51">
        <v>0.09</v>
      </c>
    </row>
    <row r="12" spans="1:4" x14ac:dyDescent="0.2">
      <c r="A12" s="31" t="s">
        <v>5</v>
      </c>
      <c r="B12" s="44">
        <f>IRR(B7:D7)</f>
        <v>9.2592852734324493E-2</v>
      </c>
    </row>
    <row r="14" spans="1:4" x14ac:dyDescent="0.2">
      <c r="A14" s="9" t="s">
        <v>0</v>
      </c>
      <c r="B14" s="4">
        <v>0</v>
      </c>
      <c r="C14" s="4">
        <v>1</v>
      </c>
      <c r="D14" s="4">
        <v>2</v>
      </c>
    </row>
    <row r="15" spans="1:4" x14ac:dyDescent="0.2">
      <c r="A15" s="10" t="s">
        <v>9</v>
      </c>
      <c r="B15" s="8">
        <v>50000</v>
      </c>
      <c r="C15" s="14">
        <f>$B$21-C16</f>
        <v>-24271.844660194176</v>
      </c>
      <c r="D15" s="14">
        <f>$B$21-D16</f>
        <v>-25728.155339805828</v>
      </c>
    </row>
    <row r="16" spans="1:4" x14ac:dyDescent="0.2">
      <c r="A16" s="11" t="s">
        <v>8</v>
      </c>
      <c r="B16" s="12"/>
      <c r="C16" s="17">
        <f>IPMT($B$22,C14:D14,2,$B$4)</f>
        <v>-3000</v>
      </c>
      <c r="D16" s="17">
        <f>IPMT($B$22,D14:E14,2,$B$4)</f>
        <v>-1543.6893203883494</v>
      </c>
    </row>
    <row r="17" spans="1:4" x14ac:dyDescent="0.2">
      <c r="A17" s="6" t="s">
        <v>3</v>
      </c>
      <c r="B17" s="7">
        <v>-2500</v>
      </c>
      <c r="C17" s="16">
        <v>-100</v>
      </c>
      <c r="D17" s="16">
        <v>-100</v>
      </c>
    </row>
    <row r="18" spans="1:4" x14ac:dyDescent="0.2">
      <c r="A18" s="52" t="s">
        <v>4</v>
      </c>
      <c r="B18" s="53">
        <f>SUM(B15:B17)</f>
        <v>47500</v>
      </c>
      <c r="C18" s="54">
        <f>SUM(C15:C17)</f>
        <v>-27371.844660194176</v>
      </c>
      <c r="D18" s="54">
        <f>SUM(D15:D17)</f>
        <v>-27371.844660194176</v>
      </c>
    </row>
    <row r="20" spans="1:4" x14ac:dyDescent="0.2">
      <c r="A20" s="32" t="s">
        <v>6</v>
      </c>
      <c r="B20" s="50">
        <v>50000</v>
      </c>
    </row>
    <row r="21" spans="1:4" x14ac:dyDescent="0.2">
      <c r="A21" s="49" t="s">
        <v>7</v>
      </c>
      <c r="B21" s="43">
        <f>PMT(B22,2,B20)</f>
        <v>-27271.844660194176</v>
      </c>
    </row>
    <row r="22" spans="1:4" x14ac:dyDescent="0.2">
      <c r="A22" s="49" t="s">
        <v>2</v>
      </c>
      <c r="B22" s="51">
        <v>0.06</v>
      </c>
    </row>
    <row r="23" spans="1:4" x14ac:dyDescent="0.2">
      <c r="A23" s="31" t="s">
        <v>5</v>
      </c>
      <c r="B23" s="44">
        <f>IRR(B18:D18)</f>
        <v>0.10007615261792391</v>
      </c>
    </row>
    <row r="24" spans="1:4" x14ac:dyDescent="0.2">
      <c r="A24" s="56"/>
      <c r="B24" s="57"/>
    </row>
    <row r="25" spans="1:4" x14ac:dyDescent="0.2">
      <c r="A25" s="19" t="s">
        <v>64</v>
      </c>
      <c r="B25" s="57"/>
    </row>
    <row r="27" spans="1:4" x14ac:dyDescent="0.2">
      <c r="A27" s="32" t="s">
        <v>10</v>
      </c>
      <c r="B27" s="45">
        <v>98</v>
      </c>
    </row>
    <row r="28" spans="1:4" x14ac:dyDescent="0.2">
      <c r="A28" s="49" t="s">
        <v>11</v>
      </c>
      <c r="B28" s="46">
        <v>100</v>
      </c>
    </row>
    <row r="29" spans="1:4" x14ac:dyDescent="0.2">
      <c r="A29" s="49" t="s">
        <v>13</v>
      </c>
      <c r="B29" s="58">
        <f>(B28/B27)-1</f>
        <v>2.0408163265306145E-2</v>
      </c>
    </row>
    <row r="30" spans="1:4" x14ac:dyDescent="0.2">
      <c r="A30" s="31" t="s">
        <v>5</v>
      </c>
      <c r="B30" s="59">
        <f>(1+B29)^12-1</f>
        <v>0.27434521242337762</v>
      </c>
    </row>
    <row r="32" spans="1:4" x14ac:dyDescent="0.2">
      <c r="A32" s="32" t="s">
        <v>10</v>
      </c>
      <c r="B32" s="45">
        <v>98</v>
      </c>
    </row>
    <row r="33" spans="1:2" x14ac:dyDescent="0.2">
      <c r="A33" s="49" t="s">
        <v>14</v>
      </c>
      <c r="B33" s="46">
        <v>101.5</v>
      </c>
    </row>
    <row r="34" spans="1:2" x14ac:dyDescent="0.2">
      <c r="A34" s="49" t="s">
        <v>12</v>
      </c>
      <c r="B34" s="58">
        <f>(B33/B32)-1</f>
        <v>3.5714285714285809E-2</v>
      </c>
    </row>
    <row r="35" spans="1:2" x14ac:dyDescent="0.2">
      <c r="A35" s="31" t="s">
        <v>5</v>
      </c>
      <c r="B35" s="59">
        <f>(1+B34)^8-1</f>
        <v>0.32409678922900675</v>
      </c>
    </row>
  </sheetData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workbookViewId="0">
      <selection activeCell="F23" sqref="F23"/>
    </sheetView>
  </sheetViews>
  <sheetFormatPr baseColWidth="10" defaultColWidth="9.140625" defaultRowHeight="12.75" x14ac:dyDescent="0.2"/>
  <cols>
    <col min="1" max="1" width="29.5703125" bestFit="1" customWidth="1"/>
    <col min="2" max="2" width="12.85546875" bestFit="1" customWidth="1"/>
    <col min="3" max="3" width="11.85546875" bestFit="1" customWidth="1"/>
  </cols>
  <sheetData>
    <row r="1" spans="1:18" x14ac:dyDescent="0.2">
      <c r="A1" s="157" t="s">
        <v>16</v>
      </c>
      <c r="B1" s="147">
        <v>200000</v>
      </c>
    </row>
    <row r="2" spans="1:18" x14ac:dyDescent="0.2">
      <c r="A2" s="158" t="s">
        <v>2</v>
      </c>
      <c r="B2" s="148">
        <v>0.05</v>
      </c>
    </row>
    <row r="3" spans="1:18" x14ac:dyDescent="0.2">
      <c r="A3" s="158" t="s">
        <v>107</v>
      </c>
      <c r="B3" s="149">
        <f>B2/4</f>
        <v>1.2500000000000001E-2</v>
      </c>
    </row>
    <row r="4" spans="1:18" x14ac:dyDescent="0.2">
      <c r="A4" s="158" t="s">
        <v>108</v>
      </c>
      <c r="B4" s="150">
        <v>16</v>
      </c>
    </row>
    <row r="5" spans="1:18" x14ac:dyDescent="0.2">
      <c r="A5" s="158" t="s">
        <v>101</v>
      </c>
      <c r="B5" s="160">
        <v>1000</v>
      </c>
    </row>
    <row r="6" spans="1:18" x14ac:dyDescent="0.2">
      <c r="A6" s="159" t="s">
        <v>61</v>
      </c>
      <c r="B6" s="161">
        <v>50</v>
      </c>
    </row>
    <row r="8" spans="1:18" x14ac:dyDescent="0.2">
      <c r="A8" s="153" t="s">
        <v>30</v>
      </c>
      <c r="B8" s="156">
        <f>-PMT(B3,B4,B1)</f>
        <v>13869.344410029162</v>
      </c>
    </row>
    <row r="10" spans="1:18" x14ac:dyDescent="0.2">
      <c r="A10" s="154" t="s">
        <v>109</v>
      </c>
      <c r="B10" s="220">
        <v>0</v>
      </c>
      <c r="C10" s="220">
        <v>1</v>
      </c>
      <c r="D10" s="220">
        <v>2</v>
      </c>
      <c r="E10" s="220">
        <v>3</v>
      </c>
      <c r="F10" s="220">
        <v>4</v>
      </c>
      <c r="G10" s="220">
        <v>5</v>
      </c>
      <c r="H10" s="220">
        <v>6</v>
      </c>
      <c r="I10" s="220">
        <v>7</v>
      </c>
      <c r="J10" s="220">
        <v>8</v>
      </c>
      <c r="K10" s="220">
        <v>9</v>
      </c>
      <c r="L10" s="220">
        <v>10</v>
      </c>
      <c r="M10" s="220">
        <v>11</v>
      </c>
      <c r="N10" s="220">
        <v>12</v>
      </c>
      <c r="O10" s="220">
        <v>13</v>
      </c>
      <c r="P10" s="220">
        <v>14</v>
      </c>
      <c r="Q10" s="220">
        <v>15</v>
      </c>
      <c r="R10" s="220">
        <v>16</v>
      </c>
    </row>
    <row r="11" spans="1:18" x14ac:dyDescent="0.2">
      <c r="A11" s="153" t="s">
        <v>16</v>
      </c>
      <c r="B11" s="12">
        <f>B1</f>
        <v>200000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x14ac:dyDescent="0.2">
      <c r="A12" s="153" t="s">
        <v>110</v>
      </c>
      <c r="B12" s="12">
        <f>-B5</f>
        <v>-1000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x14ac:dyDescent="0.2">
      <c r="A13" s="153" t="s">
        <v>61</v>
      </c>
      <c r="B13" s="11"/>
      <c r="C13" s="11">
        <f>-$B$6</f>
        <v>-50</v>
      </c>
      <c r="D13" s="11">
        <f t="shared" ref="D13:R13" si="0">-$B$6</f>
        <v>-50</v>
      </c>
      <c r="E13" s="11">
        <f t="shared" si="0"/>
        <v>-50</v>
      </c>
      <c r="F13" s="11">
        <f t="shared" si="0"/>
        <v>-50</v>
      </c>
      <c r="G13" s="11">
        <f t="shared" si="0"/>
        <v>-50</v>
      </c>
      <c r="H13" s="11">
        <f t="shared" si="0"/>
        <v>-50</v>
      </c>
      <c r="I13" s="11">
        <f t="shared" si="0"/>
        <v>-50</v>
      </c>
      <c r="J13" s="11">
        <f t="shared" si="0"/>
        <v>-50</v>
      </c>
      <c r="K13" s="11">
        <f t="shared" si="0"/>
        <v>-50</v>
      </c>
      <c r="L13" s="11">
        <f t="shared" si="0"/>
        <v>-50</v>
      </c>
      <c r="M13" s="11">
        <f t="shared" si="0"/>
        <v>-50</v>
      </c>
      <c r="N13" s="11">
        <f t="shared" si="0"/>
        <v>-50</v>
      </c>
      <c r="O13" s="11">
        <f t="shared" si="0"/>
        <v>-50</v>
      </c>
      <c r="P13" s="11">
        <f t="shared" si="0"/>
        <v>-50</v>
      </c>
      <c r="Q13" s="11">
        <f t="shared" si="0"/>
        <v>-50</v>
      </c>
      <c r="R13" s="11">
        <f t="shared" si="0"/>
        <v>-50</v>
      </c>
    </row>
    <row r="14" spans="1:18" x14ac:dyDescent="0.2">
      <c r="A14" s="153" t="s">
        <v>111</v>
      </c>
      <c r="B14" s="11"/>
      <c r="C14" s="13">
        <f>IPMT($B$3,C10,16,$B$1)</f>
        <v>-2500</v>
      </c>
      <c r="D14" s="13">
        <f t="shared" ref="D14:R14" si="1">IPMT($B$3,D10,16,$B$1)</f>
        <v>-2357.8831948746356</v>
      </c>
      <c r="E14" s="13">
        <f t="shared" si="1"/>
        <v>-2213.9899296852041</v>
      </c>
      <c r="F14" s="13">
        <f t="shared" si="1"/>
        <v>-2068.2979986809041</v>
      </c>
      <c r="G14" s="13">
        <f t="shared" si="1"/>
        <v>-1920.7849185390512</v>
      </c>
      <c r="H14" s="13">
        <f t="shared" si="1"/>
        <v>-1771.4279248954253</v>
      </c>
      <c r="I14" s="13">
        <f t="shared" si="1"/>
        <v>-1620.2039688312534</v>
      </c>
      <c r="J14" s="13">
        <f t="shared" si="1"/>
        <v>-1467.0897133162794</v>
      </c>
      <c r="K14" s="13">
        <f t="shared" si="1"/>
        <v>-1312.0615296073684</v>
      </c>
      <c r="L14" s="13">
        <f t="shared" si="1"/>
        <v>-1155.095493602096</v>
      </c>
      <c r="M14" s="13">
        <f t="shared" si="1"/>
        <v>-996.16738214675752</v>
      </c>
      <c r="N14" s="13">
        <f t="shared" si="1"/>
        <v>-835.2526692982276</v>
      </c>
      <c r="O14" s="13">
        <f t="shared" si="1"/>
        <v>-672.326522539091</v>
      </c>
      <c r="P14" s="13">
        <f t="shared" si="1"/>
        <v>-507.36379894546502</v>
      </c>
      <c r="Q14" s="13">
        <f t="shared" si="1"/>
        <v>-340.33904130691894</v>
      </c>
      <c r="R14" s="13">
        <f t="shared" si="1"/>
        <v>-171.22647419789087</v>
      </c>
    </row>
    <row r="15" spans="1:18" x14ac:dyDescent="0.2">
      <c r="A15" s="155" t="s">
        <v>9</v>
      </c>
      <c r="B15" s="6"/>
      <c r="C15" s="221">
        <f>PPMT($B$3,C10,$R$10,$B$1)</f>
        <v>-11369.344410029162</v>
      </c>
      <c r="D15" s="221">
        <f t="shared" ref="D15:R15" si="2">PPMT($B$3,D10,$R$10,$B$1)</f>
        <v>-11511.461215154526</v>
      </c>
      <c r="E15" s="221">
        <f t="shared" si="2"/>
        <v>-11655.354480343958</v>
      </c>
      <c r="F15" s="221">
        <f t="shared" si="2"/>
        <v>-11801.046411348258</v>
      </c>
      <c r="G15" s="221">
        <f t="shared" si="2"/>
        <v>-11948.55949149011</v>
      </c>
      <c r="H15" s="221">
        <f t="shared" si="2"/>
        <v>-12097.916485133737</v>
      </c>
      <c r="I15" s="221">
        <f t="shared" si="2"/>
        <v>-12249.140441197909</v>
      </c>
      <c r="J15" s="221">
        <f t="shared" si="2"/>
        <v>-12402.254696712884</v>
      </c>
      <c r="K15" s="221">
        <f t="shared" si="2"/>
        <v>-12557.282880421793</v>
      </c>
      <c r="L15" s="221">
        <f t="shared" si="2"/>
        <v>-12714.248916427066</v>
      </c>
      <c r="M15" s="221">
        <f t="shared" si="2"/>
        <v>-12873.177027882404</v>
      </c>
      <c r="N15" s="221">
        <f t="shared" si="2"/>
        <v>-13034.091740730933</v>
      </c>
      <c r="O15" s="221">
        <f t="shared" si="2"/>
        <v>-13197.017887490072</v>
      </c>
      <c r="P15" s="221">
        <f t="shared" si="2"/>
        <v>-13361.980611083698</v>
      </c>
      <c r="Q15" s="221">
        <f t="shared" si="2"/>
        <v>-13529.005368722243</v>
      </c>
      <c r="R15" s="221">
        <f t="shared" si="2"/>
        <v>-13698.117935831273</v>
      </c>
    </row>
    <row r="16" spans="1:18" x14ac:dyDescent="0.2">
      <c r="A16" s="171" t="s">
        <v>4</v>
      </c>
      <c r="B16" s="205">
        <f>SUM(B11:B15)</f>
        <v>199000</v>
      </c>
      <c r="C16" s="205">
        <f t="shared" ref="C16:R16" si="3">SUM(C11:C15)</f>
        <v>-13919.344410029162</v>
      </c>
      <c r="D16" s="205">
        <f t="shared" si="3"/>
        <v>-13919.344410029162</v>
      </c>
      <c r="E16" s="205">
        <f t="shared" si="3"/>
        <v>-13919.344410029162</v>
      </c>
      <c r="F16" s="205">
        <f t="shared" si="3"/>
        <v>-13919.344410029162</v>
      </c>
      <c r="G16" s="205">
        <f t="shared" si="3"/>
        <v>-13919.344410029162</v>
      </c>
      <c r="H16" s="205">
        <f t="shared" si="3"/>
        <v>-13919.344410029164</v>
      </c>
      <c r="I16" s="205">
        <f t="shared" si="3"/>
        <v>-13919.344410029164</v>
      </c>
      <c r="J16" s="205">
        <f t="shared" si="3"/>
        <v>-13919.344410029164</v>
      </c>
      <c r="K16" s="205">
        <f t="shared" si="3"/>
        <v>-13919.344410029162</v>
      </c>
      <c r="L16" s="205">
        <f t="shared" si="3"/>
        <v>-13919.344410029162</v>
      </c>
      <c r="M16" s="205">
        <f t="shared" si="3"/>
        <v>-13919.344410029162</v>
      </c>
      <c r="N16" s="205">
        <f t="shared" si="3"/>
        <v>-13919.344410029162</v>
      </c>
      <c r="O16" s="205">
        <f t="shared" si="3"/>
        <v>-13919.344410029164</v>
      </c>
      <c r="P16" s="205">
        <f t="shared" si="3"/>
        <v>-13919.344410029164</v>
      </c>
      <c r="Q16" s="205">
        <f t="shared" si="3"/>
        <v>-13919.344410029162</v>
      </c>
      <c r="R16" s="205">
        <f t="shared" si="3"/>
        <v>-13919.344410029164</v>
      </c>
    </row>
    <row r="18" spans="1:2" x14ac:dyDescent="0.2">
      <c r="A18" s="162" t="s">
        <v>112</v>
      </c>
      <c r="B18" s="40">
        <f>IRR(B16:R16)</f>
        <v>1.3560575776368378E-2</v>
      </c>
    </row>
    <row r="19" spans="1:2" x14ac:dyDescent="0.2">
      <c r="A19" s="163" t="s">
        <v>5</v>
      </c>
      <c r="B19" s="164">
        <f>(1+B18)^4-1</f>
        <v>5.5355646787595747E-2</v>
      </c>
    </row>
    <row r="20" spans="1:2" x14ac:dyDescent="0.2">
      <c r="A20" s="178"/>
      <c r="B20" s="219"/>
    </row>
    <row r="21" spans="1:2" x14ac:dyDescent="0.2">
      <c r="A21" s="222" t="s">
        <v>137</v>
      </c>
      <c r="B21" s="223">
        <f>RATE(B4,C16,B16)</f>
        <v>1.3560575776400375E-2</v>
      </c>
    </row>
    <row r="22" spans="1:2" x14ac:dyDescent="0.2">
      <c r="A22" s="178"/>
      <c r="B22" s="219"/>
    </row>
    <row r="23" spans="1:2" x14ac:dyDescent="0.2">
      <c r="A23" s="178"/>
      <c r="B23" s="219"/>
    </row>
    <row r="25" spans="1:2" x14ac:dyDescent="0.2">
      <c r="A25" s="162" t="s">
        <v>113</v>
      </c>
      <c r="B25" s="166">
        <f>B8</f>
        <v>13869.344410029162</v>
      </c>
    </row>
    <row r="26" spans="1:2" x14ac:dyDescent="0.2">
      <c r="A26" s="165" t="s">
        <v>114</v>
      </c>
      <c r="B26" s="11">
        <v>13</v>
      </c>
    </row>
    <row r="27" spans="1:2" x14ac:dyDescent="0.2">
      <c r="A27" s="163" t="s">
        <v>115</v>
      </c>
      <c r="B27" s="39">
        <v>0.01</v>
      </c>
    </row>
    <row r="29" spans="1:2" x14ac:dyDescent="0.2">
      <c r="A29" s="162" t="s">
        <v>116</v>
      </c>
      <c r="B29" s="5">
        <f>-PV(B27,B26,B25)</f>
        <v>168287.02005084004</v>
      </c>
    </row>
    <row r="30" spans="1:2" x14ac:dyDescent="0.2">
      <c r="A30" s="163" t="s">
        <v>104</v>
      </c>
      <c r="B30" s="7">
        <f>B1+C15+D15+E15</f>
        <v>165463.83989447236</v>
      </c>
    </row>
    <row r="31" spans="1:2" x14ac:dyDescent="0.2">
      <c r="A31" s="167" t="s">
        <v>117</v>
      </c>
      <c r="B31" s="168">
        <f>B29-B30</f>
        <v>2823.1801563676854</v>
      </c>
    </row>
    <row r="33" spans="1:2" x14ac:dyDescent="0.2">
      <c r="A33" s="169" t="s">
        <v>118</v>
      </c>
      <c r="B33" s="170">
        <f>-O15-P15-Q15-R15</f>
        <v>53786.12180312728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opLeftCell="A34" workbookViewId="0">
      <selection activeCell="O46" sqref="O46"/>
    </sheetView>
  </sheetViews>
  <sheetFormatPr baseColWidth="10" defaultColWidth="11.42578125" defaultRowHeight="12.75" x14ac:dyDescent="0.2"/>
  <cols>
    <col min="1" max="1" width="18.5703125" bestFit="1" customWidth="1"/>
    <col min="2" max="2" width="11.5703125" customWidth="1"/>
    <col min="3" max="3" width="11.85546875" bestFit="1" customWidth="1"/>
    <col min="4" max="4" width="10.85546875" bestFit="1" customWidth="1"/>
    <col min="5" max="14" width="8.28515625" customWidth="1"/>
  </cols>
  <sheetData>
    <row r="1" spans="1:4" x14ac:dyDescent="0.2">
      <c r="A1" s="157" t="s">
        <v>16</v>
      </c>
      <c r="B1" s="174">
        <v>50000</v>
      </c>
    </row>
    <row r="2" spans="1:4" x14ac:dyDescent="0.2">
      <c r="A2" s="158" t="s">
        <v>119</v>
      </c>
      <c r="B2" s="175">
        <v>0.09</v>
      </c>
    </row>
    <row r="3" spans="1:4" x14ac:dyDescent="0.2">
      <c r="A3" s="158" t="s">
        <v>120</v>
      </c>
      <c r="B3" s="175">
        <v>0.06</v>
      </c>
    </row>
    <row r="4" spans="1:4" x14ac:dyDescent="0.2">
      <c r="A4" s="159" t="s">
        <v>121</v>
      </c>
      <c r="B4" s="176">
        <v>2</v>
      </c>
    </row>
    <row r="5" spans="1:4" x14ac:dyDescent="0.2">
      <c r="A5" s="185"/>
    </row>
    <row r="6" spans="1:4" x14ac:dyDescent="0.2">
      <c r="A6" s="181" t="s">
        <v>53</v>
      </c>
      <c r="B6" s="182">
        <v>0</v>
      </c>
      <c r="C6" s="182">
        <v>1</v>
      </c>
      <c r="D6" s="182">
        <v>2</v>
      </c>
    </row>
    <row r="7" spans="1:4" x14ac:dyDescent="0.2">
      <c r="A7" s="153" t="s">
        <v>16</v>
      </c>
      <c r="B7" s="12">
        <f>B1</f>
        <v>50000</v>
      </c>
      <c r="C7" s="11"/>
      <c r="D7" s="11"/>
    </row>
    <row r="8" spans="1:4" x14ac:dyDescent="0.2">
      <c r="A8" s="153" t="s">
        <v>111</v>
      </c>
      <c r="B8" s="11"/>
      <c r="C8" s="17">
        <f>IPMT($B$2,C6,$D$6,$B$1)</f>
        <v>-4500</v>
      </c>
      <c r="D8" s="17">
        <f>IPMT($B$2,D6,$D$6,$B$1)</f>
        <v>-2346.8899521531098</v>
      </c>
    </row>
    <row r="9" spans="1:4" x14ac:dyDescent="0.2">
      <c r="A9" s="178" t="s">
        <v>9</v>
      </c>
      <c r="B9" s="11"/>
      <c r="C9" s="17">
        <f>PPMT($B$2,C6,$D$6,$B$1)</f>
        <v>-23923.444976076549</v>
      </c>
      <c r="D9" s="17">
        <f>PPMT($B$2,D6,$D$6,$B$1)</f>
        <v>-26076.55502392344</v>
      </c>
    </row>
    <row r="10" spans="1:4" x14ac:dyDescent="0.2">
      <c r="A10" s="155" t="s">
        <v>61</v>
      </c>
      <c r="B10" s="6"/>
      <c r="C10" s="184">
        <v>-100</v>
      </c>
      <c r="D10" s="184">
        <v>-100</v>
      </c>
    </row>
    <row r="11" spans="1:4" x14ac:dyDescent="0.2">
      <c r="A11" s="177" t="s">
        <v>4</v>
      </c>
      <c r="B11" s="183">
        <f>SUM(B7:B9)</f>
        <v>50000</v>
      </c>
      <c r="C11" s="186">
        <f>SUM(C7:C10)</f>
        <v>-28523.444976076549</v>
      </c>
      <c r="D11" s="186">
        <f>SUM(D7:D10)</f>
        <v>-28523.444976076549</v>
      </c>
    </row>
    <row r="13" spans="1:4" x14ac:dyDescent="0.2">
      <c r="A13" s="187" t="s">
        <v>29</v>
      </c>
      <c r="B13" s="188">
        <f>IRR(B11:D11)</f>
        <v>9.2592852734324493E-2</v>
      </c>
    </row>
    <row r="16" spans="1:4" x14ac:dyDescent="0.2">
      <c r="A16" s="181" t="s">
        <v>53</v>
      </c>
      <c r="B16" s="182">
        <v>0</v>
      </c>
      <c r="C16" s="182">
        <v>1</v>
      </c>
      <c r="D16" s="182">
        <v>2</v>
      </c>
    </row>
    <row r="17" spans="1:4" x14ac:dyDescent="0.2">
      <c r="A17" s="153" t="s">
        <v>16</v>
      </c>
      <c r="B17" s="12">
        <f>B11</f>
        <v>50000</v>
      </c>
      <c r="C17" s="11"/>
      <c r="D17" s="11"/>
    </row>
    <row r="18" spans="1:4" x14ac:dyDescent="0.2">
      <c r="A18" s="153" t="s">
        <v>111</v>
      </c>
      <c r="B18" s="11"/>
      <c r="C18" s="17">
        <f>IPMT($B$3,C16,D16,$B$1)</f>
        <v>-3000</v>
      </c>
      <c r="D18" s="17">
        <f>IPMT($B$3,D16,$D$16,$B$1)</f>
        <v>-1543.6893203883494</v>
      </c>
    </row>
    <row r="19" spans="1:4" x14ac:dyDescent="0.2">
      <c r="A19" s="178" t="s">
        <v>9</v>
      </c>
      <c r="B19" s="11"/>
      <c r="C19" s="17">
        <f>PPMT($B$3,C16,$D$6,$B$1)</f>
        <v>-24271.844660194176</v>
      </c>
      <c r="D19" s="17">
        <f>PPMT($B$3,D16,$D$6,$B$1)</f>
        <v>-25728.155339805828</v>
      </c>
    </row>
    <row r="20" spans="1:4" x14ac:dyDescent="0.2">
      <c r="A20" s="173" t="s">
        <v>122</v>
      </c>
      <c r="B20" s="12">
        <v>-1500</v>
      </c>
      <c r="C20" s="17"/>
      <c r="D20" s="17"/>
    </row>
    <row r="21" spans="1:4" x14ac:dyDescent="0.2">
      <c r="A21" s="155" t="s">
        <v>123</v>
      </c>
      <c r="B21" s="7">
        <v>-1000</v>
      </c>
      <c r="C21" s="184">
        <v>-100</v>
      </c>
      <c r="D21" s="184">
        <v>-100</v>
      </c>
    </row>
    <row r="22" spans="1:4" x14ac:dyDescent="0.2">
      <c r="A22" s="177" t="s">
        <v>4</v>
      </c>
      <c r="B22" s="183">
        <f>SUM(B17:B21)</f>
        <v>47500</v>
      </c>
      <c r="C22" s="186">
        <f>SUM(C17:C21)</f>
        <v>-27371.844660194176</v>
      </c>
      <c r="D22" s="186">
        <f>SUM(D17:D21)</f>
        <v>-27371.844660194176</v>
      </c>
    </row>
    <row r="24" spans="1:4" x14ac:dyDescent="0.2">
      <c r="A24" s="179" t="s">
        <v>29</v>
      </c>
      <c r="B24" s="180">
        <f>IRR(B22:D22)</f>
        <v>0.10007615261792391</v>
      </c>
    </row>
    <row r="26" spans="1:4" x14ac:dyDescent="0.2">
      <c r="A26" s="189" t="s">
        <v>124</v>
      </c>
      <c r="B26" s="192">
        <v>45</v>
      </c>
    </row>
    <row r="27" spans="1:4" x14ac:dyDescent="0.2">
      <c r="A27" s="190" t="s">
        <v>125</v>
      </c>
      <c r="B27" s="193">
        <v>15</v>
      </c>
    </row>
    <row r="28" spans="1:4" x14ac:dyDescent="0.2">
      <c r="A28" s="189" t="s">
        <v>126</v>
      </c>
      <c r="B28" s="192">
        <f>B26-B27</f>
        <v>30</v>
      </c>
    </row>
    <row r="30" spans="1:4" x14ac:dyDescent="0.2">
      <c r="A30" s="189" t="s">
        <v>127</v>
      </c>
      <c r="B30" s="172">
        <v>0.02</v>
      </c>
    </row>
    <row r="32" spans="1:4" x14ac:dyDescent="0.2">
      <c r="A32" s="194" t="s">
        <v>128</v>
      </c>
      <c r="B32" s="195">
        <v>100</v>
      </c>
    </row>
    <row r="33" spans="1:8" x14ac:dyDescent="0.2">
      <c r="A33" s="154" t="s">
        <v>127</v>
      </c>
      <c r="B33" s="196">
        <f>-B32*B30</f>
        <v>-2</v>
      </c>
    </row>
    <row r="34" spans="1:8" x14ac:dyDescent="0.2">
      <c r="A34" s="194" t="s">
        <v>130</v>
      </c>
      <c r="B34" s="197">
        <f>B32+B33</f>
        <v>98</v>
      </c>
    </row>
    <row r="36" spans="1:8" x14ac:dyDescent="0.2">
      <c r="A36" s="194" t="s">
        <v>129</v>
      </c>
      <c r="B36" s="198">
        <f>B32/B34-1</f>
        <v>2.0408163265306145E-2</v>
      </c>
    </row>
    <row r="37" spans="1:8" x14ac:dyDescent="0.2">
      <c r="A37" s="194" t="s">
        <v>131</v>
      </c>
      <c r="B37" s="191">
        <v>12</v>
      </c>
    </row>
    <row r="38" spans="1:8" x14ac:dyDescent="0.2">
      <c r="A38" s="194" t="s">
        <v>5</v>
      </c>
      <c r="B38" s="199">
        <f>(1+B36)^B37-1</f>
        <v>0.27434521242337762</v>
      </c>
    </row>
    <row r="39" spans="1:8" x14ac:dyDescent="0.2">
      <c r="A39" s="173"/>
      <c r="B39" s="200"/>
    </row>
    <row r="40" spans="1:8" x14ac:dyDescent="0.2">
      <c r="A40" s="194" t="s">
        <v>132</v>
      </c>
      <c r="B40" s="201">
        <v>45</v>
      </c>
    </row>
    <row r="41" spans="1:8" x14ac:dyDescent="0.2">
      <c r="A41" s="194" t="s">
        <v>133</v>
      </c>
      <c r="B41" s="201">
        <v>101.5</v>
      </c>
    </row>
    <row r="42" spans="1:8" x14ac:dyDescent="0.2">
      <c r="A42" s="194" t="s">
        <v>134</v>
      </c>
      <c r="B42" s="202">
        <f>B41/B34-1</f>
        <v>3.5714285714285809E-2</v>
      </c>
    </row>
    <row r="43" spans="1:8" x14ac:dyDescent="0.2">
      <c r="A43" s="194" t="s">
        <v>135</v>
      </c>
      <c r="B43" s="202">
        <f>360/B40</f>
        <v>8</v>
      </c>
    </row>
    <row r="44" spans="1:8" x14ac:dyDescent="0.2">
      <c r="A44" s="194" t="s">
        <v>5</v>
      </c>
      <c r="B44" s="203">
        <f>(1+B42)^B43-1</f>
        <v>0.32409678922900675</v>
      </c>
    </row>
    <row r="47" spans="1:8" x14ac:dyDescent="0.2">
      <c r="A47" s="22" t="s">
        <v>15</v>
      </c>
      <c r="B47" s="21">
        <v>0</v>
      </c>
      <c r="C47" s="21">
        <v>1</v>
      </c>
      <c r="D47" s="21">
        <v>2</v>
      </c>
      <c r="E47" s="21">
        <v>3</v>
      </c>
      <c r="F47" s="21">
        <v>4</v>
      </c>
      <c r="G47" s="21">
        <v>5</v>
      </c>
      <c r="H47" s="21">
        <v>6</v>
      </c>
    </row>
    <row r="48" spans="1:8" x14ac:dyDescent="0.2">
      <c r="A48" s="18" t="s">
        <v>16</v>
      </c>
      <c r="B48" s="12">
        <v>300000</v>
      </c>
      <c r="C48" s="11"/>
      <c r="D48" s="11"/>
      <c r="E48" s="11"/>
      <c r="F48" s="11"/>
      <c r="G48" s="11"/>
      <c r="H48" s="11"/>
    </row>
    <row r="49" spans="1:14" x14ac:dyDescent="0.2">
      <c r="A49" s="18" t="s">
        <v>9</v>
      </c>
      <c r="B49" s="11"/>
      <c r="C49" s="13">
        <f t="shared" ref="C49:H49" si="0">-$B$48/6</f>
        <v>-50000</v>
      </c>
      <c r="D49" s="13">
        <f t="shared" si="0"/>
        <v>-50000</v>
      </c>
      <c r="E49" s="13">
        <f t="shared" si="0"/>
        <v>-50000</v>
      </c>
      <c r="F49" s="13">
        <f t="shared" si="0"/>
        <v>-50000</v>
      </c>
      <c r="G49" s="13">
        <f t="shared" si="0"/>
        <v>-50000</v>
      </c>
      <c r="H49" s="13">
        <f t="shared" si="0"/>
        <v>-50000</v>
      </c>
    </row>
    <row r="50" spans="1:14" x14ac:dyDescent="0.2">
      <c r="A50" s="18" t="s">
        <v>8</v>
      </c>
      <c r="B50" s="11"/>
      <c r="C50" s="13">
        <f>-($B$48*$B$54)</f>
        <v>-27000</v>
      </c>
      <c r="D50" s="13">
        <f>-($B$48+C49)*$B$54</f>
        <v>-22500</v>
      </c>
      <c r="E50" s="13">
        <f>-($B$48+C49+D49)*$B$54</f>
        <v>-18000</v>
      </c>
      <c r="F50" s="13">
        <f>-($B$48+C49+D49+E49)*$B$54</f>
        <v>-13500</v>
      </c>
      <c r="G50" s="13">
        <f>-($B$48+C49+D49+E49+F49)*$B$54</f>
        <v>-9000</v>
      </c>
      <c r="H50" s="13">
        <f>-($B$48+C49+D49+E49+F49+G49)*$B$54</f>
        <v>-4500</v>
      </c>
    </row>
    <row r="51" spans="1:14" x14ac:dyDescent="0.2">
      <c r="A51" s="18" t="s">
        <v>3</v>
      </c>
      <c r="B51" s="7">
        <v>-10000</v>
      </c>
      <c r="C51" s="11"/>
      <c r="D51" s="11"/>
      <c r="E51" s="11"/>
      <c r="F51" s="11"/>
      <c r="G51" s="11"/>
      <c r="H51" s="11"/>
    </row>
    <row r="52" spans="1:14" x14ac:dyDescent="0.2">
      <c r="A52" s="71" t="s">
        <v>4</v>
      </c>
      <c r="B52" s="138">
        <f>SUM(B48:B51)</f>
        <v>290000</v>
      </c>
      <c r="C52" s="69">
        <f t="shared" ref="C52:H52" si="1">SUM(C48:C51)</f>
        <v>-77000</v>
      </c>
      <c r="D52" s="69">
        <f t="shared" si="1"/>
        <v>-72500</v>
      </c>
      <c r="E52" s="69">
        <f t="shared" si="1"/>
        <v>-68000</v>
      </c>
      <c r="F52" s="69">
        <f t="shared" si="1"/>
        <v>-63500</v>
      </c>
      <c r="G52" s="69">
        <f t="shared" si="1"/>
        <v>-59000</v>
      </c>
      <c r="H52" s="69">
        <f t="shared" si="1"/>
        <v>-54500</v>
      </c>
    </row>
    <row r="54" spans="1:14" x14ac:dyDescent="0.2">
      <c r="A54" s="32" t="s">
        <v>17</v>
      </c>
      <c r="B54" s="47">
        <v>0.09</v>
      </c>
    </row>
    <row r="55" spans="1:14" x14ac:dyDescent="0.2">
      <c r="A55" s="49" t="s">
        <v>18</v>
      </c>
      <c r="B55" s="51">
        <f>IRR(B52:H52)</f>
        <v>0.10222050476423439</v>
      </c>
    </row>
    <row r="56" spans="1:14" x14ac:dyDescent="0.2">
      <c r="A56" s="31" t="s">
        <v>5</v>
      </c>
      <c r="B56" s="59">
        <f>(1+B55)^2-1</f>
        <v>0.2148900411227237</v>
      </c>
    </row>
    <row r="58" spans="1:14" x14ac:dyDescent="0.2">
      <c r="A58" s="32" t="s">
        <v>5</v>
      </c>
      <c r="B58" s="47">
        <f>B56</f>
        <v>0.2148900411227237</v>
      </c>
    </row>
    <row r="59" spans="1:14" x14ac:dyDescent="0.2">
      <c r="A59" s="31" t="s">
        <v>19</v>
      </c>
      <c r="B59" s="139">
        <f>(1+B58)^0.25-1</f>
        <v>4.9866898594404852E-2</v>
      </c>
    </row>
    <row r="61" spans="1:14" x14ac:dyDescent="0.2">
      <c r="A61" s="20"/>
      <c r="B61" s="21">
        <v>0</v>
      </c>
      <c r="C61" s="21">
        <v>1</v>
      </c>
      <c r="D61" s="21">
        <v>2</v>
      </c>
      <c r="E61" s="21">
        <v>3</v>
      </c>
      <c r="F61" s="21">
        <v>4</v>
      </c>
      <c r="G61" s="21">
        <v>5</v>
      </c>
      <c r="H61" s="21">
        <v>6</v>
      </c>
      <c r="I61" s="21">
        <v>7</v>
      </c>
      <c r="J61" s="21">
        <v>8</v>
      </c>
      <c r="K61" s="21">
        <v>9</v>
      </c>
      <c r="L61" s="21">
        <v>10</v>
      </c>
      <c r="M61" s="21">
        <v>11</v>
      </c>
      <c r="N61" s="21">
        <v>11</v>
      </c>
    </row>
    <row r="62" spans="1:14" x14ac:dyDescent="0.2">
      <c r="A62" s="11" t="s">
        <v>16</v>
      </c>
      <c r="B62" s="12">
        <v>300000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N62" s="12">
        <v>-50000</v>
      </c>
    </row>
    <row r="63" spans="1:14" x14ac:dyDescent="0.2">
      <c r="A63" s="11" t="s">
        <v>20</v>
      </c>
      <c r="B63" s="12">
        <v>-29221</v>
      </c>
      <c r="C63" s="12">
        <f>$B$63</f>
        <v>-29221</v>
      </c>
      <c r="D63" s="12">
        <f t="shared" ref="D63:M63" si="2">$B$63</f>
        <v>-29221</v>
      </c>
      <c r="E63" s="12">
        <f t="shared" si="2"/>
        <v>-29221</v>
      </c>
      <c r="F63" s="12">
        <f t="shared" si="2"/>
        <v>-29221</v>
      </c>
      <c r="G63" s="12">
        <f t="shared" si="2"/>
        <v>-29221</v>
      </c>
      <c r="H63" s="12">
        <f t="shared" si="2"/>
        <v>-29221</v>
      </c>
      <c r="I63" s="12">
        <f t="shared" si="2"/>
        <v>-29221</v>
      </c>
      <c r="J63" s="12">
        <f t="shared" si="2"/>
        <v>-29221</v>
      </c>
      <c r="K63" s="12">
        <f t="shared" si="2"/>
        <v>-29221</v>
      </c>
      <c r="L63" s="12">
        <f t="shared" si="2"/>
        <v>-29221</v>
      </c>
      <c r="M63" s="12">
        <f t="shared" si="2"/>
        <v>-29221</v>
      </c>
      <c r="N63" s="11"/>
    </row>
    <row r="64" spans="1:14" x14ac:dyDescent="0.2">
      <c r="A64" s="204" t="s">
        <v>4</v>
      </c>
      <c r="B64" s="205">
        <f>SUM(B62:B63)</f>
        <v>270779</v>
      </c>
      <c r="C64" s="205">
        <f t="shared" ref="C64:M64" si="3">SUM(C62:C63)</f>
        <v>-29221</v>
      </c>
      <c r="D64" s="205">
        <f t="shared" si="3"/>
        <v>-29221</v>
      </c>
      <c r="E64" s="205">
        <f t="shared" si="3"/>
        <v>-29221</v>
      </c>
      <c r="F64" s="205">
        <f t="shared" si="3"/>
        <v>-29221</v>
      </c>
      <c r="G64" s="205">
        <f t="shared" si="3"/>
        <v>-29221</v>
      </c>
      <c r="H64" s="205">
        <f t="shared" si="3"/>
        <v>-29221</v>
      </c>
      <c r="I64" s="205">
        <f t="shared" si="3"/>
        <v>-29221</v>
      </c>
      <c r="J64" s="205">
        <f t="shared" si="3"/>
        <v>-29221</v>
      </c>
      <c r="K64" s="205">
        <f t="shared" si="3"/>
        <v>-29221</v>
      </c>
      <c r="L64" s="205">
        <f t="shared" si="3"/>
        <v>-29221</v>
      </c>
      <c r="M64" s="205">
        <f t="shared" si="3"/>
        <v>-29221</v>
      </c>
      <c r="N64" s="205">
        <f>SUM(N62:N63)</f>
        <v>-50000</v>
      </c>
    </row>
    <row r="66" spans="1:2" x14ac:dyDescent="0.2">
      <c r="A66" s="37" t="s">
        <v>19</v>
      </c>
      <c r="B66" s="140">
        <f>IRR(B64:N64)</f>
        <v>4.9864858481231789E-2</v>
      </c>
    </row>
  </sheetData>
  <pageMargins left="0.75" right="0.75" top="1" bottom="1" header="0.5" footer="0.5"/>
  <pageSetup paperSize="9" orientation="portrait" r:id="rId1"/>
  <headerFooter alignWithMargins="0"/>
  <ignoredErrors>
    <ignoredError sqref="C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C20" sqref="C20"/>
    </sheetView>
  </sheetViews>
  <sheetFormatPr baseColWidth="10" defaultColWidth="11.42578125" defaultRowHeight="12.75" x14ac:dyDescent="0.2"/>
  <sheetData>
    <row r="1" spans="1:8" x14ac:dyDescent="0.2">
      <c r="A1" s="23" t="s">
        <v>15</v>
      </c>
      <c r="B1" s="21">
        <v>0</v>
      </c>
      <c r="C1" s="21">
        <v>1</v>
      </c>
      <c r="D1" s="21">
        <v>2</v>
      </c>
      <c r="E1" s="21">
        <v>3</v>
      </c>
      <c r="F1" s="21">
        <v>4</v>
      </c>
      <c r="G1" s="24" t="s">
        <v>21</v>
      </c>
      <c r="H1" s="24" t="s">
        <v>22</v>
      </c>
    </row>
    <row r="2" spans="1:8" x14ac:dyDescent="0.2">
      <c r="A2" s="10" t="s">
        <v>1</v>
      </c>
      <c r="B2" s="5">
        <f>10000-670</f>
        <v>9330</v>
      </c>
      <c r="C2" s="8">
        <v>-2600</v>
      </c>
      <c r="D2" s="8">
        <v>-2600</v>
      </c>
      <c r="E2" s="8">
        <v>-2600</v>
      </c>
      <c r="F2" s="8">
        <v>-2600</v>
      </c>
      <c r="G2" s="26">
        <f>IRR(B2:F2)</f>
        <v>4.4888531791727582E-2</v>
      </c>
      <c r="H2" s="28">
        <f>(1+G2)^4-1</f>
        <v>0.19200986705755252</v>
      </c>
    </row>
    <row r="3" spans="1:8" x14ac:dyDescent="0.2">
      <c r="A3" s="6" t="s">
        <v>23</v>
      </c>
      <c r="B3" s="25">
        <f>10000-2200</f>
        <v>7800</v>
      </c>
      <c r="C3" s="7">
        <v>-2200</v>
      </c>
      <c r="D3" s="7">
        <v>-2200</v>
      </c>
      <c r="E3" s="7">
        <v>-2200</v>
      </c>
      <c r="F3" s="7">
        <v>-2200</v>
      </c>
      <c r="G3" s="27">
        <f>IRR(B3:F3)</f>
        <v>5.0060218514560439E-2</v>
      </c>
      <c r="H3" s="29">
        <f>(1+G3)^4-1</f>
        <v>0.21578511582036208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G7" sqref="G7"/>
    </sheetView>
  </sheetViews>
  <sheetFormatPr baseColWidth="10" defaultColWidth="9.140625" defaultRowHeight="12.75" x14ac:dyDescent="0.2"/>
  <cols>
    <col min="1" max="1" width="21.42578125" bestFit="1" customWidth="1"/>
  </cols>
  <sheetData>
    <row r="1" spans="1:4" x14ac:dyDescent="0.2">
      <c r="A1" s="145" t="s">
        <v>16</v>
      </c>
      <c r="B1" s="212">
        <v>500000</v>
      </c>
    </row>
    <row r="2" spans="1:4" x14ac:dyDescent="0.2">
      <c r="A2" s="146" t="s">
        <v>2</v>
      </c>
      <c r="B2" s="213">
        <v>4.3499999999999997E-2</v>
      </c>
    </row>
    <row r="3" spans="1:4" x14ac:dyDescent="0.2">
      <c r="A3" s="146" t="s">
        <v>26</v>
      </c>
      <c r="B3" s="214">
        <f>B2/12</f>
        <v>3.6249999999999998E-3</v>
      </c>
    </row>
    <row r="4" spans="1:4" x14ac:dyDescent="0.2">
      <c r="A4" s="146" t="s">
        <v>100</v>
      </c>
      <c r="B4" s="215">
        <v>24</v>
      </c>
    </row>
    <row r="5" spans="1:4" x14ac:dyDescent="0.2">
      <c r="A5" s="146" t="s">
        <v>61</v>
      </c>
      <c r="B5" s="215">
        <v>35</v>
      </c>
    </row>
    <row r="6" spans="1:4" x14ac:dyDescent="0.2">
      <c r="A6" s="146" t="s">
        <v>101</v>
      </c>
      <c r="B6" s="218">
        <v>1300</v>
      </c>
    </row>
    <row r="7" spans="1:4" x14ac:dyDescent="0.2">
      <c r="A7" s="217" t="s">
        <v>136</v>
      </c>
      <c r="B7" s="216">
        <f>B1-B6</f>
        <v>498700</v>
      </c>
    </row>
    <row r="9" spans="1:4" x14ac:dyDescent="0.2">
      <c r="A9" s="10" t="s">
        <v>102</v>
      </c>
      <c r="B9" s="151">
        <f>PMT(B3,B4,-B1)</f>
        <v>21790.436194271555</v>
      </c>
    </row>
    <row r="10" spans="1:4" x14ac:dyDescent="0.2">
      <c r="A10" s="6" t="str">
        <f>A5</f>
        <v>Termingebyr</v>
      </c>
      <c r="B10" s="6">
        <f>B5</f>
        <v>35</v>
      </c>
    </row>
    <row r="11" spans="1:4" x14ac:dyDescent="0.2">
      <c r="A11" s="37" t="s">
        <v>103</v>
      </c>
      <c r="B11" s="152">
        <f>B9+B10</f>
        <v>21825.436194271555</v>
      </c>
    </row>
    <row r="13" spans="1:4" x14ac:dyDescent="0.2">
      <c r="A13" s="37" t="s">
        <v>15</v>
      </c>
      <c r="B13" s="142">
        <v>1</v>
      </c>
      <c r="C13" s="142">
        <v>2</v>
      </c>
      <c r="D13" s="142">
        <v>3</v>
      </c>
    </row>
    <row r="14" spans="1:4" x14ac:dyDescent="0.2">
      <c r="A14" s="143" t="s">
        <v>8</v>
      </c>
      <c r="B14" s="144">
        <f>B1*B3</f>
        <v>1812.4999999999998</v>
      </c>
      <c r="C14" s="144">
        <f>(B1-B15)*B3</f>
        <v>1740.0799812957655</v>
      </c>
      <c r="D14" s="144">
        <f>(B1-B15-C15)*B3</f>
        <v>1667.3974400237282</v>
      </c>
    </row>
    <row r="15" spans="1:4" x14ac:dyDescent="0.2">
      <c r="A15" s="52" t="s">
        <v>9</v>
      </c>
      <c r="B15" s="53">
        <f>B9-B14</f>
        <v>19977.936194271555</v>
      </c>
      <c r="C15" s="53">
        <f>B9-C14</f>
        <v>20050.356212975788</v>
      </c>
      <c r="D15" s="53">
        <f>B9-D14</f>
        <v>20123.038754247827</v>
      </c>
    </row>
    <row r="16" spans="1:4" x14ac:dyDescent="0.2">
      <c r="A16" s="143" t="s">
        <v>30</v>
      </c>
      <c r="B16" s="144">
        <f>SUM(B14:B15)</f>
        <v>21790.436194271555</v>
      </c>
      <c r="C16" s="144">
        <f>SUM(C14:C15)</f>
        <v>21790.436194271555</v>
      </c>
      <c r="D16" s="144">
        <f>SUM(D14:D15)</f>
        <v>21790.436194271555</v>
      </c>
    </row>
    <row r="17" spans="1:4" x14ac:dyDescent="0.2">
      <c r="A17" s="143"/>
      <c r="B17" s="144"/>
      <c r="C17" s="144"/>
      <c r="D17" s="144"/>
    </row>
    <row r="18" spans="1:4" x14ac:dyDescent="0.2">
      <c r="A18" s="52" t="s">
        <v>104</v>
      </c>
      <c r="B18" s="53">
        <f>B1-B15</f>
        <v>480022.06380572845</v>
      </c>
      <c r="C18" s="53">
        <f>B18-C15</f>
        <v>459971.70759275265</v>
      </c>
      <c r="D18" s="53">
        <f>C18-D15</f>
        <v>439848.66883850482</v>
      </c>
    </row>
    <row r="19" spans="1:4" x14ac:dyDescent="0.2">
      <c r="B19" s="1"/>
      <c r="C19" s="1"/>
      <c r="D19" s="1"/>
    </row>
    <row r="20" spans="1:4" x14ac:dyDescent="0.2">
      <c r="A20" s="206" t="s">
        <v>105</v>
      </c>
      <c r="B20" s="208">
        <f>B2/12</f>
        <v>3.6249999999999998E-3</v>
      </c>
      <c r="C20" s="1"/>
      <c r="D20" s="1"/>
    </row>
    <row r="21" spans="1:4" x14ac:dyDescent="0.2">
      <c r="A21" s="207" t="s">
        <v>106</v>
      </c>
      <c r="B21" s="209">
        <f>(1+B20)^12-1</f>
        <v>4.4377846870925275E-2</v>
      </c>
      <c r="C21" s="1"/>
      <c r="D21" s="1"/>
    </row>
    <row r="22" spans="1:4" x14ac:dyDescent="0.2">
      <c r="A22" s="49" t="s">
        <v>33</v>
      </c>
      <c r="B22" s="210">
        <f>RATE(B4,-B11,B7)</f>
        <v>3.9679230909312061E-3</v>
      </c>
      <c r="C22" s="1"/>
      <c r="D22" s="1"/>
    </row>
    <row r="23" spans="1:4" x14ac:dyDescent="0.2">
      <c r="A23" s="31" t="s">
        <v>5</v>
      </c>
      <c r="B23" s="211">
        <f>(1+B22)^12-1</f>
        <v>4.8668075855864412E-2</v>
      </c>
      <c r="C23" s="1"/>
      <c r="D23" s="1"/>
    </row>
    <row r="24" spans="1:4" x14ac:dyDescent="0.2">
      <c r="B24" s="141"/>
      <c r="C24" s="1"/>
      <c r="D24" s="1"/>
    </row>
  </sheetData>
  <pageMargins left="0.7" right="0.7" top="0.75" bottom="0.75" header="0.3" footer="0.3"/>
  <pageSetup paperSize="9" orientation="portrait" r:id="rId1"/>
  <ignoredErrors>
    <ignoredError sqref="B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9" sqref="A9"/>
    </sheetView>
  </sheetViews>
  <sheetFormatPr baseColWidth="10" defaultColWidth="11.42578125" defaultRowHeight="12.75" x14ac:dyDescent="0.2"/>
  <cols>
    <col min="1" max="1" width="19.42578125" bestFit="1" customWidth="1"/>
    <col min="2" max="2" width="12.85546875" bestFit="1" customWidth="1"/>
  </cols>
  <sheetData>
    <row r="1" spans="1:7" x14ac:dyDescent="0.2">
      <c r="A1" s="19" t="s">
        <v>65</v>
      </c>
    </row>
    <row r="2" spans="1:7" x14ac:dyDescent="0.2">
      <c r="A2" s="20" t="s">
        <v>15</v>
      </c>
      <c r="B2" s="21">
        <v>0</v>
      </c>
      <c r="C2" s="21">
        <v>1</v>
      </c>
      <c r="D2" s="21">
        <v>2</v>
      </c>
      <c r="E2" s="21">
        <v>3</v>
      </c>
      <c r="F2" s="21">
        <v>4</v>
      </c>
      <c r="G2" s="21">
        <v>5</v>
      </c>
    </row>
    <row r="3" spans="1:7" x14ac:dyDescent="0.2">
      <c r="A3" t="s">
        <v>24</v>
      </c>
      <c r="B3" s="12">
        <v>-1980</v>
      </c>
      <c r="C3" s="11"/>
      <c r="D3" s="11"/>
      <c r="E3" s="11"/>
      <c r="F3" s="11"/>
      <c r="G3" s="11"/>
    </row>
    <row r="4" spans="1:7" x14ac:dyDescent="0.2">
      <c r="A4" t="s">
        <v>25</v>
      </c>
      <c r="B4" s="11">
        <v>-330</v>
      </c>
      <c r="C4" s="11">
        <v>-330</v>
      </c>
      <c r="D4" s="11">
        <v>-330</v>
      </c>
      <c r="E4" s="11">
        <v>-330</v>
      </c>
      <c r="F4" s="11">
        <v>-330</v>
      </c>
      <c r="G4" s="11">
        <v>-330</v>
      </c>
    </row>
    <row r="5" spans="1:7" x14ac:dyDescent="0.2">
      <c r="A5" s="68" t="s">
        <v>4</v>
      </c>
      <c r="B5" s="69">
        <f t="shared" ref="B5:G5" si="0">B3-B4</f>
        <v>-1650</v>
      </c>
      <c r="C5" s="69">
        <f t="shared" si="0"/>
        <v>330</v>
      </c>
      <c r="D5" s="69">
        <f t="shared" si="0"/>
        <v>330</v>
      </c>
      <c r="E5" s="69">
        <f t="shared" si="0"/>
        <v>330</v>
      </c>
      <c r="F5" s="69">
        <f t="shared" si="0"/>
        <v>330</v>
      </c>
      <c r="G5" s="69">
        <f t="shared" si="0"/>
        <v>330</v>
      </c>
    </row>
    <row r="7" spans="1:7" x14ac:dyDescent="0.2">
      <c r="A7" s="37" t="s">
        <v>26</v>
      </c>
      <c r="B7" s="60">
        <f>IRR(B5:G5)</f>
        <v>1.9499957204516249E-12</v>
      </c>
    </row>
    <row r="9" spans="1:7" x14ac:dyDescent="0.2">
      <c r="A9" s="19" t="s">
        <v>66</v>
      </c>
    </row>
    <row r="10" spans="1:7" x14ac:dyDescent="0.2">
      <c r="A10" s="10" t="s">
        <v>19</v>
      </c>
      <c r="B10" s="40">
        <v>0.04</v>
      </c>
    </row>
    <row r="11" spans="1:7" x14ac:dyDescent="0.2">
      <c r="A11" s="11" t="s">
        <v>27</v>
      </c>
      <c r="B11" s="38">
        <v>5.0000000000000001E-3</v>
      </c>
    </row>
    <row r="12" spans="1:7" x14ac:dyDescent="0.2">
      <c r="A12" s="6" t="s">
        <v>28</v>
      </c>
      <c r="B12" s="39">
        <v>0.8</v>
      </c>
    </row>
    <row r="14" spans="1:7" x14ac:dyDescent="0.2">
      <c r="A14" s="37" t="s">
        <v>29</v>
      </c>
      <c r="B14" s="61">
        <f>(1+B10+(B11/B12))^4-1</f>
        <v>0.19823467715087939</v>
      </c>
    </row>
    <row r="16" spans="1:7" x14ac:dyDescent="0.2">
      <c r="A16" s="19" t="s">
        <v>67</v>
      </c>
    </row>
    <row r="17" spans="1:2" x14ac:dyDescent="0.2">
      <c r="A17" s="10" t="s">
        <v>6</v>
      </c>
      <c r="B17" s="8">
        <f>B19-B18</f>
        <v>346800</v>
      </c>
    </row>
    <row r="18" spans="1:2" x14ac:dyDescent="0.2">
      <c r="A18" s="6" t="s">
        <v>3</v>
      </c>
      <c r="B18" s="7">
        <v>-2950</v>
      </c>
    </row>
    <row r="19" spans="1:2" x14ac:dyDescent="0.2">
      <c r="A19" s="31" t="s">
        <v>32</v>
      </c>
      <c r="B19" s="62">
        <f>343850</f>
        <v>343850</v>
      </c>
    </row>
    <row r="20" spans="1:2" x14ac:dyDescent="0.2">
      <c r="B20" s="1"/>
    </row>
    <row r="21" spans="1:2" x14ac:dyDescent="0.2">
      <c r="A21" s="32" t="s">
        <v>5</v>
      </c>
      <c r="B21" s="63">
        <v>6.9000000000000006E-2</v>
      </c>
    </row>
    <row r="22" spans="1:2" x14ac:dyDescent="0.2">
      <c r="A22" s="31" t="s">
        <v>34</v>
      </c>
      <c r="B22" s="64">
        <f>B21/12</f>
        <v>5.7500000000000008E-3</v>
      </c>
    </row>
    <row r="23" spans="1:2" x14ac:dyDescent="0.2">
      <c r="B23" s="30"/>
    </row>
    <row r="24" spans="1:2" x14ac:dyDescent="0.2">
      <c r="A24" s="2" t="s">
        <v>30</v>
      </c>
      <c r="B24" s="5">
        <f>-PMT(B22,60,B17)</f>
        <v>6850.7053618189393</v>
      </c>
    </row>
    <row r="25" spans="1:2" x14ac:dyDescent="0.2">
      <c r="A25" s="3" t="s">
        <v>3</v>
      </c>
      <c r="B25" s="6">
        <v>65</v>
      </c>
    </row>
    <row r="26" spans="1:2" x14ac:dyDescent="0.2">
      <c r="A26" s="33" t="s">
        <v>31</v>
      </c>
      <c r="B26" s="65">
        <f>SUM(B24:B25)</f>
        <v>6915.7053618189393</v>
      </c>
    </row>
    <row r="28" spans="1:2" x14ac:dyDescent="0.2">
      <c r="A28" s="34" t="s">
        <v>33</v>
      </c>
      <c r="B28" s="63">
        <v>6.0805816690424255E-3</v>
      </c>
    </row>
    <row r="29" spans="1:2" x14ac:dyDescent="0.2">
      <c r="A29" s="36" t="s">
        <v>5</v>
      </c>
      <c r="B29" s="66">
        <f>(1+B28)^12-1</f>
        <v>7.5457373038636977E-2</v>
      </c>
    </row>
    <row r="30" spans="1:2" x14ac:dyDescent="0.2">
      <c r="A30" s="35" t="s">
        <v>35</v>
      </c>
      <c r="B30" s="67">
        <f>B17+PV(B28,60,B26)</f>
        <v>-1.0005896911025047E-7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I6" sqref="I6"/>
    </sheetView>
  </sheetViews>
  <sheetFormatPr baseColWidth="10" defaultColWidth="11.42578125" defaultRowHeight="12.75" x14ac:dyDescent="0.2"/>
  <cols>
    <col min="1" max="1" width="15" bestFit="1" customWidth="1"/>
  </cols>
  <sheetData>
    <row r="1" spans="1:8" x14ac:dyDescent="0.2">
      <c r="A1" s="19" t="s">
        <v>65</v>
      </c>
    </row>
    <row r="2" spans="1:8" x14ac:dyDescent="0.2">
      <c r="B2" s="4" t="s">
        <v>36</v>
      </c>
      <c r="C2" s="4" t="s">
        <v>37</v>
      </c>
    </row>
    <row r="3" spans="1:8" x14ac:dyDescent="0.2">
      <c r="A3" s="2" t="s">
        <v>38</v>
      </c>
      <c r="B3" s="5">
        <v>-275</v>
      </c>
      <c r="C3" s="5">
        <v>-2500</v>
      </c>
    </row>
    <row r="4" spans="1:8" x14ac:dyDescent="0.2">
      <c r="A4" s="3" t="s">
        <v>24</v>
      </c>
      <c r="B4" s="25">
        <v>-2500</v>
      </c>
      <c r="C4" s="7"/>
    </row>
    <row r="5" spans="1:8" x14ac:dyDescent="0.2">
      <c r="A5" s="68" t="s">
        <v>16</v>
      </c>
      <c r="B5" s="132">
        <f>B3-B4</f>
        <v>2225</v>
      </c>
      <c r="C5" s="69">
        <f>C3-C4</f>
        <v>-2500</v>
      </c>
    </row>
    <row r="7" spans="1:8" x14ac:dyDescent="0.2">
      <c r="A7" s="32" t="s">
        <v>39</v>
      </c>
      <c r="B7" s="47">
        <f>IRR(B5:C5)</f>
        <v>0.12359550561797761</v>
      </c>
    </row>
    <row r="8" spans="1:8" x14ac:dyDescent="0.2">
      <c r="A8" s="31" t="s">
        <v>5</v>
      </c>
      <c r="B8" s="59">
        <f>(1+B7)^3-1</f>
        <v>0.41850209016283002</v>
      </c>
    </row>
    <row r="10" spans="1:8" x14ac:dyDescent="0.2">
      <c r="A10" s="19" t="s">
        <v>66</v>
      </c>
    </row>
    <row r="11" spans="1:8" x14ac:dyDescent="0.2">
      <c r="A11" s="32" t="s">
        <v>26</v>
      </c>
      <c r="B11" s="47">
        <v>1.4E-2</v>
      </c>
    </row>
    <row r="12" spans="1:8" x14ac:dyDescent="0.2">
      <c r="A12" s="31" t="s">
        <v>40</v>
      </c>
      <c r="B12" s="59">
        <f>(1+B11)^12-1</f>
        <v>0.18155912891812287</v>
      </c>
    </row>
    <row r="14" spans="1:8" x14ac:dyDescent="0.2">
      <c r="A14" s="19" t="s">
        <v>67</v>
      </c>
    </row>
    <row r="15" spans="1:8" x14ac:dyDescent="0.2">
      <c r="A15" s="22" t="s">
        <v>41</v>
      </c>
      <c r="B15" s="21">
        <v>0</v>
      </c>
      <c r="C15" s="21">
        <v>1</v>
      </c>
      <c r="D15" s="21">
        <v>2</v>
      </c>
      <c r="E15" s="21">
        <v>3</v>
      </c>
      <c r="F15" s="21">
        <v>4</v>
      </c>
      <c r="G15" s="21">
        <v>5</v>
      </c>
      <c r="H15" s="21">
        <v>6</v>
      </c>
    </row>
    <row r="16" spans="1:8" x14ac:dyDescent="0.2">
      <c r="A16" s="18" t="s">
        <v>16</v>
      </c>
      <c r="B16" s="12">
        <v>3395</v>
      </c>
      <c r="C16" s="11"/>
      <c r="D16" s="11"/>
      <c r="E16" s="11"/>
      <c r="F16" s="11"/>
      <c r="G16" s="11"/>
      <c r="H16" s="11"/>
    </row>
    <row r="17" spans="1:8" x14ac:dyDescent="0.2">
      <c r="A17" s="18" t="s">
        <v>8</v>
      </c>
      <c r="B17" s="11"/>
      <c r="C17" s="17">
        <f t="shared" ref="C17:H17" si="0">IPMT($B$21,C15,6,$B$16)</f>
        <v>-47.529999999999994</v>
      </c>
      <c r="D17" s="17">
        <f t="shared" si="0"/>
        <v>-39.881095056917893</v>
      </c>
      <c r="E17" s="17">
        <f t="shared" si="0"/>
        <v>-32.125105444632631</v>
      </c>
      <c r="F17" s="17">
        <f t="shared" si="0"/>
        <v>-24.260531977775376</v>
      </c>
      <c r="G17" s="17">
        <f t="shared" si="0"/>
        <v>-16.285854482382124</v>
      </c>
      <c r="H17" s="17">
        <f t="shared" si="0"/>
        <v>-8.1995315020533628</v>
      </c>
    </row>
    <row r="18" spans="1:8" x14ac:dyDescent="0.2">
      <c r="A18" s="18" t="s">
        <v>9</v>
      </c>
      <c r="B18" s="11"/>
      <c r="C18" s="41">
        <f t="shared" ref="C18:H18" si="1">-$B$22-C17</f>
        <v>-546.35035307729356</v>
      </c>
      <c r="D18" s="41">
        <f t="shared" si="1"/>
        <v>-553.99925802037569</v>
      </c>
      <c r="E18" s="41">
        <f t="shared" si="1"/>
        <v>-561.75524763266094</v>
      </c>
      <c r="F18" s="41">
        <f t="shared" si="1"/>
        <v>-569.61982109951816</v>
      </c>
      <c r="G18" s="41">
        <f t="shared" si="1"/>
        <v>-577.59449859491144</v>
      </c>
      <c r="H18" s="41">
        <f t="shared" si="1"/>
        <v>-585.6808215752402</v>
      </c>
    </row>
    <row r="19" spans="1:8" x14ac:dyDescent="0.2">
      <c r="A19" s="18" t="s">
        <v>3</v>
      </c>
      <c r="B19" s="11"/>
      <c r="C19" s="42">
        <v>-45</v>
      </c>
      <c r="D19" s="42">
        <v>-45</v>
      </c>
      <c r="E19" s="42">
        <v>-45</v>
      </c>
      <c r="F19" s="42">
        <v>-45</v>
      </c>
      <c r="G19" s="42">
        <v>-45</v>
      </c>
      <c r="H19" s="42">
        <v>0</v>
      </c>
    </row>
    <row r="20" spans="1:8" x14ac:dyDescent="0.2">
      <c r="A20" s="71" t="s">
        <v>4</v>
      </c>
      <c r="B20" s="69">
        <f>SUM(B16:B19)</f>
        <v>3395</v>
      </c>
      <c r="C20" s="72">
        <f t="shared" ref="C20:H20" si="2">SUM(C16:C19)</f>
        <v>-638.88035307729353</v>
      </c>
      <c r="D20" s="72">
        <f t="shared" si="2"/>
        <v>-638.88035307729353</v>
      </c>
      <c r="E20" s="72">
        <f t="shared" si="2"/>
        <v>-638.88035307729353</v>
      </c>
      <c r="F20" s="72">
        <f t="shared" si="2"/>
        <v>-638.88035307729353</v>
      </c>
      <c r="G20" s="72">
        <f t="shared" si="2"/>
        <v>-638.88035307729353</v>
      </c>
      <c r="H20" s="72">
        <f t="shared" si="2"/>
        <v>-593.88035307729353</v>
      </c>
    </row>
    <row r="21" spans="1:8" x14ac:dyDescent="0.2">
      <c r="A21" s="32" t="s">
        <v>42</v>
      </c>
      <c r="B21" s="47">
        <v>1.4E-2</v>
      </c>
    </row>
    <row r="22" spans="1:8" x14ac:dyDescent="0.2">
      <c r="A22" s="49" t="s">
        <v>43</v>
      </c>
      <c r="B22" s="70">
        <f>-PMT(B21,6,B16)</f>
        <v>593.88035307729353</v>
      </c>
    </row>
    <row r="23" spans="1:8" x14ac:dyDescent="0.2">
      <c r="A23" s="49" t="s">
        <v>44</v>
      </c>
      <c r="B23" s="51">
        <f>IRR(B20:H20)</f>
        <v>3.2526966668422919E-2</v>
      </c>
    </row>
    <row r="24" spans="1:8" x14ac:dyDescent="0.2">
      <c r="A24" s="31" t="s">
        <v>5</v>
      </c>
      <c r="B24" s="59">
        <f>(1+B23)^12-1</f>
        <v>0.46830688813605659</v>
      </c>
    </row>
  </sheetData>
  <pageMargins left="0.75" right="0.75" top="1" bottom="1" header="0.5" footer="0.5"/>
  <pageSetup paperSize="9" orientation="portrait" r:id="rId1"/>
  <headerFooter alignWithMargins="0"/>
  <ignoredErrors>
    <ignoredError sqref="B2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J27" sqref="J27"/>
    </sheetView>
  </sheetViews>
  <sheetFormatPr baseColWidth="10" defaultColWidth="11.42578125" defaultRowHeight="12.75" x14ac:dyDescent="0.2"/>
  <cols>
    <col min="1" max="1" width="23.85546875" bestFit="1" customWidth="1"/>
    <col min="2" max="2" width="12.85546875" bestFit="1" customWidth="1"/>
  </cols>
  <sheetData>
    <row r="1" spans="1:8" x14ac:dyDescent="0.2">
      <c r="A1" s="74" t="s">
        <v>65</v>
      </c>
      <c r="B1" s="73"/>
      <c r="C1" s="73"/>
      <c r="D1" s="73"/>
      <c r="E1" s="73"/>
      <c r="F1" s="73"/>
      <c r="G1" s="73"/>
      <c r="H1" s="73"/>
    </row>
    <row r="2" spans="1:8" x14ac:dyDescent="0.2">
      <c r="A2" s="75" t="s">
        <v>68</v>
      </c>
      <c r="B2" s="80">
        <v>3.7999999999999999E-2</v>
      </c>
      <c r="D2" s="73"/>
      <c r="E2" s="73"/>
      <c r="F2" s="73"/>
      <c r="G2" s="73"/>
      <c r="H2" s="73"/>
    </row>
    <row r="3" spans="1:8" x14ac:dyDescent="0.2">
      <c r="A3" s="76" t="s">
        <v>27</v>
      </c>
      <c r="B3" s="81">
        <v>5.0000000000000001E-3</v>
      </c>
      <c r="D3" s="73"/>
      <c r="E3" s="73"/>
      <c r="F3" s="73"/>
      <c r="G3" s="73"/>
      <c r="H3" s="73"/>
    </row>
    <row r="4" spans="1:8" x14ac:dyDescent="0.2">
      <c r="A4" s="77" t="s">
        <v>69</v>
      </c>
      <c r="B4" s="82">
        <v>0.8</v>
      </c>
      <c r="D4" s="73"/>
      <c r="E4" s="73"/>
      <c r="F4" s="73"/>
      <c r="G4" s="73"/>
      <c r="H4" s="73"/>
    </row>
    <row r="5" spans="1:8" x14ac:dyDescent="0.2">
      <c r="A5" s="78" t="s">
        <v>70</v>
      </c>
      <c r="B5" s="83">
        <f>B2+B3/B4</f>
        <v>4.4249999999999998E-2</v>
      </c>
      <c r="D5" s="73"/>
      <c r="E5" s="73"/>
      <c r="F5" s="73"/>
      <c r="G5" s="73"/>
      <c r="H5" s="73"/>
    </row>
    <row r="6" spans="1:8" x14ac:dyDescent="0.2">
      <c r="A6" s="79" t="s">
        <v>5</v>
      </c>
      <c r="B6" s="84">
        <f>(1+B5)^4-1</f>
        <v>0.18909878607125341</v>
      </c>
      <c r="D6" s="73"/>
      <c r="E6" s="73"/>
      <c r="F6" s="73"/>
      <c r="G6" s="73"/>
      <c r="H6" s="73"/>
    </row>
    <row r="7" spans="1:8" x14ac:dyDescent="0.2">
      <c r="A7" s="73"/>
      <c r="B7" s="73"/>
      <c r="C7" s="73"/>
      <c r="D7" s="73"/>
      <c r="E7" s="73"/>
      <c r="F7" s="73"/>
      <c r="G7" s="73"/>
      <c r="H7" s="73"/>
    </row>
    <row r="8" spans="1:8" x14ac:dyDescent="0.2">
      <c r="A8" s="74" t="s">
        <v>66</v>
      </c>
      <c r="B8" s="73"/>
      <c r="C8" s="73"/>
      <c r="D8" s="73"/>
      <c r="E8" s="73"/>
      <c r="F8" s="73"/>
      <c r="G8" s="73"/>
      <c r="H8" s="73"/>
    </row>
    <row r="9" spans="1:8" x14ac:dyDescent="0.2">
      <c r="A9" s="86" t="s">
        <v>71</v>
      </c>
      <c r="B9" s="73"/>
      <c r="C9" s="73"/>
      <c r="D9" s="73"/>
      <c r="E9" s="73"/>
      <c r="F9" s="73"/>
      <c r="G9" s="73"/>
      <c r="H9" s="73"/>
    </row>
    <row r="10" spans="1:8" x14ac:dyDescent="0.2">
      <c r="A10" s="87" t="s">
        <v>72</v>
      </c>
      <c r="B10" s="102">
        <v>3600000</v>
      </c>
      <c r="C10" s="73"/>
      <c r="D10" s="73"/>
      <c r="E10" s="73"/>
      <c r="F10" s="73"/>
      <c r="G10" s="73"/>
      <c r="H10" s="73"/>
    </row>
    <row r="11" spans="1:8" x14ac:dyDescent="0.2">
      <c r="A11" s="88" t="s">
        <v>73</v>
      </c>
      <c r="B11" s="106">
        <v>40</v>
      </c>
      <c r="C11" s="73"/>
      <c r="D11" s="90" t="s">
        <v>74</v>
      </c>
      <c r="E11" s="91"/>
      <c r="F11" s="92"/>
      <c r="G11" s="89">
        <f>B10*B11/360</f>
        <v>400000</v>
      </c>
      <c r="H11" s="73"/>
    </row>
    <row r="12" spans="1:8" x14ac:dyDescent="0.2">
      <c r="A12" s="73"/>
      <c r="B12" s="73"/>
      <c r="C12" s="73"/>
      <c r="D12" s="73"/>
      <c r="E12" s="73"/>
      <c r="F12" s="73"/>
      <c r="G12" s="73"/>
      <c r="H12" s="73"/>
    </row>
    <row r="13" spans="1:8" x14ac:dyDescent="0.2">
      <c r="A13" s="86" t="s">
        <v>75</v>
      </c>
      <c r="B13" s="73"/>
      <c r="C13" s="73"/>
      <c r="D13" s="73"/>
      <c r="E13" s="73"/>
      <c r="F13" s="73"/>
      <c r="G13" s="73"/>
      <c r="H13" s="73"/>
    </row>
    <row r="14" spans="1:8" x14ac:dyDescent="0.2">
      <c r="A14" s="87" t="s">
        <v>72</v>
      </c>
      <c r="B14" s="102">
        <v>3600000</v>
      </c>
      <c r="C14" s="73"/>
      <c r="D14" s="73"/>
      <c r="E14" s="73"/>
      <c r="F14" s="73"/>
      <c r="G14" s="73"/>
      <c r="H14" s="73"/>
    </row>
    <row r="15" spans="1:8" x14ac:dyDescent="0.2">
      <c r="A15" s="87" t="s">
        <v>73</v>
      </c>
      <c r="B15" s="107">
        <v>32</v>
      </c>
      <c r="C15" s="73"/>
      <c r="D15" s="93" t="s">
        <v>79</v>
      </c>
      <c r="E15" s="94"/>
      <c r="F15" s="95"/>
      <c r="G15" s="102">
        <f>SUM(G16:G17)</f>
        <v>80000</v>
      </c>
      <c r="H15" s="73"/>
    </row>
    <row r="16" spans="1:8" x14ac:dyDescent="0.2">
      <c r="A16" s="87" t="s">
        <v>76</v>
      </c>
      <c r="B16" s="108">
        <v>0.25</v>
      </c>
      <c r="C16" s="73"/>
      <c r="D16" s="96" t="s">
        <v>80</v>
      </c>
      <c r="E16" s="97"/>
      <c r="F16" s="98"/>
      <c r="G16" s="103">
        <f>B16*B14*B15/360</f>
        <v>80000</v>
      </c>
      <c r="H16" s="73"/>
    </row>
    <row r="17" spans="1:8" x14ac:dyDescent="0.2">
      <c r="A17" s="87" t="s">
        <v>77</v>
      </c>
      <c r="B17" s="108">
        <f>1-B16</f>
        <v>0.75</v>
      </c>
      <c r="C17" s="73"/>
      <c r="D17" s="99" t="s">
        <v>81</v>
      </c>
      <c r="E17" s="100"/>
      <c r="F17" s="101"/>
      <c r="G17" s="88">
        <v>0</v>
      </c>
      <c r="H17" s="73"/>
    </row>
    <row r="18" spans="1:8" x14ac:dyDescent="0.2">
      <c r="A18" s="88" t="s">
        <v>78</v>
      </c>
      <c r="B18" s="109">
        <f>B17*B14*B15/360</f>
        <v>240000</v>
      </c>
      <c r="C18" s="73"/>
      <c r="D18" s="73"/>
      <c r="E18" s="73"/>
      <c r="F18" s="73"/>
      <c r="G18" s="73"/>
      <c r="H18" s="73"/>
    </row>
    <row r="19" spans="1:8" x14ac:dyDescent="0.2">
      <c r="A19" s="73"/>
      <c r="B19" s="73"/>
      <c r="C19" s="73"/>
      <c r="D19" s="90" t="s">
        <v>82</v>
      </c>
      <c r="E19" s="91"/>
      <c r="F19" s="92"/>
      <c r="G19" s="89">
        <f>G11-G15</f>
        <v>320000</v>
      </c>
      <c r="H19" s="73"/>
    </row>
    <row r="20" spans="1:8" x14ac:dyDescent="0.2">
      <c r="A20" s="73"/>
      <c r="B20" s="73"/>
      <c r="C20" s="73"/>
      <c r="D20" s="73"/>
      <c r="E20" s="73"/>
      <c r="F20" s="73"/>
      <c r="G20" s="85"/>
      <c r="H20" s="73"/>
    </row>
    <row r="21" spans="1:8" x14ac:dyDescent="0.2">
      <c r="A21" s="73"/>
      <c r="B21" s="73"/>
      <c r="C21" s="73"/>
      <c r="D21" s="93" t="s">
        <v>83</v>
      </c>
      <c r="E21" s="94"/>
      <c r="F21" s="95"/>
      <c r="G21" s="102"/>
      <c r="H21" s="73"/>
    </row>
    <row r="22" spans="1:8" x14ac:dyDescent="0.2">
      <c r="A22" s="73"/>
      <c r="B22" s="73"/>
      <c r="C22" s="73"/>
      <c r="D22" s="96" t="s">
        <v>84</v>
      </c>
      <c r="E22" s="97"/>
      <c r="F22" s="104">
        <v>0.2</v>
      </c>
      <c r="G22" s="103">
        <f>F22*B18</f>
        <v>48000</v>
      </c>
      <c r="H22" s="73"/>
    </row>
    <row r="23" spans="1:8" x14ac:dyDescent="0.2">
      <c r="A23" s="73"/>
      <c r="B23" s="73"/>
      <c r="C23" s="73"/>
      <c r="D23" s="96" t="s">
        <v>85</v>
      </c>
      <c r="E23" s="97"/>
      <c r="F23" s="105">
        <v>3.5000000000000001E-3</v>
      </c>
      <c r="G23" s="103">
        <f>F23*B14</f>
        <v>12600</v>
      </c>
      <c r="H23" s="73"/>
    </row>
    <row r="24" spans="1:8" x14ac:dyDescent="0.2">
      <c r="A24" s="73"/>
      <c r="B24" s="73"/>
      <c r="C24" s="73"/>
      <c r="D24" s="99" t="s">
        <v>86</v>
      </c>
      <c r="E24" s="100"/>
      <c r="F24" s="101"/>
      <c r="G24" s="109">
        <f>G22+G23</f>
        <v>60600</v>
      </c>
      <c r="H24" s="73"/>
    </row>
    <row r="25" spans="1:8" x14ac:dyDescent="0.2">
      <c r="A25" s="73"/>
      <c r="B25" s="73"/>
      <c r="C25" s="73"/>
      <c r="D25" s="110" t="s">
        <v>87</v>
      </c>
      <c r="E25" s="111"/>
      <c r="F25" s="112"/>
      <c r="G25" s="113">
        <f>G24/G19</f>
        <v>0.18937499999999999</v>
      </c>
      <c r="H25" s="73"/>
    </row>
    <row r="26" spans="1:8" x14ac:dyDescent="0.2">
      <c r="A26" s="73"/>
      <c r="B26" s="73"/>
      <c r="C26" s="73"/>
      <c r="D26" s="73"/>
      <c r="E26" s="73"/>
      <c r="F26" s="73"/>
      <c r="G26" s="73"/>
      <c r="H26" s="73"/>
    </row>
    <row r="27" spans="1:8" x14ac:dyDescent="0.2">
      <c r="A27" s="73"/>
      <c r="B27" s="73"/>
      <c r="C27" s="73"/>
      <c r="D27" s="73"/>
      <c r="E27" s="73"/>
      <c r="F27" s="73"/>
      <c r="G27" s="73"/>
      <c r="H27" s="73"/>
    </row>
    <row r="28" spans="1:8" x14ac:dyDescent="0.2">
      <c r="A28" s="73"/>
      <c r="B28" s="73"/>
      <c r="C28" s="73"/>
      <c r="D28" s="73"/>
      <c r="E28" s="73"/>
      <c r="F28" s="73"/>
      <c r="G28" s="73"/>
      <c r="H28" s="73"/>
    </row>
    <row r="29" spans="1:8" x14ac:dyDescent="0.2">
      <c r="A29" s="73"/>
      <c r="B29" s="73"/>
      <c r="C29" s="73"/>
      <c r="D29" s="73"/>
      <c r="E29" s="73"/>
      <c r="F29" s="73"/>
      <c r="G29" s="73"/>
      <c r="H29" s="73"/>
    </row>
    <row r="30" spans="1:8" x14ac:dyDescent="0.2">
      <c r="A30" s="73"/>
      <c r="B30" s="73"/>
      <c r="C30" s="73"/>
      <c r="D30" s="73"/>
      <c r="E30" s="73"/>
      <c r="F30" s="73"/>
      <c r="G30" s="73"/>
      <c r="H30" s="73"/>
    </row>
    <row r="31" spans="1:8" x14ac:dyDescent="0.2">
      <c r="A31" s="73"/>
      <c r="B31" s="73"/>
      <c r="C31" s="73"/>
      <c r="D31" s="73"/>
      <c r="E31" s="73"/>
      <c r="F31" s="73"/>
      <c r="G31" s="73"/>
      <c r="H31" s="73"/>
    </row>
    <row r="32" spans="1:8" x14ac:dyDescent="0.2">
      <c r="A32" s="73"/>
      <c r="B32" s="73"/>
      <c r="C32" s="73"/>
      <c r="D32" s="73"/>
      <c r="E32" s="73"/>
      <c r="F32" s="73"/>
      <c r="G32" s="73"/>
      <c r="H32" s="73"/>
    </row>
    <row r="33" spans="1:8" x14ac:dyDescent="0.2">
      <c r="A33" s="73"/>
      <c r="B33" s="73"/>
      <c r="C33" s="73"/>
      <c r="D33" s="73"/>
      <c r="E33" s="73"/>
      <c r="F33" s="73"/>
      <c r="G33" s="73"/>
      <c r="H33" s="73"/>
    </row>
    <row r="34" spans="1:8" x14ac:dyDescent="0.2">
      <c r="A34" s="73"/>
      <c r="B34" s="73"/>
      <c r="C34" s="73"/>
      <c r="D34" s="73"/>
      <c r="E34" s="73"/>
      <c r="F34" s="73"/>
      <c r="G34" s="73"/>
      <c r="H34" s="73"/>
    </row>
    <row r="35" spans="1:8" x14ac:dyDescent="0.2">
      <c r="A35" s="73"/>
      <c r="B35" s="73"/>
      <c r="C35" s="73"/>
      <c r="D35" s="73"/>
      <c r="E35" s="73"/>
      <c r="F35" s="73"/>
      <c r="G35" s="73"/>
      <c r="H35" s="73"/>
    </row>
    <row r="36" spans="1:8" x14ac:dyDescent="0.2">
      <c r="A36" s="73"/>
      <c r="B36" s="73"/>
      <c r="C36" s="73"/>
      <c r="D36" s="73"/>
      <c r="E36" s="73"/>
      <c r="F36" s="73"/>
      <c r="G36" s="73"/>
      <c r="H36" s="73"/>
    </row>
    <row r="37" spans="1:8" x14ac:dyDescent="0.2">
      <c r="A37" s="73"/>
      <c r="B37" s="73"/>
      <c r="C37" s="73"/>
      <c r="D37" s="73"/>
      <c r="E37" s="73"/>
      <c r="F37" s="73"/>
      <c r="G37" s="73"/>
      <c r="H37" s="73"/>
    </row>
    <row r="38" spans="1:8" x14ac:dyDescent="0.2">
      <c r="A38" s="73"/>
      <c r="B38" s="73"/>
      <c r="C38" s="73"/>
      <c r="D38" s="73"/>
      <c r="E38" s="73"/>
      <c r="F38" s="73"/>
      <c r="G38" s="73"/>
      <c r="H38" s="73"/>
    </row>
    <row r="39" spans="1:8" x14ac:dyDescent="0.2">
      <c r="A39" s="73"/>
      <c r="B39" s="73"/>
      <c r="C39" s="73"/>
      <c r="D39" s="73"/>
      <c r="E39" s="73"/>
      <c r="F39" s="73"/>
      <c r="G39" s="73"/>
      <c r="H39" s="73"/>
    </row>
    <row r="40" spans="1:8" x14ac:dyDescent="0.2">
      <c r="A40" s="73"/>
      <c r="B40" s="73"/>
      <c r="C40" s="73"/>
      <c r="D40" s="73"/>
      <c r="E40" s="73"/>
      <c r="F40" s="73"/>
      <c r="G40" s="73"/>
      <c r="H40" s="73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8" sqref="F8"/>
    </sheetView>
  </sheetViews>
  <sheetFormatPr baseColWidth="10" defaultColWidth="11.42578125" defaultRowHeight="12.75" x14ac:dyDescent="0.2"/>
  <cols>
    <col min="1" max="1" width="19.5703125" bestFit="1" customWidth="1"/>
    <col min="2" max="2" width="12.85546875" bestFit="1" customWidth="1"/>
    <col min="3" max="5" width="11.42578125" customWidth="1"/>
    <col min="6" max="6" width="12.85546875" bestFit="1" customWidth="1"/>
  </cols>
  <sheetData>
    <row r="1" spans="1:6" x14ac:dyDescent="0.2">
      <c r="A1" s="32" t="s">
        <v>45</v>
      </c>
      <c r="B1" s="114">
        <v>9000000</v>
      </c>
      <c r="C1" s="34"/>
      <c r="D1" s="119"/>
      <c r="E1" s="120"/>
      <c r="F1" s="45"/>
    </row>
    <row r="2" spans="1:6" x14ac:dyDescent="0.2">
      <c r="A2" s="49" t="s">
        <v>46</v>
      </c>
      <c r="B2" s="115">
        <v>60</v>
      </c>
      <c r="C2" s="36" t="s">
        <v>93</v>
      </c>
      <c r="D2" s="55"/>
      <c r="E2" s="121"/>
      <c r="F2" s="125">
        <f>B1*B2/360</f>
        <v>1500000</v>
      </c>
    </row>
    <row r="3" spans="1:6" x14ac:dyDescent="0.2">
      <c r="A3" s="49"/>
      <c r="B3" s="116"/>
      <c r="C3" s="36"/>
      <c r="D3" s="55"/>
      <c r="E3" s="122"/>
      <c r="F3" s="125"/>
    </row>
    <row r="4" spans="1:6" x14ac:dyDescent="0.2">
      <c r="A4" s="49" t="s">
        <v>47</v>
      </c>
      <c r="B4" s="116"/>
      <c r="C4" s="36" t="s">
        <v>79</v>
      </c>
      <c r="D4" s="55"/>
      <c r="E4" s="121"/>
      <c r="F4" s="125">
        <f>SUM(F5:F6)</f>
        <v>440000</v>
      </c>
    </row>
    <row r="5" spans="1:6" x14ac:dyDescent="0.2">
      <c r="A5" s="49" t="s">
        <v>48</v>
      </c>
      <c r="B5" s="117">
        <v>0.2</v>
      </c>
      <c r="C5" s="35" t="s">
        <v>94</v>
      </c>
      <c r="D5" s="123"/>
      <c r="E5" s="124"/>
      <c r="F5" s="67">
        <f>B5*B1*B2/360</f>
        <v>300000</v>
      </c>
    </row>
    <row r="6" spans="1:6" x14ac:dyDescent="0.2">
      <c r="A6" s="49" t="s">
        <v>49</v>
      </c>
      <c r="B6" s="115">
        <v>7</v>
      </c>
      <c r="C6" s="68" t="s">
        <v>88</v>
      </c>
      <c r="D6" s="130"/>
      <c r="E6" s="131"/>
      <c r="F6" s="132">
        <f>B1*(1-B5)*B6/360</f>
        <v>140000</v>
      </c>
    </row>
    <row r="7" spans="1:6" x14ac:dyDescent="0.2">
      <c r="A7" s="49"/>
      <c r="B7" s="116"/>
      <c r="C7" s="36"/>
      <c r="D7" s="55"/>
      <c r="E7" s="122"/>
      <c r="F7" s="125"/>
    </row>
    <row r="8" spans="1:6" x14ac:dyDescent="0.2">
      <c r="A8" s="49"/>
      <c r="B8" s="116"/>
      <c r="C8" s="126" t="s">
        <v>89</v>
      </c>
      <c r="D8" s="127"/>
      <c r="E8" s="128"/>
      <c r="F8" s="129">
        <f>F2-F4</f>
        <v>1060000</v>
      </c>
    </row>
    <row r="9" spans="1:6" x14ac:dyDescent="0.2">
      <c r="A9" s="49" t="s">
        <v>50</v>
      </c>
      <c r="B9" s="116"/>
      <c r="C9" s="36"/>
      <c r="D9" s="55"/>
      <c r="E9" s="122"/>
      <c r="F9" s="125"/>
    </row>
    <row r="10" spans="1:6" x14ac:dyDescent="0.2">
      <c r="A10" s="49" t="s">
        <v>51</v>
      </c>
      <c r="B10" s="117">
        <v>0.15</v>
      </c>
      <c r="C10" s="36" t="s">
        <v>8</v>
      </c>
      <c r="D10" s="55"/>
      <c r="E10" s="121"/>
      <c r="F10" s="125">
        <f>B1*(1-B5)*(B2-B6)*B10/360</f>
        <v>159000</v>
      </c>
    </row>
    <row r="11" spans="1:6" x14ac:dyDescent="0.2">
      <c r="A11" s="31" t="s">
        <v>52</v>
      </c>
      <c r="B11" s="118"/>
      <c r="C11" s="36" t="s">
        <v>52</v>
      </c>
      <c r="D11" s="55"/>
      <c r="E11" s="121"/>
      <c r="F11" s="125">
        <f>B1/4500*30</f>
        <v>60000</v>
      </c>
    </row>
    <row r="12" spans="1:6" x14ac:dyDescent="0.2">
      <c r="C12" s="35" t="s">
        <v>90</v>
      </c>
      <c r="D12" s="123"/>
      <c r="E12" s="124"/>
      <c r="F12" s="67">
        <v>-50000</v>
      </c>
    </row>
    <row r="13" spans="1:6" x14ac:dyDescent="0.2">
      <c r="C13" s="68" t="s">
        <v>91</v>
      </c>
      <c r="D13" s="130"/>
      <c r="E13" s="131"/>
      <c r="F13" s="132">
        <f>SUM(F10:F12)</f>
        <v>169000</v>
      </c>
    </row>
    <row r="15" spans="1:6" x14ac:dyDescent="0.2">
      <c r="C15" s="68" t="s">
        <v>92</v>
      </c>
      <c r="D15" s="130"/>
      <c r="E15" s="131"/>
      <c r="F15" s="133">
        <f>F13/F8</f>
        <v>0.15943396226415094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I25" sqref="I25"/>
    </sheetView>
  </sheetViews>
  <sheetFormatPr baseColWidth="10" defaultColWidth="11.42578125" defaultRowHeight="12.75" x14ac:dyDescent="0.2"/>
  <cols>
    <col min="1" max="1" width="17.28515625" bestFit="1" customWidth="1"/>
    <col min="2" max="2" width="14.42578125" bestFit="1" customWidth="1"/>
  </cols>
  <sheetData>
    <row r="1" spans="1:8" x14ac:dyDescent="0.2">
      <c r="A1" s="19" t="s">
        <v>65</v>
      </c>
    </row>
    <row r="2" spans="1:8" x14ac:dyDescent="0.2">
      <c r="A2" s="20" t="s">
        <v>53</v>
      </c>
      <c r="B2" s="21">
        <v>0</v>
      </c>
      <c r="C2" s="21">
        <v>1</v>
      </c>
      <c r="D2" s="21">
        <v>2</v>
      </c>
      <c r="E2" s="21">
        <v>3</v>
      </c>
      <c r="F2" s="21">
        <v>4</v>
      </c>
      <c r="G2" s="21">
        <v>5</v>
      </c>
    </row>
    <row r="3" spans="1:8" x14ac:dyDescent="0.2">
      <c r="A3" s="11" t="s">
        <v>54</v>
      </c>
      <c r="B3" s="12">
        <v>-4200000</v>
      </c>
      <c r="C3" s="11"/>
      <c r="D3" s="11"/>
      <c r="E3" s="11"/>
      <c r="F3" s="11"/>
      <c r="G3" s="12"/>
    </row>
    <row r="4" spans="1:8" x14ac:dyDescent="0.2">
      <c r="A4" s="11" t="s">
        <v>55</v>
      </c>
      <c r="B4" s="11"/>
      <c r="C4" s="12">
        <v>1610000</v>
      </c>
      <c r="D4" s="12">
        <v>1610000</v>
      </c>
      <c r="E4" s="12">
        <v>1610000</v>
      </c>
      <c r="F4" s="12">
        <v>1250000</v>
      </c>
      <c r="G4" s="12">
        <v>1250000</v>
      </c>
    </row>
    <row r="5" spans="1:8" x14ac:dyDescent="0.2">
      <c r="A5" s="11" t="s">
        <v>56</v>
      </c>
      <c r="B5" s="11"/>
      <c r="C5" s="11"/>
      <c r="D5" s="11"/>
      <c r="E5" s="11"/>
      <c r="F5" s="11"/>
      <c r="G5" s="12">
        <v>1250000</v>
      </c>
    </row>
    <row r="6" spans="1:8" x14ac:dyDescent="0.2">
      <c r="A6" s="71" t="s">
        <v>4</v>
      </c>
      <c r="B6" s="69">
        <f t="shared" ref="B6:G6" si="0">SUM(B3:B5)</f>
        <v>-4200000</v>
      </c>
      <c r="C6" s="69">
        <f t="shared" si="0"/>
        <v>1610000</v>
      </c>
      <c r="D6" s="69">
        <f t="shared" si="0"/>
        <v>1610000</v>
      </c>
      <c r="E6" s="69">
        <f t="shared" si="0"/>
        <v>1610000</v>
      </c>
      <c r="F6" s="69">
        <f t="shared" si="0"/>
        <v>1250000</v>
      </c>
      <c r="G6" s="69">
        <f t="shared" si="0"/>
        <v>2500000</v>
      </c>
    </row>
    <row r="8" spans="1:8" x14ac:dyDescent="0.2">
      <c r="A8" s="32" t="s">
        <v>57</v>
      </c>
      <c r="B8" s="47">
        <v>0.2</v>
      </c>
    </row>
    <row r="9" spans="1:8" x14ac:dyDescent="0.2">
      <c r="A9" s="49" t="s">
        <v>58</v>
      </c>
      <c r="B9" s="43">
        <f>B6+NPV(B8,C6:G6)</f>
        <v>798945.47325102985</v>
      </c>
    </row>
    <row r="10" spans="1:8" x14ac:dyDescent="0.2">
      <c r="A10" s="31" t="s">
        <v>59</v>
      </c>
      <c r="B10" s="44">
        <f>IRR(B6:G6)</f>
        <v>0.28016759690069537</v>
      </c>
    </row>
    <row r="12" spans="1:8" x14ac:dyDescent="0.2">
      <c r="A12" s="19" t="s">
        <v>67</v>
      </c>
    </row>
    <row r="13" spans="1:8" x14ac:dyDescent="0.2">
      <c r="A13" s="22" t="s">
        <v>60</v>
      </c>
      <c r="B13" s="21">
        <v>0</v>
      </c>
      <c r="C13" s="21">
        <v>1</v>
      </c>
      <c r="D13" s="21">
        <v>2</v>
      </c>
      <c r="E13" s="21">
        <v>3</v>
      </c>
      <c r="F13" s="21">
        <v>4</v>
      </c>
      <c r="G13" s="21">
        <v>5</v>
      </c>
      <c r="H13" s="21">
        <v>6</v>
      </c>
    </row>
    <row r="14" spans="1:8" x14ac:dyDescent="0.2">
      <c r="A14" t="s">
        <v>16</v>
      </c>
      <c r="B14" s="12">
        <v>3000000</v>
      </c>
      <c r="C14" s="11"/>
      <c r="D14" s="11"/>
      <c r="E14" s="11"/>
      <c r="F14" s="11"/>
      <c r="G14" s="11"/>
      <c r="H14" s="11"/>
    </row>
    <row r="15" spans="1:8" x14ac:dyDescent="0.2">
      <c r="A15" t="s">
        <v>3</v>
      </c>
      <c r="B15" s="12">
        <v>-100000</v>
      </c>
      <c r="C15" s="11"/>
      <c r="D15" s="11"/>
      <c r="E15" s="11"/>
      <c r="F15" s="11"/>
      <c r="G15" s="11"/>
      <c r="H15" s="11"/>
    </row>
    <row r="16" spans="1:8" x14ac:dyDescent="0.2">
      <c r="A16" t="s">
        <v>9</v>
      </c>
      <c r="B16" s="11"/>
      <c r="C16" s="12">
        <v>-400000</v>
      </c>
      <c r="D16" s="12">
        <v>-400000</v>
      </c>
      <c r="E16" s="12">
        <v>-500000</v>
      </c>
      <c r="F16" s="12">
        <v>-500000</v>
      </c>
      <c r="G16" s="12">
        <v>-600000</v>
      </c>
      <c r="H16" s="12">
        <v>-600000</v>
      </c>
    </row>
    <row r="17" spans="1:8" x14ac:dyDescent="0.2">
      <c r="A17" t="s">
        <v>8</v>
      </c>
      <c r="B17" s="11"/>
      <c r="C17" s="12">
        <v>-270000</v>
      </c>
      <c r="D17" s="12">
        <v>-234000</v>
      </c>
      <c r="E17" s="12">
        <v>-198000</v>
      </c>
      <c r="F17" s="12">
        <v>-153000</v>
      </c>
      <c r="G17" s="12">
        <v>-114000</v>
      </c>
      <c r="H17" s="12">
        <v>-57000</v>
      </c>
    </row>
    <row r="18" spans="1:8" x14ac:dyDescent="0.2">
      <c r="A18" t="s">
        <v>61</v>
      </c>
      <c r="B18" s="11"/>
      <c r="C18" s="13">
        <v>-1000</v>
      </c>
      <c r="D18" s="13">
        <v>-1000</v>
      </c>
      <c r="E18" s="13">
        <v>-1000</v>
      </c>
      <c r="F18" s="13">
        <v>-1000</v>
      </c>
      <c r="G18" s="13">
        <v>-1000</v>
      </c>
      <c r="H18" s="13">
        <v>-1000</v>
      </c>
    </row>
    <row r="19" spans="1:8" x14ac:dyDescent="0.2">
      <c r="A19" s="71" t="s">
        <v>4</v>
      </c>
      <c r="B19" s="69">
        <f>SUM(B14:B18)</f>
        <v>2900000</v>
      </c>
      <c r="C19" s="69">
        <f t="shared" ref="C19:H19" si="1">SUM(C14:C18)</f>
        <v>-671000</v>
      </c>
      <c r="D19" s="69">
        <f t="shared" si="1"/>
        <v>-635000</v>
      </c>
      <c r="E19" s="69">
        <f t="shared" si="1"/>
        <v>-699000</v>
      </c>
      <c r="F19" s="69">
        <f t="shared" si="1"/>
        <v>-654000</v>
      </c>
      <c r="G19" s="69">
        <f t="shared" si="1"/>
        <v>-715000</v>
      </c>
      <c r="H19" s="69">
        <f t="shared" si="1"/>
        <v>-658000</v>
      </c>
    </row>
    <row r="21" spans="1:8" x14ac:dyDescent="0.2">
      <c r="A21" s="32" t="s">
        <v>62</v>
      </c>
      <c r="B21" s="47">
        <f>IRR(B19:H19)</f>
        <v>0.10257490986392304</v>
      </c>
    </row>
    <row r="22" spans="1:8" x14ac:dyDescent="0.2">
      <c r="A22" s="31" t="s">
        <v>5</v>
      </c>
      <c r="B22" s="59">
        <f>(1+B21)^2-1</f>
        <v>0.21567143186143811</v>
      </c>
    </row>
    <row r="23" spans="1:8" x14ac:dyDescent="0.2">
      <c r="B23" s="48"/>
    </row>
    <row r="24" spans="1:8" x14ac:dyDescent="0.2">
      <c r="A24" s="19" t="s">
        <v>95</v>
      </c>
      <c r="B24" s="48"/>
    </row>
    <row r="25" spans="1:8" x14ac:dyDescent="0.2">
      <c r="A25" s="9" t="s">
        <v>96</v>
      </c>
      <c r="B25" s="136">
        <v>7.4999999999999997E-2</v>
      </c>
    </row>
    <row r="26" spans="1:8" x14ac:dyDescent="0.2">
      <c r="A26" s="135" t="s">
        <v>97</v>
      </c>
      <c r="B26" s="125">
        <f>B25*B27</f>
        <v>315000</v>
      </c>
    </row>
    <row r="27" spans="1:8" x14ac:dyDescent="0.2">
      <c r="A27" s="134" t="s">
        <v>54</v>
      </c>
      <c r="B27" s="62">
        <v>4200000</v>
      </c>
    </row>
    <row r="29" spans="1:8" x14ac:dyDescent="0.2">
      <c r="A29" s="32" t="s">
        <v>16</v>
      </c>
      <c r="B29" s="50">
        <f>B27-B25</f>
        <v>4199999.9249999998</v>
      </c>
    </row>
    <row r="30" spans="1:8" x14ac:dyDescent="0.2">
      <c r="A30" s="31" t="s">
        <v>98</v>
      </c>
      <c r="B30" s="62">
        <v>315000</v>
      </c>
    </row>
    <row r="31" spans="1:8" x14ac:dyDescent="0.2">
      <c r="A31" s="49" t="s">
        <v>32</v>
      </c>
      <c r="B31" s="43">
        <f>B29-B30</f>
        <v>3884999.9249999998</v>
      </c>
    </row>
    <row r="32" spans="1:8" x14ac:dyDescent="0.2">
      <c r="A32" s="49" t="s">
        <v>99</v>
      </c>
      <c r="B32" s="43">
        <v>19</v>
      </c>
    </row>
    <row r="33" spans="1:2" x14ac:dyDescent="0.2">
      <c r="A33" s="31" t="s">
        <v>19</v>
      </c>
      <c r="B33" s="59">
        <f>RATE(B32,-B30,B31)</f>
        <v>4.7520112819385243E-2</v>
      </c>
    </row>
    <row r="34" spans="1:2" x14ac:dyDescent="0.2">
      <c r="A34" s="71" t="s">
        <v>5</v>
      </c>
      <c r="B34" s="137">
        <f>(1+B33)^4-1</f>
        <v>0.20406374958859486</v>
      </c>
    </row>
  </sheetData>
  <pageMargins left="0.75" right="0.75" top="1" bottom="1" header="0.5" footer="0.5"/>
  <pageSetup paperSize="9" orientation="portrait" r:id="rId1"/>
  <headerFooter alignWithMargins="0"/>
  <ignoredErrors>
    <ignoredError sqref="B6:G6 B19: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Opp 1 a - d</vt:lpstr>
      <vt:lpstr>Opp 1</vt:lpstr>
      <vt:lpstr>Opp 2</vt:lpstr>
      <vt:lpstr>Opp 3</vt:lpstr>
      <vt:lpstr>Opp 4</vt:lpstr>
      <vt:lpstr>Opp 5</vt:lpstr>
      <vt:lpstr>Opp 7</vt:lpstr>
      <vt:lpstr>Opp 8</vt:lpstr>
      <vt:lpstr>Opp 9</vt:lpstr>
      <vt:lpstr>Opp 10</vt:lpstr>
    </vt:vector>
  </TitlesOfParts>
  <Company>NKS Gruppen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Ivar Bredesen</dc:creator>
  <cp:lastModifiedBy>Ivar Bredesen</cp:lastModifiedBy>
  <dcterms:created xsi:type="dcterms:W3CDTF">2000-10-13T12:35:47Z</dcterms:created>
  <dcterms:modified xsi:type="dcterms:W3CDTF">2019-08-16T10:30:44Z</dcterms:modified>
</cp:coreProperties>
</file>