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w\Min disk\Bokprosjekt\Driftsregnskap og budsjettering\2017 utg oppdaterte løsninger\Oppdatert\"/>
    </mc:Choice>
  </mc:AlternateContent>
  <xr:revisionPtr revIDLastSave="0" documentId="8_{100FEDD7-6E09-4F69-8CDB-C9D47B56705D}" xr6:coauthVersionLast="47" xr6:coauthVersionMax="47" xr10:uidLastSave="{00000000-0000-0000-0000-000000000000}"/>
  <bookViews>
    <workbookView xWindow="-108" yWindow="-108" windowWidth="41496" windowHeight="16896" firstSheet="12" activeTab="16" xr2:uid="{00000000-000D-0000-FFFF-FFFF00000000}"/>
  </bookViews>
  <sheets>
    <sheet name="5.1" sheetId="28" r:id="rId1"/>
    <sheet name="5.2" sheetId="29" r:id="rId2"/>
    <sheet name="5.3" sheetId="30" r:id="rId3"/>
    <sheet name="5.4" sheetId="31" r:id="rId4"/>
    <sheet name="5.5" sheetId="32" r:id="rId5"/>
    <sheet name="5.6" sheetId="33" r:id="rId6"/>
    <sheet name="5.7" sheetId="34" r:id="rId7"/>
    <sheet name="5.8" sheetId="35" r:id="rId8"/>
    <sheet name="5.9" sheetId="36" r:id="rId9"/>
    <sheet name="5.10" sheetId="37" r:id="rId10"/>
    <sheet name="5.11" sheetId="4" r:id="rId11"/>
    <sheet name="5.12" sheetId="38" r:id="rId12"/>
    <sheet name="5.13" sheetId="39" r:id="rId13"/>
    <sheet name="5.14" sheetId="40" r:id="rId14"/>
    <sheet name="5.15" sheetId="41" r:id="rId15"/>
    <sheet name="5.16" sheetId="42" r:id="rId16"/>
    <sheet name="5.17" sheetId="43" r:id="rId17"/>
    <sheet name="5.18" sheetId="44" r:id="rId18"/>
    <sheet name="5.19" sheetId="45" r:id="rId19"/>
    <sheet name="5.20" sheetId="46" r:id="rId20"/>
    <sheet name="5.21" sheetId="47" r:id="rId21"/>
    <sheet name="5.22" sheetId="48" r:id="rId22"/>
    <sheet name="5.23" sheetId="54" r:id="rId23"/>
    <sheet name="5.24" sheetId="49" r:id="rId24"/>
    <sheet name="5.25" sheetId="50" r:id="rId25"/>
    <sheet name="5.26" sheetId="51" r:id="rId26"/>
    <sheet name="5.27" sheetId="20" r:id="rId27"/>
    <sheet name="5.28" sheetId="52" r:id="rId28"/>
    <sheet name="5.29" sheetId="55" r:id="rId29"/>
    <sheet name="5.30" sheetId="23" r:id="rId30"/>
    <sheet name="5.31" sheetId="27" r:id="rId31"/>
    <sheet name="5.32" sheetId="9" r:id="rId32"/>
    <sheet name="5.33" sheetId="10" r:id="rId33"/>
    <sheet name="5.34" sheetId="12" r:id="rId34"/>
    <sheet name="5.35" sheetId="14" r:id="rId35"/>
    <sheet name="5.36" sheetId="15" r:id="rId36"/>
    <sheet name="5.37" sheetId="11" r:id="rId37"/>
    <sheet name="Ark4" sheetId="22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43" l="1"/>
  <c r="D70" i="43"/>
  <c r="D65" i="43"/>
  <c r="B65" i="43"/>
  <c r="F65" i="43"/>
  <c r="C44" i="47"/>
  <c r="C39" i="47"/>
  <c r="C23" i="36"/>
  <c r="C21" i="36"/>
  <c r="E10" i="32"/>
  <c r="B32" i="31"/>
  <c r="F36" i="31" s="1"/>
  <c r="D36" i="31"/>
  <c r="B36" i="31"/>
  <c r="B19" i="31"/>
  <c r="J36" i="31" l="1"/>
  <c r="I36" i="31"/>
  <c r="H36" i="31"/>
  <c r="B178" i="9"/>
  <c r="B31" i="55"/>
  <c r="C31" i="55"/>
  <c r="F31" i="55" s="1"/>
  <c r="C34" i="55"/>
  <c r="B37" i="55"/>
  <c r="E37" i="55" s="1"/>
  <c r="C37" i="55"/>
  <c r="F37" i="55" s="1"/>
  <c r="D44" i="55"/>
  <c r="D50" i="55" s="1"/>
  <c r="E44" i="55"/>
  <c r="D45" i="55"/>
  <c r="E45" i="55"/>
  <c r="E50" i="55" s="1"/>
  <c r="E52" i="55" s="1"/>
  <c r="F46" i="55"/>
  <c r="F47" i="55"/>
  <c r="D48" i="55"/>
  <c r="F48" i="55" s="1"/>
  <c r="H48" i="55" s="1"/>
  <c r="E48" i="55"/>
  <c r="D49" i="55"/>
  <c r="E49" i="55"/>
  <c r="D53" i="55"/>
  <c r="E53" i="55"/>
  <c r="D55" i="55"/>
  <c r="F55" i="55" s="1"/>
  <c r="H55" i="55" s="1"/>
  <c r="E55" i="55"/>
  <c r="F56" i="55"/>
  <c r="F58" i="55" s="1"/>
  <c r="D58" i="55"/>
  <c r="E58" i="55"/>
  <c r="G61" i="55"/>
  <c r="C65" i="55"/>
  <c r="C67" i="55"/>
  <c r="C74" i="55"/>
  <c r="F74" i="55" s="1"/>
  <c r="D74" i="55"/>
  <c r="G74" i="55" s="1"/>
  <c r="G87" i="55"/>
  <c r="D79" i="55" s="1"/>
  <c r="G79" i="55" s="1"/>
  <c r="F91" i="55"/>
  <c r="F92" i="55"/>
  <c r="C79" i="55" s="1"/>
  <c r="F79" i="55" s="1"/>
  <c r="D41" i="51"/>
  <c r="D36" i="51"/>
  <c r="B46" i="51"/>
  <c r="E29" i="50"/>
  <c r="C22" i="50"/>
  <c r="C21" i="50"/>
  <c r="C20" i="50"/>
  <c r="C50" i="54"/>
  <c r="F50" i="54" s="1"/>
  <c r="C44" i="54"/>
  <c r="F44" i="54" s="1"/>
  <c r="B35" i="54"/>
  <c r="C24" i="54"/>
  <c r="C20" i="54"/>
  <c r="D35" i="54" s="1"/>
  <c r="C18" i="54"/>
  <c r="D30" i="54" s="1"/>
  <c r="C8" i="54"/>
  <c r="C10" i="54" s="1"/>
  <c r="C12" i="54" s="1"/>
  <c r="E54" i="55" l="1"/>
  <c r="C68" i="55"/>
  <c r="D51" i="55" s="1"/>
  <c r="D52" i="55" s="1"/>
  <c r="D54" i="55" s="1"/>
  <c r="F45" i="55"/>
  <c r="H45" i="55" s="1"/>
  <c r="E31" i="55"/>
  <c r="D29" i="54"/>
  <c r="D31" i="54" s="1"/>
  <c r="B44" i="54" s="1"/>
  <c r="E44" i="54" s="1"/>
  <c r="F49" i="55"/>
  <c r="H49" i="55" s="1"/>
  <c r="H60" i="55" s="1"/>
  <c r="F60" i="55" s="1"/>
  <c r="F44" i="55"/>
  <c r="H44" i="55" s="1"/>
  <c r="H46" i="55" s="1"/>
  <c r="F59" i="55" s="1"/>
  <c r="F61" i="55" s="1"/>
  <c r="F50" i="55"/>
  <c r="F52" i="55" s="1"/>
  <c r="F54" i="55" s="1"/>
  <c r="D34" i="54"/>
  <c r="D36" i="54" s="1"/>
  <c r="B50" i="54" s="1"/>
  <c r="E50" i="54" s="1"/>
  <c r="C32" i="48" l="1"/>
  <c r="C33" i="48"/>
  <c r="A82" i="46"/>
  <c r="A71" i="46"/>
  <c r="A65" i="46"/>
  <c r="A75" i="46"/>
  <c r="D45" i="45"/>
  <c r="C10" i="36"/>
  <c r="B23" i="52" l="1"/>
  <c r="B24" i="52"/>
  <c r="D41" i="52"/>
  <c r="H41" i="52" s="1"/>
  <c r="F41" i="52"/>
  <c r="E78" i="52" s="1"/>
  <c r="D43" i="52"/>
  <c r="F43" i="52"/>
  <c r="J43" i="52" s="1"/>
  <c r="H43" i="52"/>
  <c r="D44" i="52"/>
  <c r="D50" i="52" s="1"/>
  <c r="F44" i="52"/>
  <c r="H44" i="52"/>
  <c r="J44" i="52"/>
  <c r="D45" i="52"/>
  <c r="H45" i="52" s="1"/>
  <c r="F45" i="52"/>
  <c r="J45" i="52" s="1"/>
  <c r="B46" i="52"/>
  <c r="D46" i="52"/>
  <c r="F46" i="52"/>
  <c r="J46" i="52" s="1"/>
  <c r="B47" i="52"/>
  <c r="D47" i="52"/>
  <c r="H47" i="52" s="1"/>
  <c r="F47" i="52"/>
  <c r="J47" i="52" s="1"/>
  <c r="B49" i="52"/>
  <c r="D49" i="52"/>
  <c r="F49" i="52"/>
  <c r="D52" i="52"/>
  <c r="F52" i="52"/>
  <c r="C57" i="52"/>
  <c r="D57" i="52"/>
  <c r="C94" i="52" s="1"/>
  <c r="C58" i="52"/>
  <c r="D58" i="52" s="1"/>
  <c r="E64" i="52"/>
  <c r="G64" i="52"/>
  <c r="C67" i="52"/>
  <c r="C77" i="52" s="1"/>
  <c r="D77" i="52" s="1"/>
  <c r="E67" i="52"/>
  <c r="C68" i="52"/>
  <c r="D68" i="52" s="1"/>
  <c r="F95" i="52" s="1"/>
  <c r="E74" i="52"/>
  <c r="G74" i="52"/>
  <c r="C79" i="52"/>
  <c r="D79" i="52" s="1"/>
  <c r="C80" i="52"/>
  <c r="D80" i="52" s="1"/>
  <c r="E85" i="52"/>
  <c r="G85" i="52"/>
  <c r="E115" i="52"/>
  <c r="G115" i="52"/>
  <c r="E120" i="52"/>
  <c r="G120" i="52"/>
  <c r="C90" i="52"/>
  <c r="F90" i="52"/>
  <c r="C92" i="52"/>
  <c r="D92" i="52"/>
  <c r="F92" i="52"/>
  <c r="G92" i="52"/>
  <c r="H92" i="52" s="1"/>
  <c r="D94" i="52"/>
  <c r="G94" i="52" s="1"/>
  <c r="J94" i="52"/>
  <c r="D95" i="52"/>
  <c r="G95" i="52" s="1"/>
  <c r="J95" i="52"/>
  <c r="D96" i="52"/>
  <c r="G96" i="52"/>
  <c r="J96" i="52"/>
  <c r="D98" i="52"/>
  <c r="G98" i="52" s="1"/>
  <c r="J98" i="52"/>
  <c r="D99" i="52"/>
  <c r="G99" i="52" s="1"/>
  <c r="J99" i="52"/>
  <c r="C101" i="52"/>
  <c r="C103" i="52"/>
  <c r="F103" i="52"/>
  <c r="C105" i="52"/>
  <c r="D105" i="52"/>
  <c r="F105" i="52"/>
  <c r="J105" i="52"/>
  <c r="E14" i="51"/>
  <c r="D16" i="51"/>
  <c r="D18" i="51" s="1"/>
  <c r="D34" i="51"/>
  <c r="E34" i="51" s="1"/>
  <c r="D35" i="51"/>
  <c r="J36" i="51"/>
  <c r="D37" i="51"/>
  <c r="D38" i="51"/>
  <c r="D39" i="51"/>
  <c r="E85" i="51"/>
  <c r="C64" i="51"/>
  <c r="E69" i="51" s="1"/>
  <c r="D69" i="51"/>
  <c r="E71" i="51"/>
  <c r="G71" i="51"/>
  <c r="E72" i="51"/>
  <c r="G72" i="51"/>
  <c r="G75" i="51"/>
  <c r="G76" i="51"/>
  <c r="G78" i="51"/>
  <c r="F95" i="51" s="1"/>
  <c r="G79" i="51"/>
  <c r="F100" i="51" s="1"/>
  <c r="D81" i="51"/>
  <c r="E95" i="51"/>
  <c r="E4" i="50"/>
  <c r="E5" i="50"/>
  <c r="E6" i="50"/>
  <c r="E8" i="50"/>
  <c r="C23" i="50"/>
  <c r="D53" i="50" s="1"/>
  <c r="C32" i="50"/>
  <c r="E32" i="50"/>
  <c r="C33" i="50"/>
  <c r="C38" i="50" s="1"/>
  <c r="E38" i="50" s="1"/>
  <c r="C37" i="50"/>
  <c r="E37" i="50" s="1"/>
  <c r="C46" i="50"/>
  <c r="C58" i="50" s="1"/>
  <c r="E58" i="50" s="1"/>
  <c r="D46" i="50"/>
  <c r="D48" i="50"/>
  <c r="D49" i="50"/>
  <c r="D51" i="50"/>
  <c r="C53" i="50"/>
  <c r="C56" i="50"/>
  <c r="D58" i="50"/>
  <c r="B20" i="49"/>
  <c r="B22" i="49"/>
  <c r="A49" i="49" s="1"/>
  <c r="B23" i="49"/>
  <c r="B31" i="49"/>
  <c r="C41" i="49" s="1"/>
  <c r="A41" i="49"/>
  <c r="B41" i="49"/>
  <c r="B49" i="49"/>
  <c r="E49" i="49" s="1"/>
  <c r="C49" i="49"/>
  <c r="A56" i="49"/>
  <c r="F56" i="49" s="1"/>
  <c r="B56" i="49"/>
  <c r="D56" i="49" s="1"/>
  <c r="C56" i="49"/>
  <c r="A42" i="48"/>
  <c r="A50" i="48"/>
  <c r="B42" i="48"/>
  <c r="E42" i="48" s="1"/>
  <c r="C42" i="48"/>
  <c r="B50" i="48"/>
  <c r="C50" i="48"/>
  <c r="D5" i="47"/>
  <c r="D6" i="47"/>
  <c r="B7" i="47"/>
  <c r="D7" i="47" s="1"/>
  <c r="D10" i="47"/>
  <c r="H12" i="47"/>
  <c r="H13" i="47"/>
  <c r="C20" i="47"/>
  <c r="C22" i="47" s="1"/>
  <c r="C21" i="47"/>
  <c r="C25" i="47"/>
  <c r="C26" i="47"/>
  <c r="C38" i="47"/>
  <c r="C43" i="47"/>
  <c r="B22" i="46"/>
  <c r="B23" i="46"/>
  <c r="D40" i="46"/>
  <c r="E66" i="46" s="1"/>
  <c r="F40" i="46"/>
  <c r="E67" i="46" s="1"/>
  <c r="D42" i="46"/>
  <c r="F42" i="46"/>
  <c r="D43" i="46"/>
  <c r="F43" i="46"/>
  <c r="D44" i="46"/>
  <c r="F44" i="46"/>
  <c r="B45" i="46"/>
  <c r="D45" i="46"/>
  <c r="F45" i="46"/>
  <c r="B46" i="46"/>
  <c r="D46" i="46"/>
  <c r="F46" i="46"/>
  <c r="B48" i="46"/>
  <c r="D48" i="46"/>
  <c r="F48" i="46"/>
  <c r="D51" i="46"/>
  <c r="F51" i="46"/>
  <c r="C56" i="46"/>
  <c r="D56" i="46" s="1"/>
  <c r="C92" i="46" s="1"/>
  <c r="C57" i="46"/>
  <c r="D57" i="46" s="1"/>
  <c r="E63" i="46"/>
  <c r="G63" i="46"/>
  <c r="C66" i="46"/>
  <c r="D66" i="46" s="1"/>
  <c r="C67" i="46"/>
  <c r="D67" i="46" s="1"/>
  <c r="F93" i="46" s="1"/>
  <c r="E73" i="46"/>
  <c r="G73" i="46"/>
  <c r="C78" i="46"/>
  <c r="D78" i="46" s="1"/>
  <c r="E84" i="46"/>
  <c r="G84" i="46"/>
  <c r="E113" i="46"/>
  <c r="G113" i="46"/>
  <c r="E118" i="46"/>
  <c r="G118" i="46"/>
  <c r="C88" i="46"/>
  <c r="F88" i="46"/>
  <c r="C90" i="46"/>
  <c r="D90" i="46"/>
  <c r="F90" i="46"/>
  <c r="G90" i="46"/>
  <c r="D92" i="46"/>
  <c r="G92" i="46" s="1"/>
  <c r="J92" i="46"/>
  <c r="D93" i="46"/>
  <c r="G93" i="46" s="1"/>
  <c r="J93" i="46"/>
  <c r="D94" i="46"/>
  <c r="G94" i="46"/>
  <c r="J94" i="46"/>
  <c r="D96" i="46"/>
  <c r="G96" i="46" s="1"/>
  <c r="J96" i="46"/>
  <c r="D97" i="46"/>
  <c r="G97" i="46" s="1"/>
  <c r="J97" i="46"/>
  <c r="C99" i="46"/>
  <c r="D99" i="46"/>
  <c r="F99" i="46"/>
  <c r="G99" i="46"/>
  <c r="H99" i="46" s="1"/>
  <c r="C101" i="46"/>
  <c r="F101" i="46"/>
  <c r="C103" i="46"/>
  <c r="D103" i="46"/>
  <c r="G103" i="46" s="1"/>
  <c r="F103" i="46"/>
  <c r="J103" i="46"/>
  <c r="D10" i="45"/>
  <c r="D73" i="45" s="1"/>
  <c r="G73" i="45" s="1"/>
  <c r="C12" i="45"/>
  <c r="C14" i="45" s="1"/>
  <c r="C25" i="45"/>
  <c r="D25" i="45" s="1"/>
  <c r="I27" i="45" s="1"/>
  <c r="C26" i="45"/>
  <c r="D26" i="45" s="1"/>
  <c r="I28" i="45" s="1"/>
  <c r="C54" i="45" s="1"/>
  <c r="C27" i="45"/>
  <c r="C28" i="45"/>
  <c r="C29" i="45"/>
  <c r="C30" i="45"/>
  <c r="C32" i="45"/>
  <c r="D63" i="45" s="1"/>
  <c r="D51" i="45"/>
  <c r="C51" i="45"/>
  <c r="D53" i="45"/>
  <c r="F53" i="45"/>
  <c r="D54" i="45"/>
  <c r="F57" i="45"/>
  <c r="F58" i="45"/>
  <c r="F60" i="45"/>
  <c r="F61" i="45"/>
  <c r="E78" i="45" s="1"/>
  <c r="F63" i="45"/>
  <c r="E73" i="45"/>
  <c r="D4" i="44"/>
  <c r="D5" i="44"/>
  <c r="B6" i="44"/>
  <c r="B7" i="44" s="1"/>
  <c r="D7" i="44" s="1"/>
  <c r="D9" i="44"/>
  <c r="C15" i="44"/>
  <c r="C16" i="44"/>
  <c r="B61" i="44" s="1"/>
  <c r="B24" i="44"/>
  <c r="B25" i="44" s="1"/>
  <c r="B26" i="44" s="1"/>
  <c r="B29" i="44"/>
  <c r="B31" i="44" s="1"/>
  <c r="C51" i="44" s="1"/>
  <c r="B58" i="44"/>
  <c r="B72" i="44" s="1"/>
  <c r="C58" i="44"/>
  <c r="C60" i="44"/>
  <c r="C61" i="44"/>
  <c r="C64" i="44"/>
  <c r="E64" i="44"/>
  <c r="C65" i="44"/>
  <c r="E65" i="44"/>
  <c r="C72" i="44"/>
  <c r="E72" i="44"/>
  <c r="C84" i="44"/>
  <c r="F84" i="44" s="1"/>
  <c r="D84" i="44"/>
  <c r="C89" i="44"/>
  <c r="F89" i="44" s="1"/>
  <c r="D89" i="44"/>
  <c r="D95" i="44"/>
  <c r="D96" i="44"/>
  <c r="B97" i="44"/>
  <c r="B98" i="44" s="1"/>
  <c r="D98" i="44" s="1"/>
  <c r="D100" i="44"/>
  <c r="C106" i="44"/>
  <c r="C107" i="44"/>
  <c r="B180" i="44" s="1"/>
  <c r="B116" i="44"/>
  <c r="B121" i="44"/>
  <c r="A134" i="44"/>
  <c r="F134" i="44" s="1"/>
  <c r="B134" i="44"/>
  <c r="C134" i="44"/>
  <c r="B142" i="44"/>
  <c r="C142" i="44"/>
  <c r="B149" i="44"/>
  <c r="B163" i="44" s="1"/>
  <c r="C149" i="44"/>
  <c r="D149" i="44" s="1"/>
  <c r="E149" i="44" s="1"/>
  <c r="B151" i="44"/>
  <c r="C151" i="44"/>
  <c r="E151" i="44"/>
  <c r="C152" i="44"/>
  <c r="E152" i="44"/>
  <c r="C155" i="44"/>
  <c r="E155" i="44"/>
  <c r="C156" i="44"/>
  <c r="E156" i="44"/>
  <c r="C163" i="44"/>
  <c r="E163" i="44"/>
  <c r="C175" i="44"/>
  <c r="D175" i="44"/>
  <c r="C180" i="44"/>
  <c r="D180" i="44"/>
  <c r="D4" i="43"/>
  <c r="D5" i="43"/>
  <c r="B6" i="43"/>
  <c r="B7" i="43" s="1"/>
  <c r="D7" i="43" s="1"/>
  <c r="D6" i="43"/>
  <c r="D8" i="43" s="1"/>
  <c r="D10" i="43" s="1"/>
  <c r="D9" i="43"/>
  <c r="C15" i="43"/>
  <c r="B41" i="43" s="1"/>
  <c r="D41" i="43" s="1"/>
  <c r="C16" i="43"/>
  <c r="B45" i="43" s="1"/>
  <c r="D45" i="43" s="1"/>
  <c r="B26" i="43"/>
  <c r="E41" i="43" s="1"/>
  <c r="B31" i="43"/>
  <c r="E42" i="43" s="1"/>
  <c r="B39" i="43"/>
  <c r="B53" i="43" s="1"/>
  <c r="C39" i="43"/>
  <c r="D39" i="43"/>
  <c r="E39" i="43" s="1"/>
  <c r="C41" i="43"/>
  <c r="C42" i="43"/>
  <c r="C45" i="43"/>
  <c r="E45" i="43"/>
  <c r="C46" i="43"/>
  <c r="E46" i="43"/>
  <c r="C53" i="43"/>
  <c r="D53" i="43" s="1"/>
  <c r="F53" i="43" s="1"/>
  <c r="E53" i="43"/>
  <c r="F70" i="43"/>
  <c r="D4" i="42"/>
  <c r="D5" i="42"/>
  <c r="D6" i="42"/>
  <c r="B7" i="42"/>
  <c r="D7" i="42" s="1"/>
  <c r="D9" i="42"/>
  <c r="D19" i="42"/>
  <c r="D20" i="42" s="1"/>
  <c r="D23" i="42"/>
  <c r="B32" i="42" s="1"/>
  <c r="B35" i="42" s="1"/>
  <c r="B29" i="42"/>
  <c r="C29" i="42"/>
  <c r="D29" i="42"/>
  <c r="C31" i="42"/>
  <c r="C32" i="42"/>
  <c r="C34" i="42"/>
  <c r="C35" i="42"/>
  <c r="B42" i="42"/>
  <c r="C42" i="42"/>
  <c r="D4" i="41"/>
  <c r="D5" i="41"/>
  <c r="B6" i="41"/>
  <c r="D6" i="41" s="1"/>
  <c r="D9" i="41"/>
  <c r="C21" i="41"/>
  <c r="B29" i="41" s="1"/>
  <c r="C22" i="41"/>
  <c r="B30" i="41" s="1"/>
  <c r="B27" i="41"/>
  <c r="B40" i="41" s="1"/>
  <c r="D40" i="41" s="1"/>
  <c r="C27" i="41"/>
  <c r="C29" i="41"/>
  <c r="D29" i="41" s="1"/>
  <c r="C30" i="41"/>
  <c r="B32" i="41"/>
  <c r="D32" i="41" s="1"/>
  <c r="C32" i="41"/>
  <c r="C33" i="41"/>
  <c r="C40" i="41"/>
  <c r="D4" i="40"/>
  <c r="D5" i="40"/>
  <c r="D6" i="40"/>
  <c r="D8" i="40"/>
  <c r="C14" i="40"/>
  <c r="B49" i="40" s="1"/>
  <c r="C15" i="40"/>
  <c r="C22" i="40"/>
  <c r="C25" i="40"/>
  <c r="B35" i="40"/>
  <c r="E35" i="40" s="1"/>
  <c r="C35" i="40"/>
  <c r="A43" i="40"/>
  <c r="D43" i="40" s="1"/>
  <c r="B43" i="40"/>
  <c r="C43" i="40"/>
  <c r="B47" i="40"/>
  <c r="C47" i="40"/>
  <c r="C49" i="40"/>
  <c r="B50" i="40"/>
  <c r="B52" i="40" s="1"/>
  <c r="C50" i="40"/>
  <c r="D50" i="40" s="1"/>
  <c r="C52" i="40"/>
  <c r="C59" i="40"/>
  <c r="B70" i="40"/>
  <c r="B71" i="40"/>
  <c r="C80" i="40"/>
  <c r="D80" i="40"/>
  <c r="B82" i="40"/>
  <c r="C82" i="40"/>
  <c r="B83" i="40"/>
  <c r="B85" i="40" s="1"/>
  <c r="C83" i="40"/>
  <c r="C85" i="40"/>
  <c r="B92" i="40"/>
  <c r="C92" i="40"/>
  <c r="D4" i="39"/>
  <c r="D5" i="39"/>
  <c r="B6" i="39"/>
  <c r="B7" i="39" s="1"/>
  <c r="D7" i="39" s="1"/>
  <c r="D9" i="39"/>
  <c r="C14" i="39"/>
  <c r="C15" i="39"/>
  <c r="B28" i="39" s="1"/>
  <c r="B23" i="39"/>
  <c r="C23" i="39"/>
  <c r="B25" i="39"/>
  <c r="C25" i="39"/>
  <c r="C26" i="39"/>
  <c r="C28" i="39"/>
  <c r="C29" i="39"/>
  <c r="C36" i="39"/>
  <c r="A15" i="38"/>
  <c r="A16" i="38"/>
  <c r="C28" i="38"/>
  <c r="D47" i="38" s="1"/>
  <c r="E28" i="38"/>
  <c r="D38" i="38" s="1"/>
  <c r="C30" i="38"/>
  <c r="E30" i="38"/>
  <c r="C31" i="38"/>
  <c r="E31" i="38"/>
  <c r="C32" i="38"/>
  <c r="E32" i="38"/>
  <c r="B37" i="38"/>
  <c r="C37" i="38" s="1"/>
  <c r="B38" i="38"/>
  <c r="C38" i="38" s="1"/>
  <c r="D44" i="38"/>
  <c r="F44" i="38"/>
  <c r="C47" i="38"/>
  <c r="B48" i="38"/>
  <c r="D48" i="38"/>
  <c r="D54" i="38"/>
  <c r="F54" i="38"/>
  <c r="B57" i="38"/>
  <c r="C57" i="38" s="1"/>
  <c r="B59" i="38"/>
  <c r="C59" i="38" s="1"/>
  <c r="D65" i="38"/>
  <c r="F65" i="38"/>
  <c r="C22" i="37"/>
  <c r="A37" i="37" s="1"/>
  <c r="F37" i="37" s="1"/>
  <c r="C24" i="37"/>
  <c r="A60" i="37" s="1"/>
  <c r="C28" i="37"/>
  <c r="B37" i="37"/>
  <c r="E37" i="37" s="1"/>
  <c r="C37" i="37"/>
  <c r="B50" i="37"/>
  <c r="B60" i="37"/>
  <c r="C60" i="37"/>
  <c r="B77" i="37"/>
  <c r="A90" i="37" s="1"/>
  <c r="B78" i="37"/>
  <c r="A106" i="37" s="1"/>
  <c r="B90" i="37"/>
  <c r="C90" i="37"/>
  <c r="E90" i="37" s="1"/>
  <c r="B106" i="37"/>
  <c r="C106" i="37"/>
  <c r="B29" i="36"/>
  <c r="D29" i="36"/>
  <c r="F29" i="36"/>
  <c r="D4" i="35"/>
  <c r="D5" i="35"/>
  <c r="D6" i="35"/>
  <c r="D7" i="35"/>
  <c r="D9" i="35"/>
  <c r="C15" i="35"/>
  <c r="A36" i="35" s="1"/>
  <c r="C16" i="35"/>
  <c r="A44" i="35" s="1"/>
  <c r="C24" i="35"/>
  <c r="B36" i="35" s="1"/>
  <c r="C27" i="35"/>
  <c r="B44" i="35" s="1"/>
  <c r="C36" i="35"/>
  <c r="C44" i="35"/>
  <c r="F4" i="34"/>
  <c r="D23" i="34" s="1"/>
  <c r="F5" i="34"/>
  <c r="F6" i="34"/>
  <c r="D25" i="34" s="1"/>
  <c r="F7" i="34"/>
  <c r="D26" i="34" s="1"/>
  <c r="D21" i="34"/>
  <c r="D24" i="34"/>
  <c r="D28" i="34"/>
  <c r="F41" i="34"/>
  <c r="D61" i="34" s="1"/>
  <c r="F42" i="34"/>
  <c r="F43" i="34"/>
  <c r="D63" i="34" s="1"/>
  <c r="F44" i="34"/>
  <c r="D64" i="34" s="1"/>
  <c r="D62" i="34"/>
  <c r="D66" i="34"/>
  <c r="D12" i="33"/>
  <c r="D14" i="33" s="1"/>
  <c r="D17" i="33" s="1"/>
  <c r="C23" i="33"/>
  <c r="H26" i="33" s="1"/>
  <c r="E36" i="33" s="1"/>
  <c r="F36" i="33" s="1"/>
  <c r="D25" i="33"/>
  <c r="H25" i="33" s="1"/>
  <c r="E35" i="33" s="1"/>
  <c r="F35" i="33" s="1"/>
  <c r="D26" i="33"/>
  <c r="F33" i="33"/>
  <c r="F34" i="33"/>
  <c r="C16" i="32"/>
  <c r="C17" i="32" s="1"/>
  <c r="C19" i="32"/>
  <c r="C20" i="32" s="1"/>
  <c r="B27" i="32"/>
  <c r="E27" i="32" s="1"/>
  <c r="C27" i="32"/>
  <c r="B35" i="32"/>
  <c r="C35" i="32"/>
  <c r="J3" i="31"/>
  <c r="J4" i="31"/>
  <c r="D12" i="31"/>
  <c r="F12" i="31"/>
  <c r="B23" i="31"/>
  <c r="D23" i="31"/>
  <c r="F23" i="31"/>
  <c r="B45" i="31"/>
  <c r="F50" i="31" s="1"/>
  <c r="B50" i="31"/>
  <c r="D50" i="31"/>
  <c r="B60" i="44" l="1"/>
  <c r="A43" i="44"/>
  <c r="J50" i="31"/>
  <c r="I54" i="38"/>
  <c r="D42" i="42"/>
  <c r="D152" i="44"/>
  <c r="F152" i="44" s="1"/>
  <c r="E142" i="44"/>
  <c r="E36" i="35"/>
  <c r="B152" i="44"/>
  <c r="B156" i="44" s="1"/>
  <c r="D156" i="44" s="1"/>
  <c r="F156" i="44" s="1"/>
  <c r="A142" i="44"/>
  <c r="D142" i="44" s="1"/>
  <c r="D35" i="42"/>
  <c r="H70" i="43"/>
  <c r="D97" i="44"/>
  <c r="J84" i="46"/>
  <c r="C45" i="47"/>
  <c r="H23" i="31"/>
  <c r="D36" i="35"/>
  <c r="D83" i="40"/>
  <c r="B7" i="41"/>
  <c r="D7" i="41" s="1"/>
  <c r="I70" i="43"/>
  <c r="D151" i="44"/>
  <c r="F151" i="44" s="1"/>
  <c r="B175" i="44"/>
  <c r="G175" i="44" s="1"/>
  <c r="E106" i="37"/>
  <c r="H65" i="43"/>
  <c r="E7" i="50"/>
  <c r="E9" i="50" s="1"/>
  <c r="C78" i="52"/>
  <c r="D78" i="52" s="1"/>
  <c r="F96" i="52" s="1"/>
  <c r="H96" i="52" s="1"/>
  <c r="D8" i="35"/>
  <c r="I12" i="31"/>
  <c r="D82" i="40"/>
  <c r="D52" i="40"/>
  <c r="B31" i="42"/>
  <c r="D31" i="42" s="1"/>
  <c r="F175" i="44"/>
  <c r="B155" i="44"/>
  <c r="F50" i="48"/>
  <c r="J115" i="52"/>
  <c r="B84" i="44"/>
  <c r="G84" i="44" s="1"/>
  <c r="D58" i="44"/>
  <c r="E58" i="44" s="1"/>
  <c r="D72" i="44"/>
  <c r="F72" i="44" s="1"/>
  <c r="D49" i="49"/>
  <c r="F49" i="49"/>
  <c r="D60" i="44"/>
  <c r="B33" i="41"/>
  <c r="D30" i="41"/>
  <c r="D163" i="44"/>
  <c r="F163" i="44" s="1"/>
  <c r="E77" i="46"/>
  <c r="C27" i="47"/>
  <c r="J5" i="31"/>
  <c r="B12" i="31" s="1"/>
  <c r="D8" i="42"/>
  <c r="D10" i="42" s="1"/>
  <c r="F142" i="44"/>
  <c r="B64" i="44"/>
  <c r="D64" i="44" s="1"/>
  <c r="F64" i="44" s="1"/>
  <c r="E76" i="46"/>
  <c r="I50" i="31"/>
  <c r="D49" i="40"/>
  <c r="E35" i="32"/>
  <c r="D28" i="39"/>
  <c r="D92" i="40"/>
  <c r="A35" i="40"/>
  <c r="B51" i="44"/>
  <c r="E57" i="46"/>
  <c r="B8" i="47"/>
  <c r="J74" i="52"/>
  <c r="D10" i="35"/>
  <c r="D41" i="49"/>
  <c r="I23" i="31"/>
  <c r="D24" i="42"/>
  <c r="B42" i="43"/>
  <c r="B46" i="43" s="1"/>
  <c r="D46" i="43" s="1"/>
  <c r="F46" i="43" s="1"/>
  <c r="G180" i="44"/>
  <c r="D155" i="44"/>
  <c r="F155" i="44" s="1"/>
  <c r="A51" i="44"/>
  <c r="F51" i="44" s="1"/>
  <c r="D6" i="44"/>
  <c r="D8" i="44" s="1"/>
  <c r="D10" i="44" s="1"/>
  <c r="E51" i="45"/>
  <c r="F51" i="45" s="1"/>
  <c r="F68" i="45" s="1"/>
  <c r="D27" i="34"/>
  <c r="D29" i="34" s="1"/>
  <c r="D32" i="34" s="1"/>
  <c r="D33" i="41"/>
  <c r="H90" i="46"/>
  <c r="J113" i="46"/>
  <c r="E56" i="46"/>
  <c r="D53" i="40"/>
  <c r="D56" i="40" s="1"/>
  <c r="D58" i="40" s="1"/>
  <c r="A35" i="32"/>
  <c r="F35" i="32" s="1"/>
  <c r="D57" i="38"/>
  <c r="F43" i="40"/>
  <c r="D32" i="42"/>
  <c r="E180" i="44"/>
  <c r="E44" i="35"/>
  <c r="D90" i="37"/>
  <c r="D6" i="39"/>
  <c r="D85" i="40"/>
  <c r="D86" i="40" s="1"/>
  <c r="D89" i="40" s="1"/>
  <c r="D91" i="40" s="1"/>
  <c r="D93" i="40" s="1"/>
  <c r="D94" i="40" s="1"/>
  <c r="D134" i="44"/>
  <c r="E92" i="46"/>
  <c r="H14" i="47"/>
  <c r="H50" i="31"/>
  <c r="D37" i="38"/>
  <c r="D25" i="39"/>
  <c r="D27" i="41"/>
  <c r="E134" i="44"/>
  <c r="C40" i="47"/>
  <c r="E33" i="50"/>
  <c r="E34" i="50" s="1"/>
  <c r="C48" i="50" s="1"/>
  <c r="E48" i="50" s="1"/>
  <c r="D67" i="52"/>
  <c r="D69" i="52" s="1"/>
  <c r="C74" i="52" s="1"/>
  <c r="I74" i="52" s="1"/>
  <c r="E60" i="37"/>
  <c r="F106" i="37"/>
  <c r="D106" i="37"/>
  <c r="D37" i="37"/>
  <c r="D60" i="37"/>
  <c r="I29" i="36"/>
  <c r="J120" i="52"/>
  <c r="E94" i="52"/>
  <c r="J64" i="52"/>
  <c r="E105" i="52"/>
  <c r="E77" i="52"/>
  <c r="E68" i="52"/>
  <c r="J85" i="52"/>
  <c r="J48" i="52"/>
  <c r="G101" i="52" s="1"/>
  <c r="E92" i="52"/>
  <c r="I92" i="52" s="1"/>
  <c r="H95" i="52"/>
  <c r="E57" i="52"/>
  <c r="D51" i="52"/>
  <c r="D48" i="52"/>
  <c r="D103" i="52" s="1"/>
  <c r="E103" i="52" s="1"/>
  <c r="E35" i="51"/>
  <c r="D50" i="51" s="1"/>
  <c r="J35" i="51"/>
  <c r="D46" i="51"/>
  <c r="D45" i="51"/>
  <c r="D47" i="51" s="1"/>
  <c r="D71" i="51" s="1"/>
  <c r="H95" i="51"/>
  <c r="F69" i="51"/>
  <c r="J39" i="51"/>
  <c r="D56" i="50"/>
  <c r="E56" i="50" s="1"/>
  <c r="E46" i="50"/>
  <c r="E39" i="50"/>
  <c r="C49" i="50" s="1"/>
  <c r="C51" i="50" s="1"/>
  <c r="E51" i="50" s="1"/>
  <c r="E53" i="50"/>
  <c r="E41" i="49"/>
  <c r="F41" i="49"/>
  <c r="D50" i="48"/>
  <c r="F47" i="46"/>
  <c r="E103" i="46"/>
  <c r="C77" i="46"/>
  <c r="D77" i="46" s="1"/>
  <c r="F94" i="46" s="1"/>
  <c r="F96" i="46" s="1"/>
  <c r="F97" i="46" s="1"/>
  <c r="H97" i="46" s="1"/>
  <c r="E90" i="46"/>
  <c r="I90" i="46" s="1"/>
  <c r="J118" i="46"/>
  <c r="D68" i="46"/>
  <c r="C73" i="46" s="1"/>
  <c r="I73" i="46" s="1"/>
  <c r="C76" i="46"/>
  <c r="D76" i="46" s="1"/>
  <c r="C94" i="46" s="1"/>
  <c r="D47" i="46"/>
  <c r="D101" i="46" s="1"/>
  <c r="E101" i="46" s="1"/>
  <c r="J63" i="46"/>
  <c r="D49" i="46"/>
  <c r="D50" i="46" s="1"/>
  <c r="F49" i="46"/>
  <c r="F50" i="46" s="1"/>
  <c r="G101" i="46"/>
  <c r="H101" i="46" s="1"/>
  <c r="H93" i="46"/>
  <c r="H103" i="46"/>
  <c r="I103" i="46" s="1"/>
  <c r="K103" i="46" s="1"/>
  <c r="C93" i="46"/>
  <c r="J73" i="46"/>
  <c r="E99" i="46"/>
  <c r="I99" i="46" s="1"/>
  <c r="J99" i="46" s="1"/>
  <c r="C31" i="45"/>
  <c r="C33" i="45" s="1"/>
  <c r="I44" i="38"/>
  <c r="D58" i="38"/>
  <c r="I65" i="38"/>
  <c r="F45" i="34"/>
  <c r="F47" i="34" s="1"/>
  <c r="C50" i="34" s="1"/>
  <c r="D59" i="34" s="1"/>
  <c r="D65" i="34"/>
  <c r="D67" i="34" s="1"/>
  <c r="H101" i="52"/>
  <c r="D59" i="52"/>
  <c r="C64" i="52" s="1"/>
  <c r="F94" i="52"/>
  <c r="H94" i="52" s="1"/>
  <c r="D81" i="52"/>
  <c r="C96" i="52"/>
  <c r="G105" i="52"/>
  <c r="H105" i="52" s="1"/>
  <c r="F98" i="52"/>
  <c r="E58" i="52"/>
  <c r="F48" i="52"/>
  <c r="H46" i="52"/>
  <c r="H48" i="52" s="1"/>
  <c r="D101" i="52" s="1"/>
  <c r="E101" i="52" s="1"/>
  <c r="J41" i="52"/>
  <c r="C95" i="52"/>
  <c r="E95" i="52" s="1"/>
  <c r="E29" i="45"/>
  <c r="D60" i="45" s="1"/>
  <c r="C53" i="45"/>
  <c r="E28" i="45"/>
  <c r="D58" i="45" s="1"/>
  <c r="F42" i="48"/>
  <c r="D42" i="48"/>
  <c r="E30" i="45"/>
  <c r="F36" i="51"/>
  <c r="E75" i="51" s="1"/>
  <c r="D58" i="46"/>
  <c r="C63" i="46" s="1"/>
  <c r="F92" i="46"/>
  <c r="H92" i="46" s="1"/>
  <c r="F37" i="51"/>
  <c r="E76" i="51" s="1"/>
  <c r="C60" i="45"/>
  <c r="E54" i="45"/>
  <c r="G54" i="45" s="1"/>
  <c r="E27" i="45"/>
  <c r="D57" i="45" s="1"/>
  <c r="E93" i="46"/>
  <c r="E56" i="49"/>
  <c r="J37" i="51"/>
  <c r="E50" i="48"/>
  <c r="D40" i="51"/>
  <c r="J38" i="51"/>
  <c r="J34" i="51"/>
  <c r="F167" i="44"/>
  <c r="D167" i="44" s="1"/>
  <c r="E60" i="44"/>
  <c r="C43" i="44"/>
  <c r="B65" i="44"/>
  <c r="D65" i="44" s="1"/>
  <c r="F65" i="44" s="1"/>
  <c r="D61" i="44"/>
  <c r="F153" i="44"/>
  <c r="D166" i="44" s="1"/>
  <c r="D99" i="44"/>
  <c r="D101" i="44" s="1"/>
  <c r="E51" i="44"/>
  <c r="E175" i="44"/>
  <c r="F180" i="44"/>
  <c r="D157" i="44"/>
  <c r="D160" i="44" s="1"/>
  <c r="D162" i="44" s="1"/>
  <c r="D164" i="44" s="1"/>
  <c r="D165" i="44" s="1"/>
  <c r="B89" i="44"/>
  <c r="B43" i="44"/>
  <c r="E61" i="44"/>
  <c r="F41" i="43"/>
  <c r="C48" i="38"/>
  <c r="B58" i="38"/>
  <c r="C58" i="38" s="1"/>
  <c r="C39" i="38"/>
  <c r="B44" i="38" s="1"/>
  <c r="E43" i="40"/>
  <c r="G70" i="43"/>
  <c r="D47" i="40"/>
  <c r="B59" i="40"/>
  <c r="D59" i="40" s="1"/>
  <c r="D60" i="40" s="1"/>
  <c r="F45" i="43"/>
  <c r="F57" i="43" s="1"/>
  <c r="D57" i="43" s="1"/>
  <c r="D23" i="39"/>
  <c r="B36" i="39"/>
  <c r="D36" i="39" s="1"/>
  <c r="D8" i="39"/>
  <c r="D10" i="39" s="1"/>
  <c r="F35" i="40"/>
  <c r="D35" i="40"/>
  <c r="D7" i="40"/>
  <c r="D9" i="40" s="1"/>
  <c r="D8" i="41"/>
  <c r="D10" i="41" s="1"/>
  <c r="B26" i="39"/>
  <c r="B34" i="42"/>
  <c r="D34" i="42" s="1"/>
  <c r="D36" i="42" s="1"/>
  <c r="D39" i="42" s="1"/>
  <c r="D41" i="42" s="1"/>
  <c r="D43" i="42" s="1"/>
  <c r="D44" i="42" s="1"/>
  <c r="F44" i="35"/>
  <c r="D44" i="35"/>
  <c r="F37" i="33"/>
  <c r="F39" i="33" s="1"/>
  <c r="H29" i="36"/>
  <c r="J29" i="36"/>
  <c r="H12" i="31"/>
  <c r="J12" i="31"/>
  <c r="A27" i="32"/>
  <c r="F36" i="35"/>
  <c r="F90" i="37"/>
  <c r="F60" i="37"/>
  <c r="F8" i="34"/>
  <c r="F10" i="34" s="1"/>
  <c r="J23" i="31"/>
  <c r="D20" i="4"/>
  <c r="D15" i="4" s="1"/>
  <c r="G69" i="51" l="1"/>
  <c r="D42" i="43"/>
  <c r="F42" i="43" s="1"/>
  <c r="D34" i="41"/>
  <c r="D37" i="41" s="1"/>
  <c r="D39" i="41" s="1"/>
  <c r="D41" i="41" s="1"/>
  <c r="D42" i="41" s="1"/>
  <c r="F43" i="43"/>
  <c r="D56" i="43" s="1"/>
  <c r="E84" i="44"/>
  <c r="F60" i="44"/>
  <c r="F43" i="44"/>
  <c r="D70" i="34"/>
  <c r="D35" i="32"/>
  <c r="K73" i="46"/>
  <c r="F39" i="51"/>
  <c r="E100" i="51" s="1"/>
  <c r="H100" i="51" s="1"/>
  <c r="D47" i="43"/>
  <c r="D50" i="43" s="1"/>
  <c r="D52" i="43" s="1"/>
  <c r="D54" i="43" s="1"/>
  <c r="D55" i="43" s="1"/>
  <c r="D58" i="43" s="1"/>
  <c r="D51" i="44"/>
  <c r="F38" i="51"/>
  <c r="E78" i="51" s="1"/>
  <c r="F61" i="44"/>
  <c r="K74" i="52"/>
  <c r="D51" i="51"/>
  <c r="D52" i="51" s="1"/>
  <c r="D72" i="51" s="1"/>
  <c r="F72" i="51" s="1"/>
  <c r="H72" i="51" s="1"/>
  <c r="D168" i="44"/>
  <c r="F76" i="44"/>
  <c r="D76" i="44" s="1"/>
  <c r="H15" i="47"/>
  <c r="H16" i="47" s="1"/>
  <c r="D8" i="47"/>
  <c r="D9" i="47" s="1"/>
  <c r="D11" i="47" s="1"/>
  <c r="I101" i="52"/>
  <c r="J101" i="52" s="1"/>
  <c r="I105" i="52"/>
  <c r="K105" i="52" s="1"/>
  <c r="I95" i="52"/>
  <c r="K95" i="52" s="1"/>
  <c r="D75" i="51"/>
  <c r="D76" i="51" s="1"/>
  <c r="F76" i="51" s="1"/>
  <c r="H76" i="51" s="1"/>
  <c r="F71" i="51"/>
  <c r="H71" i="51" s="1"/>
  <c r="D78" i="51"/>
  <c r="E49" i="50"/>
  <c r="E52" i="50" s="1"/>
  <c r="E55" i="50" s="1"/>
  <c r="E57" i="50" s="1"/>
  <c r="E59" i="50" s="1"/>
  <c r="E60" i="50" s="1"/>
  <c r="E94" i="46"/>
  <c r="I94" i="46" s="1"/>
  <c r="K94" i="46" s="1"/>
  <c r="C96" i="46"/>
  <c r="C97" i="46" s="1"/>
  <c r="E97" i="46" s="1"/>
  <c r="I97" i="46" s="1"/>
  <c r="K97" i="46" s="1"/>
  <c r="D79" i="46"/>
  <c r="C118" i="46" s="1"/>
  <c r="H96" i="46"/>
  <c r="H94" i="46"/>
  <c r="I101" i="46"/>
  <c r="J101" i="46" s="1"/>
  <c r="C60" i="38"/>
  <c r="B65" i="38" s="1"/>
  <c r="H65" i="38" s="1"/>
  <c r="C115" i="52"/>
  <c r="C85" i="52"/>
  <c r="C120" i="52"/>
  <c r="I94" i="52"/>
  <c r="K94" i="52" s="1"/>
  <c r="I64" i="52"/>
  <c r="K64" i="52"/>
  <c r="J92" i="52"/>
  <c r="K92" i="52" s="1"/>
  <c r="F50" i="52"/>
  <c r="F51" i="52" s="1"/>
  <c r="G103" i="52"/>
  <c r="H103" i="52" s="1"/>
  <c r="I103" i="52" s="1"/>
  <c r="J103" i="52" s="1"/>
  <c r="E96" i="52"/>
  <c r="C98" i="52"/>
  <c r="H98" i="52"/>
  <c r="F99" i="52"/>
  <c r="H99" i="52" s="1"/>
  <c r="J90" i="46"/>
  <c r="K90" i="46" s="1"/>
  <c r="D42" i="51"/>
  <c r="E83" i="51"/>
  <c r="F83" i="51" s="1"/>
  <c r="G83" i="51" s="1"/>
  <c r="F75" i="51"/>
  <c r="H75" i="51" s="1"/>
  <c r="C61" i="45"/>
  <c r="E60" i="45"/>
  <c r="I92" i="46"/>
  <c r="K92" i="46" s="1"/>
  <c r="I93" i="46"/>
  <c r="K93" i="46" s="1"/>
  <c r="E53" i="45"/>
  <c r="C57" i="45"/>
  <c r="E96" i="46"/>
  <c r="K63" i="46"/>
  <c r="I63" i="46"/>
  <c r="D61" i="45"/>
  <c r="D78" i="45"/>
  <c r="G78" i="45" s="1"/>
  <c r="J40" i="51"/>
  <c r="E81" i="51" s="1"/>
  <c r="F81" i="51" s="1"/>
  <c r="G81" i="51" s="1"/>
  <c r="E89" i="44"/>
  <c r="G89" i="44"/>
  <c r="E43" i="44"/>
  <c r="D43" i="44"/>
  <c r="D66" i="44"/>
  <c r="D69" i="44" s="1"/>
  <c r="D71" i="44" s="1"/>
  <c r="D73" i="44" s="1"/>
  <c r="D74" i="44" s="1"/>
  <c r="C49" i="38"/>
  <c r="B54" i="38" s="1"/>
  <c r="B29" i="39"/>
  <c r="D29" i="39" s="1"/>
  <c r="D26" i="39"/>
  <c r="J44" i="38"/>
  <c r="H44" i="38"/>
  <c r="J65" i="38"/>
  <c r="D61" i="40"/>
  <c r="I65" i="43"/>
  <c r="G65" i="43"/>
  <c r="D27" i="32"/>
  <c r="F27" i="32"/>
  <c r="E141" i="14"/>
  <c r="F129" i="14"/>
  <c r="E116" i="15"/>
  <c r="C84" i="46" l="1"/>
  <c r="F78" i="51"/>
  <c r="H98" i="46"/>
  <c r="H100" i="46" s="1"/>
  <c r="H102" i="46" s="1"/>
  <c r="H104" i="46" s="1"/>
  <c r="H105" i="46" s="1"/>
  <c r="G90" i="51"/>
  <c r="F62" i="44"/>
  <c r="D75" i="44" s="1"/>
  <c r="D77" i="44" s="1"/>
  <c r="H73" i="51"/>
  <c r="F88" i="51" s="1"/>
  <c r="D79" i="51"/>
  <c r="D85" i="51" s="1"/>
  <c r="F85" i="51" s="1"/>
  <c r="H85" i="51" s="1"/>
  <c r="E79" i="51"/>
  <c r="F79" i="51" s="1"/>
  <c r="F80" i="51" s="1"/>
  <c r="F82" i="51" s="1"/>
  <c r="F84" i="51" s="1"/>
  <c r="F86" i="51" s="1"/>
  <c r="F87" i="51" s="1"/>
  <c r="D30" i="39"/>
  <c r="D33" i="39" s="1"/>
  <c r="D35" i="39" s="1"/>
  <c r="D37" i="39" s="1"/>
  <c r="D38" i="39" s="1"/>
  <c r="H100" i="52"/>
  <c r="H102" i="52" s="1"/>
  <c r="H104" i="52" s="1"/>
  <c r="H106" i="52" s="1"/>
  <c r="H107" i="52" s="1"/>
  <c r="I96" i="46"/>
  <c r="K96" i="46" s="1"/>
  <c r="K107" i="46" s="1"/>
  <c r="I107" i="46" s="1"/>
  <c r="C113" i="46"/>
  <c r="I113" i="46" s="1"/>
  <c r="K95" i="46"/>
  <c r="I106" i="46" s="1"/>
  <c r="J108" i="46"/>
  <c r="K118" i="46"/>
  <c r="I118" i="46"/>
  <c r="K84" i="46"/>
  <c r="I84" i="46"/>
  <c r="K120" i="52"/>
  <c r="I120" i="52"/>
  <c r="K85" i="52"/>
  <c r="I85" i="52"/>
  <c r="C99" i="52"/>
  <c r="E99" i="52" s="1"/>
  <c r="I99" i="52" s="1"/>
  <c r="K99" i="52" s="1"/>
  <c r="E98" i="52"/>
  <c r="I98" i="52" s="1"/>
  <c r="K98" i="52" s="1"/>
  <c r="I115" i="52"/>
  <c r="K115" i="52"/>
  <c r="I96" i="52"/>
  <c r="K96" i="52" s="1"/>
  <c r="K97" i="52" s="1"/>
  <c r="I108" i="52" s="1"/>
  <c r="J110" i="52"/>
  <c r="E57" i="45"/>
  <c r="G57" i="45" s="1"/>
  <c r="C58" i="45"/>
  <c r="E58" i="45" s="1"/>
  <c r="G58" i="45" s="1"/>
  <c r="G53" i="45"/>
  <c r="G55" i="45" s="1"/>
  <c r="E66" i="45" s="1"/>
  <c r="E98" i="46"/>
  <c r="E61" i="45"/>
  <c r="C63" i="45"/>
  <c r="E63" i="45" s="1"/>
  <c r="G63" i="45" s="1"/>
  <c r="D95" i="51"/>
  <c r="H78" i="51"/>
  <c r="G60" i="45"/>
  <c r="C73" i="45"/>
  <c r="J54" i="38"/>
  <c r="H54" i="38"/>
  <c r="C5" i="23"/>
  <c r="C34" i="20"/>
  <c r="C33" i="20"/>
  <c r="H27" i="30"/>
  <c r="F27" i="30"/>
  <c r="E27" i="30" s="1"/>
  <c r="D25" i="30"/>
  <c r="D26" i="30" s="1"/>
  <c r="H20" i="30"/>
  <c r="F20" i="30"/>
  <c r="E20" i="30" s="1"/>
  <c r="H18" i="30"/>
  <c r="F18" i="30"/>
  <c r="D18" i="30"/>
  <c r="F6" i="30"/>
  <c r="D6" i="30" s="1"/>
  <c r="D5" i="30"/>
  <c r="H23" i="30" s="1"/>
  <c r="D4" i="30"/>
  <c r="H22" i="30" s="1"/>
  <c r="F25" i="29"/>
  <c r="D25" i="29"/>
  <c r="C25" i="29" s="1"/>
  <c r="B23" i="29"/>
  <c r="B24" i="29" s="1"/>
  <c r="F22" i="29"/>
  <c r="D22" i="29"/>
  <c r="C22" i="29" s="1"/>
  <c r="F21" i="29"/>
  <c r="D21" i="29"/>
  <c r="C21" i="29" s="1"/>
  <c r="F20" i="29"/>
  <c r="D20" i="29"/>
  <c r="F18" i="29"/>
  <c r="D18" i="29"/>
  <c r="F16" i="29"/>
  <c r="D16" i="29"/>
  <c r="B16" i="29"/>
  <c r="B7" i="29"/>
  <c r="G26" i="28"/>
  <c r="E26" i="28"/>
  <c r="D24" i="28"/>
  <c r="D25" i="28" s="1"/>
  <c r="H23" i="28"/>
  <c r="F23" i="28"/>
  <c r="E23" i="28" s="1"/>
  <c r="H22" i="28"/>
  <c r="F22" i="28"/>
  <c r="E22" i="28" s="1"/>
  <c r="H21" i="28"/>
  <c r="F21" i="28"/>
  <c r="H19" i="28"/>
  <c r="F19" i="28"/>
  <c r="H17" i="28"/>
  <c r="F17" i="28"/>
  <c r="D17" i="28"/>
  <c r="G19" i="28" l="1"/>
  <c r="K113" i="46"/>
  <c r="H24" i="28"/>
  <c r="E22" i="29"/>
  <c r="G86" i="51"/>
  <c r="K109" i="52"/>
  <c r="I109" i="52" s="1"/>
  <c r="E100" i="52"/>
  <c r="E102" i="52" s="1"/>
  <c r="E104" i="52" s="1"/>
  <c r="H73" i="45"/>
  <c r="F73" i="45"/>
  <c r="G95" i="51"/>
  <c r="I95" i="51"/>
  <c r="E62" i="45"/>
  <c r="E64" i="45" s="1"/>
  <c r="E65" i="45" s="1"/>
  <c r="I98" i="46"/>
  <c r="I100" i="46" s="1"/>
  <c r="I102" i="46" s="1"/>
  <c r="I104" i="46" s="1"/>
  <c r="I105" i="46" s="1"/>
  <c r="I108" i="46" s="1"/>
  <c r="E100" i="46"/>
  <c r="E102" i="46" s="1"/>
  <c r="E104" i="46" s="1"/>
  <c r="E105" i="46" s="1"/>
  <c r="G61" i="45"/>
  <c r="G67" i="45" s="1"/>
  <c r="E67" i="45" s="1"/>
  <c r="C78" i="45"/>
  <c r="H79" i="51"/>
  <c r="D100" i="51"/>
  <c r="E21" i="29"/>
  <c r="H25" i="28"/>
  <c r="H27" i="28" s="1"/>
  <c r="D23" i="29"/>
  <c r="C23" i="29" s="1"/>
  <c r="F24" i="28"/>
  <c r="E24" i="28" s="1"/>
  <c r="F23" i="29"/>
  <c r="F24" i="29" s="1"/>
  <c r="F26" i="29" s="1"/>
  <c r="G22" i="28"/>
  <c r="G23" i="28"/>
  <c r="E25" i="29"/>
  <c r="G27" i="30"/>
  <c r="B26" i="29"/>
  <c r="D28" i="30"/>
  <c r="D27" i="28"/>
  <c r="H24" i="30"/>
  <c r="F24" i="30"/>
  <c r="E24" i="30" s="1"/>
  <c r="C18" i="29"/>
  <c r="E18" i="29"/>
  <c r="C20" i="29"/>
  <c r="E20" i="29"/>
  <c r="G20" i="30"/>
  <c r="E19" i="28"/>
  <c r="E21" i="28"/>
  <c r="G21" i="28"/>
  <c r="D7" i="30"/>
  <c r="D9" i="30" s="1"/>
  <c r="F22" i="30"/>
  <c r="F23" i="30"/>
  <c r="E23" i="30" s="1"/>
  <c r="I100" i="52" l="1"/>
  <c r="I102" i="52" s="1"/>
  <c r="I104" i="52" s="1"/>
  <c r="I106" i="52" s="1"/>
  <c r="I107" i="52" s="1"/>
  <c r="I110" i="52" s="1"/>
  <c r="E106" i="52"/>
  <c r="E107" i="52" s="1"/>
  <c r="E23" i="29"/>
  <c r="H89" i="51"/>
  <c r="F89" i="51" s="1"/>
  <c r="F90" i="51" s="1"/>
  <c r="G24" i="30"/>
  <c r="I100" i="51"/>
  <c r="G100" i="51"/>
  <c r="F78" i="45"/>
  <c r="H78" i="45"/>
  <c r="E68" i="45"/>
  <c r="G24" i="28"/>
  <c r="F25" i="28"/>
  <c r="G25" i="28" s="1"/>
  <c r="D24" i="29"/>
  <c r="F25" i="30"/>
  <c r="E22" i="30"/>
  <c r="H25" i="30"/>
  <c r="G23" i="30"/>
  <c r="G22" i="30"/>
  <c r="E25" i="28" l="1"/>
  <c r="F27" i="28"/>
  <c r="G27" i="28" s="1"/>
  <c r="D26" i="29"/>
  <c r="E24" i="29"/>
  <c r="C24" i="29"/>
  <c r="G25" i="30"/>
  <c r="H26" i="30"/>
  <c r="H28" i="30" s="1"/>
  <c r="E25" i="30"/>
  <c r="F26" i="30"/>
  <c r="E27" i="28" l="1"/>
  <c r="E26" i="29"/>
  <c r="C26" i="29"/>
  <c r="F28" i="30"/>
  <c r="G26" i="30"/>
  <c r="E26" i="30"/>
  <c r="G28" i="30" l="1"/>
  <c r="E28" i="30"/>
  <c r="C12" i="15" l="1"/>
  <c r="F12" i="15" s="1"/>
  <c r="D108" i="15" s="1"/>
  <c r="G100" i="14"/>
  <c r="E47" i="14"/>
  <c r="H47" i="14" s="1"/>
  <c r="E123" i="14" s="1"/>
  <c r="E34" i="14"/>
  <c r="H34" i="14" s="1"/>
  <c r="E121" i="14" s="1"/>
  <c r="C36" i="12"/>
  <c r="F36" i="12" s="1"/>
  <c r="D113" i="12" s="1"/>
  <c r="C27" i="12"/>
  <c r="F27" i="12" s="1"/>
  <c r="D111" i="12" s="1"/>
  <c r="F79" i="9"/>
  <c r="E79" i="9"/>
  <c r="E107" i="27"/>
  <c r="B102" i="27"/>
  <c r="C101" i="27"/>
  <c r="B101" i="27"/>
  <c r="B100" i="27"/>
  <c r="C99" i="27"/>
  <c r="B99" i="27"/>
  <c r="C98" i="27"/>
  <c r="B98" i="27"/>
  <c r="G93" i="27"/>
  <c r="G92" i="27"/>
  <c r="E84" i="27"/>
  <c r="G84" i="27" s="1"/>
  <c r="D75" i="27"/>
  <c r="D74" i="27"/>
  <c r="F72" i="27"/>
  <c r="D58" i="27"/>
  <c r="C58" i="27"/>
  <c r="D41" i="27"/>
  <c r="D40" i="27"/>
  <c r="D42" i="27" s="1"/>
  <c r="C74" i="27" s="1"/>
  <c r="D36" i="27"/>
  <c r="D35" i="27"/>
  <c r="D37" i="27" s="1"/>
  <c r="C49" i="27"/>
  <c r="C51" i="27" s="1"/>
  <c r="C23" i="27"/>
  <c r="B22" i="27"/>
  <c r="C21" i="27"/>
  <c r="C18" i="27"/>
  <c r="C15" i="27"/>
  <c r="C14" i="27"/>
  <c r="C7" i="27"/>
  <c r="D82" i="27" s="1"/>
  <c r="E82" i="27" s="1"/>
  <c r="F82" i="27" s="1"/>
  <c r="D161" i="9"/>
  <c r="D160" i="9"/>
  <c r="D158" i="9"/>
  <c r="D157" i="9"/>
  <c r="D129" i="9"/>
  <c r="E125" i="9"/>
  <c r="D121" i="9"/>
  <c r="D80" i="9"/>
  <c r="C80" i="9"/>
  <c r="D74" i="9"/>
  <c r="C74" i="9"/>
  <c r="D113" i="9"/>
  <c r="F93" i="9" s="1"/>
  <c r="G93" i="9" s="1"/>
  <c r="H93" i="9" s="1"/>
  <c r="I104" i="9"/>
  <c r="I105" i="9" s="1"/>
  <c r="D176" i="9" s="1"/>
  <c r="I97" i="9"/>
  <c r="F97" i="9"/>
  <c r="B129" i="9" s="1"/>
  <c r="E95" i="9"/>
  <c r="G95" i="9" s="1"/>
  <c r="H95" i="9" s="1"/>
  <c r="F91" i="9"/>
  <c r="C121" i="9" s="1"/>
  <c r="E91" i="9"/>
  <c r="F89" i="9"/>
  <c r="G89" i="9" s="1"/>
  <c r="I89" i="9" s="1"/>
  <c r="F88" i="9"/>
  <c r="G88" i="9" s="1"/>
  <c r="G86" i="9"/>
  <c r="H86" i="9" s="1"/>
  <c r="E58" i="9"/>
  <c r="B58" i="9"/>
  <c r="E57" i="9"/>
  <c r="B57" i="9"/>
  <c r="E53" i="9"/>
  <c r="E52" i="9"/>
  <c r="E37" i="9"/>
  <c r="E34" i="9"/>
  <c r="E16" i="9"/>
  <c r="E30" i="9" s="1"/>
  <c r="E15" i="9"/>
  <c r="E29" i="9" s="1"/>
  <c r="E14" i="9"/>
  <c r="E28" i="9" s="1"/>
  <c r="D98" i="10"/>
  <c r="D94" i="10" s="1"/>
  <c r="G94" i="10" s="1"/>
  <c r="B98" i="10"/>
  <c r="D97" i="10"/>
  <c r="D93" i="10" s="1"/>
  <c r="B97" i="10"/>
  <c r="E94" i="10"/>
  <c r="E93" i="10"/>
  <c r="C41" i="10"/>
  <c r="C51" i="10" s="1"/>
  <c r="C38" i="10"/>
  <c r="C50" i="10" s="1"/>
  <c r="C54" i="10" s="1"/>
  <c r="E54" i="10" s="1"/>
  <c r="E71" i="10"/>
  <c r="G71" i="10" s="1"/>
  <c r="E70" i="10"/>
  <c r="G70" i="10" s="1"/>
  <c r="E69" i="10"/>
  <c r="G69" i="10" s="1"/>
  <c r="E48" i="10"/>
  <c r="F48" i="10" s="1"/>
  <c r="D15" i="10"/>
  <c r="D14" i="10"/>
  <c r="D19" i="10" s="1"/>
  <c r="D59" i="10" s="1"/>
  <c r="E59" i="10" s="1"/>
  <c r="F59" i="10" s="1"/>
  <c r="D11" i="10"/>
  <c r="D9" i="10"/>
  <c r="D7" i="10"/>
  <c r="C35" i="10" s="1"/>
  <c r="F35" i="10" s="1"/>
  <c r="D6" i="10"/>
  <c r="D4" i="10"/>
  <c r="C27" i="10" s="1"/>
  <c r="F27" i="10" s="1"/>
  <c r="E107" i="12"/>
  <c r="D119" i="12" s="1"/>
  <c r="E106" i="12"/>
  <c r="D118" i="12" s="1"/>
  <c r="B84" i="12"/>
  <c r="B83" i="12"/>
  <c r="F80" i="12"/>
  <c r="G78" i="12"/>
  <c r="F78" i="12"/>
  <c r="E78" i="12"/>
  <c r="I70" i="12"/>
  <c r="I72" i="12" s="1"/>
  <c r="G72" i="12" s="1"/>
  <c r="D117" i="12" s="1"/>
  <c r="G56" i="12"/>
  <c r="G62" i="12" s="1"/>
  <c r="I54" i="12"/>
  <c r="I66" i="12" s="1"/>
  <c r="G66" i="12" s="1"/>
  <c r="I51" i="12"/>
  <c r="I50" i="12"/>
  <c r="G48" i="12"/>
  <c r="G64" i="12" s="1"/>
  <c r="E39" i="12"/>
  <c r="E51" i="12" s="1"/>
  <c r="E54" i="12" s="1"/>
  <c r="E30" i="12"/>
  <c r="E50" i="12" s="1"/>
  <c r="E14" i="12"/>
  <c r="E13" i="12"/>
  <c r="F10" i="12"/>
  <c r="E3" i="12"/>
  <c r="E2" i="12"/>
  <c r="E1" i="12"/>
  <c r="E12" i="12" s="1"/>
  <c r="I91" i="14"/>
  <c r="I90" i="14"/>
  <c r="G67" i="14"/>
  <c r="H67" i="14" s="1"/>
  <c r="E138" i="14" s="1"/>
  <c r="E106" i="14"/>
  <c r="F100" i="14" s="1"/>
  <c r="I100" i="14" s="1"/>
  <c r="E126" i="14" s="1"/>
  <c r="E103" i="14"/>
  <c r="E100" i="14" s="1"/>
  <c r="E62" i="14"/>
  <c r="E61" i="14"/>
  <c r="E60" i="14"/>
  <c r="E53" i="14"/>
  <c r="E52" i="14"/>
  <c r="E38" i="14"/>
  <c r="E37" i="14"/>
  <c r="E20" i="14"/>
  <c r="E19" i="14"/>
  <c r="E18" i="14"/>
  <c r="E16" i="14"/>
  <c r="E137" i="14" s="1"/>
  <c r="D7" i="14"/>
  <c r="E7" i="14" s="1"/>
  <c r="E8" i="14" s="1"/>
  <c r="E12" i="14" s="1"/>
  <c r="E120" i="14" s="1"/>
  <c r="E129" i="15"/>
  <c r="D115" i="15" s="1"/>
  <c r="E123" i="15"/>
  <c r="D116" i="15" s="1"/>
  <c r="F100" i="15"/>
  <c r="F102" i="15" s="1"/>
  <c r="D107" i="15" s="1"/>
  <c r="E92" i="15"/>
  <c r="E91" i="15"/>
  <c r="E90" i="15"/>
  <c r="E89" i="15"/>
  <c r="F88" i="15"/>
  <c r="F81" i="15"/>
  <c r="F79" i="15"/>
  <c r="D75" i="15" s="1"/>
  <c r="H76" i="15"/>
  <c r="G76" i="15"/>
  <c r="E75" i="15"/>
  <c r="H75" i="15" s="1"/>
  <c r="D113" i="15" s="1"/>
  <c r="H65" i="15"/>
  <c r="H64" i="15"/>
  <c r="F55" i="15"/>
  <c r="H55" i="15" s="1"/>
  <c r="F53" i="15"/>
  <c r="G53" i="15" s="1"/>
  <c r="F43" i="15"/>
  <c r="G43" i="15" s="1"/>
  <c r="D38" i="15"/>
  <c r="E51" i="15" s="1"/>
  <c r="F51" i="15" s="1"/>
  <c r="G51" i="15" s="1"/>
  <c r="D28" i="15"/>
  <c r="D30" i="15" s="1"/>
  <c r="D46" i="15" s="1"/>
  <c r="C25" i="15"/>
  <c r="C23" i="15" s="1"/>
  <c r="F23" i="15" s="1"/>
  <c r="D110" i="15" s="1"/>
  <c r="D15" i="15"/>
  <c r="D17" i="15" s="1"/>
  <c r="D6" i="15"/>
  <c r="F94" i="11"/>
  <c r="E90" i="11" s="1"/>
  <c r="F93" i="11"/>
  <c r="E89" i="11" s="1"/>
  <c r="E84" i="11"/>
  <c r="E82" i="11"/>
  <c r="I71" i="11"/>
  <c r="I70" i="11"/>
  <c r="I69" i="11"/>
  <c r="G61" i="11"/>
  <c r="H61" i="11" s="1"/>
  <c r="G48" i="11"/>
  <c r="H48" i="11" s="1"/>
  <c r="E42" i="11"/>
  <c r="E41" i="11"/>
  <c r="E43" i="11" s="1"/>
  <c r="E52" i="11" s="1"/>
  <c r="G52" i="11" s="1"/>
  <c r="C37" i="11"/>
  <c r="F37" i="11" s="1"/>
  <c r="E27" i="11"/>
  <c r="E51" i="11" s="1"/>
  <c r="G51" i="11" s="1"/>
  <c r="I51" i="11" s="1"/>
  <c r="E21" i="11"/>
  <c r="E23" i="11" s="1"/>
  <c r="D16" i="11"/>
  <c r="D15" i="11"/>
  <c r="H4" i="11"/>
  <c r="H3" i="11"/>
  <c r="E3" i="11"/>
  <c r="H2" i="11"/>
  <c r="E2" i="11"/>
  <c r="E112" i="20"/>
  <c r="D93" i="20" s="1"/>
  <c r="G93" i="20" s="1"/>
  <c r="E98" i="20"/>
  <c r="D98" i="20"/>
  <c r="C98" i="20"/>
  <c r="C93" i="20"/>
  <c r="G92" i="20"/>
  <c r="F92" i="20"/>
  <c r="F77" i="20"/>
  <c r="H77" i="20" s="1"/>
  <c r="D71" i="20"/>
  <c r="F71" i="20" s="1"/>
  <c r="H71" i="20" s="1"/>
  <c r="F68" i="20"/>
  <c r="H68" i="20" s="1"/>
  <c r="D67" i="20"/>
  <c r="F67" i="20" s="1"/>
  <c r="H67" i="20" s="1"/>
  <c r="G64" i="20"/>
  <c r="E64" i="20"/>
  <c r="F51" i="20"/>
  <c r="E51" i="20"/>
  <c r="G34" i="20"/>
  <c r="F34" i="20"/>
  <c r="G33" i="20"/>
  <c r="F33" i="20"/>
  <c r="E18" i="20"/>
  <c r="E17" i="20"/>
  <c r="E10" i="20"/>
  <c r="E7" i="20"/>
  <c r="E4" i="20"/>
  <c r="E16" i="20" s="1"/>
  <c r="E3" i="20"/>
  <c r="D66" i="20" s="1"/>
  <c r="H95" i="23"/>
  <c r="F94" i="23"/>
  <c r="F96" i="23" s="1"/>
  <c r="F89" i="23"/>
  <c r="E69" i="23"/>
  <c r="E68" i="23"/>
  <c r="E70" i="23" s="1"/>
  <c r="C64" i="23"/>
  <c r="D52" i="23" s="1"/>
  <c r="G52" i="23" s="1"/>
  <c r="C63" i="23"/>
  <c r="D47" i="23" s="1"/>
  <c r="G47" i="23" s="1"/>
  <c r="C59" i="23"/>
  <c r="C52" i="23" s="1"/>
  <c r="F52" i="23" s="1"/>
  <c r="C58" i="23"/>
  <c r="C47" i="23" s="1"/>
  <c r="G46" i="23"/>
  <c r="F46" i="23"/>
  <c r="H36" i="23"/>
  <c r="E36" i="23"/>
  <c r="H34" i="23"/>
  <c r="E34" i="23"/>
  <c r="E32" i="23"/>
  <c r="I32" i="23" s="1"/>
  <c r="J32" i="23" s="1"/>
  <c r="H29" i="23"/>
  <c r="E29" i="23"/>
  <c r="K25" i="23"/>
  <c r="I23" i="23"/>
  <c r="J23" i="23" s="1"/>
  <c r="G23" i="23"/>
  <c r="D23" i="23"/>
  <c r="E18" i="23"/>
  <c r="E10" i="23"/>
  <c r="F26" i="23" s="1"/>
  <c r="H26" i="23" s="1"/>
  <c r="E9" i="23"/>
  <c r="E8" i="23"/>
  <c r="F5" i="23"/>
  <c r="D22" i="4"/>
  <c r="C15" i="4" s="1"/>
  <c r="F15" i="4" s="1"/>
  <c r="E4" i="4"/>
  <c r="E7" i="4" s="1"/>
  <c r="F121" i="9" l="1"/>
  <c r="D174" i="9" s="1"/>
  <c r="C16" i="11"/>
  <c r="H5" i="11"/>
  <c r="E16" i="11" s="1"/>
  <c r="I29" i="23"/>
  <c r="K29" i="23" s="1"/>
  <c r="E85" i="11"/>
  <c r="F59" i="11" s="1"/>
  <c r="G59" i="11" s="1"/>
  <c r="H59" i="11" s="1"/>
  <c r="H73" i="11" s="1"/>
  <c r="I52" i="12"/>
  <c r="G65" i="12" s="1"/>
  <c r="H31" i="23"/>
  <c r="H33" i="23" s="1"/>
  <c r="H35" i="23" s="1"/>
  <c r="H37" i="23" s="1"/>
  <c r="H39" i="23" s="1"/>
  <c r="E74" i="27"/>
  <c r="E20" i="20"/>
  <c r="E21" i="20" s="1"/>
  <c r="E22" i="20" s="1"/>
  <c r="E5" i="11"/>
  <c r="E15" i="11" s="1"/>
  <c r="E93" i="15"/>
  <c r="F93" i="15" s="1"/>
  <c r="F67" i="10"/>
  <c r="F73" i="10" s="1"/>
  <c r="E59" i="9"/>
  <c r="B74" i="9" s="1"/>
  <c r="E74" i="9" s="1"/>
  <c r="D169" i="9" s="1"/>
  <c r="D163" i="9"/>
  <c r="D177" i="9" s="1"/>
  <c r="I34" i="23"/>
  <c r="J34" i="23" s="1"/>
  <c r="J42" i="23" s="1"/>
  <c r="C19" i="27"/>
  <c r="C22" i="27" s="1"/>
  <c r="E146" i="14"/>
  <c r="E129" i="14" s="1"/>
  <c r="I72" i="11"/>
  <c r="G72" i="11" s="1"/>
  <c r="F16" i="11"/>
  <c r="C26" i="23"/>
  <c r="E26" i="23" s="1"/>
  <c r="I36" i="23"/>
  <c r="K36" i="23" s="1"/>
  <c r="K41" i="23" s="1"/>
  <c r="I41" i="23" s="1"/>
  <c r="F97" i="23"/>
  <c r="F100" i="23" s="1"/>
  <c r="G15" i="11"/>
  <c r="G16" i="11"/>
  <c r="E39" i="14"/>
  <c r="E69" i="14" s="1"/>
  <c r="G69" i="14" s="1"/>
  <c r="I69" i="14" s="1"/>
  <c r="E54" i="14"/>
  <c r="E70" i="14" s="1"/>
  <c r="E63" i="14"/>
  <c r="F77" i="14" s="1"/>
  <c r="G77" i="14" s="1"/>
  <c r="H77" i="14" s="1"/>
  <c r="I92" i="14"/>
  <c r="E15" i="12"/>
  <c r="F15" i="12" s="1"/>
  <c r="F16" i="12" s="1"/>
  <c r="F18" i="12" s="1"/>
  <c r="D110" i="12" s="1"/>
  <c r="F58" i="27"/>
  <c r="E15" i="4"/>
  <c r="G15" i="4" s="1"/>
  <c r="B27" i="10"/>
  <c r="E27" i="10" s="1"/>
  <c r="B35" i="10"/>
  <c r="E35" i="10" s="1"/>
  <c r="F47" i="23"/>
  <c r="D55" i="23" s="1"/>
  <c r="F98" i="20"/>
  <c r="E66" i="20"/>
  <c r="F66" i="20" s="1"/>
  <c r="F93" i="20"/>
  <c r="B23" i="15"/>
  <c r="E23" i="15" s="1"/>
  <c r="D111" i="15" s="1"/>
  <c r="H66" i="15"/>
  <c r="F66" i="15" s="1"/>
  <c r="D114" i="15" s="1"/>
  <c r="G75" i="15"/>
  <c r="D112" i="15" s="1"/>
  <c r="D45" i="15"/>
  <c r="F45" i="15" s="1"/>
  <c r="H45" i="15" s="1"/>
  <c r="B12" i="15"/>
  <c r="E12" i="15" s="1"/>
  <c r="D109" i="15" s="1"/>
  <c r="G61" i="15"/>
  <c r="G67" i="15" s="1"/>
  <c r="D47" i="14"/>
  <c r="G47" i="14" s="1"/>
  <c r="E124" i="14" s="1"/>
  <c r="E21" i="14"/>
  <c r="F79" i="14" s="1"/>
  <c r="G79" i="14" s="1"/>
  <c r="H79" i="14" s="1"/>
  <c r="H87" i="14" s="1"/>
  <c r="H93" i="14" s="1"/>
  <c r="H100" i="14"/>
  <c r="E125" i="14" s="1"/>
  <c r="H78" i="12"/>
  <c r="D115" i="12" s="1"/>
  <c r="B36" i="12"/>
  <c r="E36" i="12" s="1"/>
  <c r="D114" i="12" s="1"/>
  <c r="H48" i="12"/>
  <c r="D83" i="12" s="1"/>
  <c r="I78" i="12"/>
  <c r="D116" i="12" s="1"/>
  <c r="B27" i="12"/>
  <c r="E27" i="12" s="1"/>
  <c r="D112" i="12" s="1"/>
  <c r="G72" i="10"/>
  <c r="E72" i="10" s="1"/>
  <c r="G93" i="10"/>
  <c r="E50" i="10"/>
  <c r="G50" i="10" s="1"/>
  <c r="H106" i="9"/>
  <c r="F74" i="9"/>
  <c r="D170" i="9" s="1"/>
  <c r="E54" i="9"/>
  <c r="B80" i="9" s="1"/>
  <c r="E80" i="9" s="1"/>
  <c r="D171" i="9" s="1"/>
  <c r="G91" i="9"/>
  <c r="B121" i="9" s="1"/>
  <c r="F80" i="9"/>
  <c r="D172" i="9" s="1"/>
  <c r="D65" i="27"/>
  <c r="F75" i="27" s="1"/>
  <c r="G94" i="27"/>
  <c r="E94" i="27" s="1"/>
  <c r="C24" i="27"/>
  <c r="C26" i="27" s="1"/>
  <c r="C102" i="27"/>
  <c r="D80" i="27" s="1"/>
  <c r="E80" i="27" s="1"/>
  <c r="F80" i="27" s="1"/>
  <c r="C75" i="27"/>
  <c r="B65" i="27"/>
  <c r="E75" i="20"/>
  <c r="F75" i="20" s="1"/>
  <c r="G75" i="20" s="1"/>
  <c r="G83" i="20" s="1"/>
  <c r="G54" i="10"/>
  <c r="C93" i="10"/>
  <c r="F93" i="10" s="1"/>
  <c r="I26" i="23"/>
  <c r="E31" i="23"/>
  <c r="E33" i="23" s="1"/>
  <c r="E35" i="23" s="1"/>
  <c r="E37" i="23" s="1"/>
  <c r="E39" i="23" s="1"/>
  <c r="F56" i="11"/>
  <c r="G56" i="11" s="1"/>
  <c r="I52" i="11"/>
  <c r="H89" i="11"/>
  <c r="I91" i="9"/>
  <c r="I102" i="9" s="1"/>
  <c r="G102" i="9" s="1"/>
  <c r="D107" i="27"/>
  <c r="G107" i="27" s="1"/>
  <c r="C65" i="27"/>
  <c r="C15" i="11"/>
  <c r="F15" i="11" s="1"/>
  <c r="E50" i="11"/>
  <c r="G50" i="11" s="1"/>
  <c r="G129" i="9"/>
  <c r="C129" i="9"/>
  <c r="F129" i="9" s="1"/>
  <c r="D175" i="9" s="1"/>
  <c r="H82" i="20"/>
  <c r="F82" i="20" s="1"/>
  <c r="G67" i="12"/>
  <c r="F94" i="15"/>
  <c r="F96" i="15" s="1"/>
  <c r="E31" i="9"/>
  <c r="D49" i="15"/>
  <c r="F49" i="15" s="1"/>
  <c r="H49" i="15" s="1"/>
  <c r="H60" i="15" s="1"/>
  <c r="F60" i="15" s="1"/>
  <c r="F46" i="15"/>
  <c r="H46" i="15" s="1"/>
  <c r="E74" i="14"/>
  <c r="G74" i="14" s="1"/>
  <c r="I74" i="14" s="1"/>
  <c r="I86" i="14" s="1"/>
  <c r="G86" i="14" s="1"/>
  <c r="G70" i="14"/>
  <c r="I70" i="14" s="1"/>
  <c r="C55" i="10"/>
  <c r="E55" i="10" s="1"/>
  <c r="E51" i="10"/>
  <c r="G51" i="10" s="1"/>
  <c r="I88" i="9"/>
  <c r="I90" i="9" s="1"/>
  <c r="I101" i="9" s="1"/>
  <c r="G101" i="9" s="1"/>
  <c r="H77" i="15"/>
  <c r="E11" i="23"/>
  <c r="B5" i="23" s="1"/>
  <c r="E5" i="23" s="1"/>
  <c r="G98" i="20"/>
  <c r="G105" i="9"/>
  <c r="F74" i="27"/>
  <c r="H90" i="11"/>
  <c r="B37" i="11"/>
  <c r="E37" i="11" s="1"/>
  <c r="E4" i="12"/>
  <c r="E8" i="12" s="1"/>
  <c r="E17" i="9"/>
  <c r="B58" i="27"/>
  <c r="E58" i="27" s="1"/>
  <c r="G92" i="9" l="1"/>
  <c r="G94" i="9" s="1"/>
  <c r="G96" i="9" s="1"/>
  <c r="G98" i="9" s="1"/>
  <c r="G100" i="9" s="1"/>
  <c r="G103" i="9" s="1"/>
  <c r="G106" i="9" s="1"/>
  <c r="B102" i="20"/>
  <c r="H67" i="12"/>
  <c r="D117" i="15"/>
  <c r="G74" i="27"/>
  <c r="D120" i="12"/>
  <c r="H73" i="12"/>
  <c r="F65" i="27"/>
  <c r="D34" i="14"/>
  <c r="G34" i="14" s="1"/>
  <c r="E122" i="14" s="1"/>
  <c r="E23" i="14"/>
  <c r="E135" i="14" s="1"/>
  <c r="E153" i="14" s="1"/>
  <c r="E128" i="14" s="1"/>
  <c r="G92" i="14"/>
  <c r="E127" i="14"/>
  <c r="G52" i="10"/>
  <c r="E66" i="10" s="1"/>
  <c r="E56" i="10"/>
  <c r="E58" i="10" s="1"/>
  <c r="E60" i="10" s="1"/>
  <c r="E62" i="10" s="1"/>
  <c r="E64" i="10" s="1"/>
  <c r="I56" i="11"/>
  <c r="D90" i="11"/>
  <c r="G90" i="11" s="1"/>
  <c r="F72" i="20"/>
  <c r="F74" i="20" s="1"/>
  <c r="F76" i="20" s="1"/>
  <c r="F78" i="20" s="1"/>
  <c r="F80" i="20" s="1"/>
  <c r="H66" i="20"/>
  <c r="H69" i="20" s="1"/>
  <c r="F81" i="20" s="1"/>
  <c r="E129" i="9"/>
  <c r="E32" i="9"/>
  <c r="E19" i="9"/>
  <c r="E23" i="9" s="1"/>
  <c r="D159" i="9" s="1"/>
  <c r="D164" i="9" s="1"/>
  <c r="D178" i="9" s="1"/>
  <c r="B21" i="12"/>
  <c r="F104" i="12"/>
  <c r="I31" i="23"/>
  <c r="I33" i="23" s="1"/>
  <c r="I35" i="23" s="1"/>
  <c r="I37" i="23" s="1"/>
  <c r="I39" i="23" s="1"/>
  <c r="K26" i="23"/>
  <c r="K27" i="23" s="1"/>
  <c r="C86" i="10"/>
  <c r="C78" i="27"/>
  <c r="E78" i="27" s="1"/>
  <c r="E75" i="27"/>
  <c r="E33" i="9"/>
  <c r="E35" i="9" s="1"/>
  <c r="E39" i="9" s="1"/>
  <c r="E43" i="9" s="1"/>
  <c r="D168" i="9" s="1"/>
  <c r="D84" i="12"/>
  <c r="C86" i="12" s="1"/>
  <c r="C87" i="12" s="1"/>
  <c r="C88" i="12" s="1"/>
  <c r="C89" i="12" s="1"/>
  <c r="G73" i="12"/>
  <c r="F55" i="11"/>
  <c r="G55" i="11" s="1"/>
  <c r="G58" i="11" s="1"/>
  <c r="G60" i="11" s="1"/>
  <c r="G62" i="11" s="1"/>
  <c r="G64" i="11" s="1"/>
  <c r="I50" i="11"/>
  <c r="I53" i="11" s="1"/>
  <c r="G65" i="11" s="1"/>
  <c r="E65" i="27"/>
  <c r="E121" i="9"/>
  <c r="D173" i="9" s="1"/>
  <c r="G121" i="9"/>
  <c r="F50" i="15"/>
  <c r="F52" i="15" s="1"/>
  <c r="F54" i="15" s="1"/>
  <c r="F56" i="15" s="1"/>
  <c r="F58" i="15" s="1"/>
  <c r="G76" i="14"/>
  <c r="G78" i="14" s="1"/>
  <c r="G80" i="14" s="1"/>
  <c r="G82" i="14" s="1"/>
  <c r="G84" i="14" s="1"/>
  <c r="F95" i="27"/>
  <c r="C94" i="10"/>
  <c r="F94" i="10" s="1"/>
  <c r="G95" i="10" s="1"/>
  <c r="G55" i="10"/>
  <c r="C87" i="10" s="1"/>
  <c r="H47" i="15"/>
  <c r="F59" i="15" s="1"/>
  <c r="I71" i="14"/>
  <c r="G85" i="14" s="1"/>
  <c r="E130" i="14" l="1"/>
  <c r="F61" i="15"/>
  <c r="F67" i="15" s="1"/>
  <c r="I55" i="11"/>
  <c r="I66" i="11" s="1"/>
  <c r="G66" i="11" s="1"/>
  <c r="G67" i="11" s="1"/>
  <c r="G73" i="11" s="1"/>
  <c r="D89" i="11"/>
  <c r="G89" i="11" s="1"/>
  <c r="H91" i="11" s="1"/>
  <c r="F83" i="20"/>
  <c r="G87" i="14"/>
  <c r="G78" i="27"/>
  <c r="G88" i="27" s="1"/>
  <c r="E88" i="27" s="1"/>
  <c r="C107" i="27"/>
  <c r="F107" i="27" s="1"/>
  <c r="G75" i="27"/>
  <c r="G77" i="27" s="1"/>
  <c r="E89" i="27" s="1"/>
  <c r="E79" i="27"/>
  <c r="E81" i="27" s="1"/>
  <c r="E83" i="27" s="1"/>
  <c r="E85" i="27" s="1"/>
  <c r="E87" i="27" s="1"/>
  <c r="G65" i="10"/>
  <c r="E65" i="10" s="1"/>
  <c r="E67" i="10" s="1"/>
  <c r="E73" i="10" s="1"/>
  <c r="D179" i="9"/>
  <c r="G93" i="14" l="1"/>
  <c r="D156" i="14"/>
  <c r="D157" i="14" s="1"/>
  <c r="D158" i="14" s="1"/>
  <c r="D159" i="14" s="1"/>
  <c r="D160" i="14" s="1"/>
  <c r="E90" i="27"/>
  <c r="E95" i="27" s="1"/>
  <c r="I40" i="23"/>
  <c r="I42" i="23" s="1"/>
</calcChain>
</file>

<file path=xl/sharedStrings.xml><?xml version="1.0" encoding="utf-8"?>
<sst xmlns="http://schemas.openxmlformats.org/spreadsheetml/2006/main" count="3389" uniqueCount="1160">
  <si>
    <t>i mål, er det bare å gratulere!</t>
    <phoneticPr fontId="42" type="noConversion"/>
  </si>
  <si>
    <t>Oppgave d) er spesiell og faktisk ganske krevende. Har du kommet</t>
    <phoneticPr fontId="42" type="noConversion"/>
  </si>
  <si>
    <t>d)</t>
    <phoneticPr fontId="42" type="noConversion"/>
  </si>
  <si>
    <t>Se også andre oppgaver av samme type.</t>
    <phoneticPr fontId="42" type="noConversion"/>
  </si>
  <si>
    <t>Mulige årsaker kan, i stikkordsform, være uforutsett prisstigning, større mengdemessig forbruk (sløsing) osv.</t>
    <phoneticPr fontId="42" type="noConversion"/>
  </si>
  <si>
    <t>Salgsinntektene vil øke med kr 50 000 til</t>
    <phoneticPr fontId="42" type="noConversion"/>
  </si>
  <si>
    <t>med 30 000.</t>
    <phoneticPr fontId="42" type="noConversion"/>
  </si>
  <si>
    <t>De virkelige administrasjonskostnadene</t>
    <phoneticPr fontId="42" type="noConversion"/>
  </si>
  <si>
    <t>forutsettes uendret fordi de er faste.</t>
    <phoneticPr fontId="42" type="noConversion"/>
  </si>
  <si>
    <t xml:space="preserve">dekningsdifferansen slik: 19 000 – 8 500 = </t>
    <phoneticPr fontId="42" type="noConversion"/>
  </si>
  <si>
    <t>Produktresultat vil øke kr 79 600 til kr 94 600, det vil si med kr 15 000.</t>
    <phoneticPr fontId="42" type="noConversion"/>
  </si>
  <si>
    <t>Produksjonsresultatet vil øke fra kr 83 100 til kr 103 100, det vil si med kr 20 000.</t>
    <phoneticPr fontId="42" type="noConversion"/>
  </si>
  <si>
    <t>3 500 enheter à 2 timer =</t>
    <phoneticPr fontId="42" type="noConversion"/>
  </si>
  <si>
    <t>200 enheter à 2 timer / 2 =</t>
    <phoneticPr fontId="42" type="noConversion"/>
  </si>
  <si>
    <t>2 000 enheter à 4 timer =</t>
    <phoneticPr fontId="42" type="noConversion"/>
  </si>
  <si>
    <t>Sum</t>
    <phoneticPr fontId="42" type="noConversion"/>
  </si>
  <si>
    <t>Direkte materialer (Ms · Ps)</t>
    <phoneticPr fontId="42" type="noConversion"/>
  </si>
  <si>
    <t>Selvkost solgte varer</t>
    <phoneticPr fontId="42" type="noConversion"/>
  </si>
  <si>
    <t>Direkte lønn (Ts · Ls)</t>
    <phoneticPr fontId="42" type="noConversion"/>
  </si>
  <si>
    <t>Innkjøpsavdelingen (Ms · std.sats)</t>
    <phoneticPr fontId="42" type="noConversion"/>
  </si>
  <si>
    <t>Tilvirkningsavdelingen (Ts · std.sats)</t>
    <phoneticPr fontId="42" type="noConversion"/>
  </si>
  <si>
    <t>Effektivitets- avvik</t>
    <phoneticPr fontId="42" type="noConversion"/>
  </si>
  <si>
    <t>Husk å trene på «verbalanalysen» også.</t>
    <phoneticPr fontId="42" type="noConversion"/>
  </si>
  <si>
    <t>(som normalperiodens faste)</t>
    <phoneticPr fontId="42" type="noConversion"/>
  </si>
  <si>
    <t>Mv · Std.sats</t>
    <phoneticPr fontId="42" type="noConversion"/>
  </si>
  <si>
    <t>64 200 meter à kr 20,00 =</t>
    <phoneticPr fontId="42" type="noConversion"/>
  </si>
  <si>
    <t>61 000 meter (Ms) à kr 10</t>
    <phoneticPr fontId="42" type="noConversion"/>
  </si>
  <si>
    <t>61 000 meter à kr 20</t>
    <phoneticPr fontId="42" type="noConversion"/>
  </si>
  <si>
    <t>Ms · Std.sats</t>
    <phoneticPr fontId="42" type="noConversion"/>
  </si>
  <si>
    <t>a)</t>
    <phoneticPr fontId="42" type="noConversion"/>
  </si>
  <si>
    <t>b)</t>
    <phoneticPr fontId="42" type="noConversion"/>
  </si>
  <si>
    <t>Prima</t>
    <phoneticPr fontId="42" type="noConversion"/>
  </si>
  <si>
    <t>c)</t>
    <phoneticPr fontId="42" type="noConversion"/>
  </si>
  <si>
    <t>Forbruks-avvik</t>
    <phoneticPr fontId="42" type="noConversion"/>
  </si>
  <si>
    <t>Effektivitets-avvik</t>
    <phoneticPr fontId="42" type="noConversion"/>
  </si>
  <si>
    <t>Elite</t>
    <phoneticPr fontId="42" type="noConversion"/>
  </si>
  <si>
    <t>Virkelig tid er 965 timer, mens standard er 1000 timer.</t>
    <phoneticPr fontId="42" type="noConversion"/>
  </si>
  <si>
    <t xml:space="preserve">Vi har en beholdningsnedgang på ferdige varer på 75 enheter. I selvkostmetoden «lagrer» vi </t>
    <phoneticPr fontId="42" type="noConversion"/>
  </si>
  <si>
    <t xml:space="preserve">noen av de faste kostnadene. Det vil si at faste kostnader fra 3. periode blir overført til 4. </t>
    <phoneticPr fontId="42" type="noConversion"/>
  </si>
  <si>
    <t xml:space="preserve">periode. 75 enheter som er produsert tidligere, «har med seg» faste kostnader fra </t>
    <phoneticPr fontId="42" type="noConversion"/>
  </si>
  <si>
    <t>fra tidligere periode/perioder.</t>
    <phoneticPr fontId="42" type="noConversion"/>
  </si>
  <si>
    <t>nedgangen legges til kostnadene, og dermed vil bidragsmetoden gi et høyere overskudd enn</t>
    <phoneticPr fontId="42" type="noConversion"/>
  </si>
  <si>
    <t>3 400 enheter Prod. Alfa à 10 meter =</t>
    <phoneticPr fontId="42" type="noConversion"/>
  </si>
  <si>
    <t>2 200 enheter Prod. Beta à 12 meter =</t>
    <phoneticPr fontId="42" type="noConversion"/>
  </si>
  <si>
    <t>1 812 000 / 60 400 =</t>
    <phoneticPr fontId="42" type="noConversion"/>
  </si>
  <si>
    <t xml:space="preserve"> per meter</t>
    <phoneticPr fontId="42" type="noConversion"/>
  </si>
  <si>
    <t>Fast del: 604 000 / 60 400 =</t>
    <phoneticPr fontId="42" type="noConversion"/>
  </si>
  <si>
    <t>Variabel del: 1 208 000 / 60 400 =</t>
    <phoneticPr fontId="42" type="noConversion"/>
  </si>
  <si>
    <t>3 500 enheter à 10 meter =</t>
    <phoneticPr fontId="42" type="noConversion"/>
  </si>
  <si>
    <t>200 enheter a 10 meter =</t>
    <phoneticPr fontId="42" type="noConversion"/>
  </si>
  <si>
    <t>2 000 enheter à 12 meter =</t>
    <phoneticPr fontId="42" type="noConversion"/>
  </si>
  <si>
    <t>Prod. Alfa</t>
    <phoneticPr fontId="42" type="noConversion"/>
  </si>
  <si>
    <t>Prod. Beta</t>
    <phoneticPr fontId="42" type="noConversion"/>
  </si>
  <si>
    <t>Ferdigprodusert: 500 stk à 0,5 liter = 250 liter råvarer</t>
    <phoneticPr fontId="42" type="noConversion"/>
  </si>
  <si>
    <t>Faste: 1 000 timer à 50 =</t>
    <phoneticPr fontId="42" type="noConversion"/>
  </si>
  <si>
    <t>Variable: 1 000 timer à 10 =</t>
    <phoneticPr fontId="42" type="noConversion"/>
  </si>
  <si>
    <t>Tilleggssats for faste tilvirkningskoster er kr 50 per time. Bedriften bruker to timer</t>
    <phoneticPr fontId="42" type="noConversion"/>
  </si>
  <si>
    <t>per produkt. Det betyr at det koster kr 100 å produsere hver enhet. Det blir produsert 6600 enheter hvert år.</t>
    <phoneticPr fontId="42" type="noConversion"/>
  </si>
  <si>
    <t>Da må de budsjetterte faste kostnadene per år være følgende: 6600 à kr 100 = 660 000</t>
    <phoneticPr fontId="42" type="noConversion"/>
  </si>
  <si>
    <t>Variable: 965 timer à 10 =</t>
    <phoneticPr fontId="42" type="noConversion"/>
  </si>
  <si>
    <t>Dette kan skyldes at prisene har steget, at de variable indirekte kostnadene er overproporsjonale, osv.</t>
    <phoneticPr fontId="42" type="noConversion"/>
  </si>
  <si>
    <t>Det kan også bety større mengdemessig forbruk (sløsing, sommel osv.).</t>
    <phoneticPr fontId="42" type="noConversion"/>
  </si>
  <si>
    <t>Standardmengde Y: 500 enheter à 0,5 liter =</t>
    <phoneticPr fontId="42" type="noConversion"/>
  </si>
  <si>
    <t>Material X</t>
    <phoneticPr fontId="42" type="noConversion"/>
  </si>
  <si>
    <t>3 enheter à kr 40 =</t>
    <phoneticPr fontId="42" type="noConversion"/>
  </si>
  <si>
    <t>0,5 liter à kr 80 =</t>
    <phoneticPr fontId="42" type="noConversion"/>
  </si>
  <si>
    <t>2 timer à kr 200 =</t>
    <phoneticPr fontId="42" type="noConversion"/>
  </si>
  <si>
    <t>Tillegg indirekte tilv.kostnader: 2 timer à kr 60</t>
    <phoneticPr fontId="42" type="noConversion"/>
  </si>
  <si>
    <t>Tillegg administrasjon: 25 % av 480</t>
    <phoneticPr fontId="42" type="noConversion"/>
  </si>
  <si>
    <t>Standard-</t>
    <phoneticPr fontId="42" type="noConversion"/>
  </si>
  <si>
    <t>Ferdigprodusert: 500 stk à 3 enheter = 1 500 enheter materialer</t>
    <phoneticPr fontId="42" type="noConversion"/>
  </si>
  <si>
    <t>Salgsprisavvik</t>
    <phoneticPr fontId="42" type="noConversion"/>
  </si>
  <si>
    <t>Salgs- og adm.avdelingen</t>
    <phoneticPr fontId="42" type="noConversion"/>
  </si>
  <si>
    <t>Utbetalt lønn 1. kvartal</t>
  </si>
  <si>
    <t>–</t>
  </si>
  <si>
    <t>=</t>
  </si>
  <si>
    <t>Lønnskostnad</t>
  </si>
  <si>
    <r>
      <t>Gjennomsnittlig timelønn (L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>) = 280 000 : 1 000 =</t>
    </r>
  </si>
  <si>
    <t>Lønnssatsavvik</t>
  </si>
  <si>
    <t>Tidsavvik</t>
  </si>
  <si>
    <r>
      <t>T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 xml:space="preserve"> = 980 timer</t>
    </r>
  </si>
  <si>
    <t>Materialregnskap</t>
  </si>
  <si>
    <t>Standard -</t>
  </si>
  <si>
    <t xml:space="preserve">Virkelige </t>
  </si>
  <si>
    <t>kostnader</t>
  </si>
  <si>
    <t>PsMs</t>
  </si>
  <si>
    <r>
      <t>T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>· L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980 timer à kr 275 =</t>
    </r>
  </si>
  <si>
    <t>Budsjett for 1 500 enheter:</t>
  </si>
  <si>
    <t>Direkte materialer</t>
  </si>
  <si>
    <r>
      <t>P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kr 20 per liter</t>
    </r>
  </si>
  <si>
    <t>Direkte lønn</t>
  </si>
  <si>
    <r>
      <t>L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>= kr 200 per time</t>
    </r>
  </si>
  <si>
    <t>Indirekte tilvirkningskostnader</t>
  </si>
  <si>
    <t>Tilvirkningskost</t>
  </si>
  <si>
    <t>Administrasjonskostnader</t>
  </si>
  <si>
    <t>Selvkost</t>
  </si>
  <si>
    <t>Salgsinntekter</t>
  </si>
  <si>
    <t>Resultat</t>
  </si>
  <si>
    <t>Produksjon og salg i budsjettet:</t>
  </si>
  <si>
    <t>Aktuelle inndata:</t>
  </si>
  <si>
    <t>Antall liter per enhet</t>
  </si>
  <si>
    <t>Antall timer per enhet</t>
  </si>
  <si>
    <t>Virkelig mengde (Mv)</t>
  </si>
  <si>
    <t>Standard lønnssats (Ls)</t>
  </si>
  <si>
    <t>Ferdigprodusert</t>
  </si>
  <si>
    <t>Solgt mengde</t>
  </si>
  <si>
    <t>Beregning av standard mengde</t>
  </si>
  <si>
    <t>Beregning av standard tid</t>
  </si>
  <si>
    <t>Ferdigprodusert: 175 enheter à 10 liter =</t>
  </si>
  <si>
    <t>=Ms</t>
  </si>
  <si>
    <t>=Ts</t>
  </si>
  <si>
    <r>
      <t>Standardpris (P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>)</t>
    </r>
  </si>
  <si>
    <r>
      <t>Virkelig tid (T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>)</t>
    </r>
  </si>
  <si>
    <t xml:space="preserve">Antall produsert </t>
  </si>
  <si>
    <t>Antall solgt</t>
  </si>
  <si>
    <t>Ts per enhet T.-avd.</t>
  </si>
  <si>
    <t>Ms per enhet</t>
  </si>
  <si>
    <t>Ls</t>
  </si>
  <si>
    <t>Ps</t>
  </si>
  <si>
    <t>Ks var T.-avd.</t>
  </si>
  <si>
    <t>Direkte lønn T.-avd.</t>
  </si>
  <si>
    <t>Tillegg ind. VK i T.-avd.</t>
  </si>
  <si>
    <t>Tillegg ind. VK i S&amp;A.-avd.</t>
  </si>
  <si>
    <t>Pris</t>
  </si>
  <si>
    <t>Dekningsbidrag per enhet</t>
  </si>
  <si>
    <t>T.-avd.</t>
  </si>
  <si>
    <t>Tilvirkningsmerkost</t>
  </si>
  <si>
    <t>Beh.red. FV</t>
  </si>
  <si>
    <t>Tilvirkningsmerkost SV</t>
  </si>
  <si>
    <t>Merkost SV</t>
  </si>
  <si>
    <t>Inntekter</t>
  </si>
  <si>
    <t>Dekningsbidrag</t>
  </si>
  <si>
    <t>Faste kostnader</t>
  </si>
  <si>
    <t>Driftsresultat</t>
  </si>
  <si>
    <t>Igangsatt</t>
  </si>
  <si>
    <t>Solgt</t>
  </si>
  <si>
    <t xml:space="preserve">Standard tid </t>
  </si>
  <si>
    <t>Virkelig tid</t>
  </si>
  <si>
    <t>Virkelig mengde</t>
  </si>
  <si>
    <t>Virkelig salgspris</t>
  </si>
  <si>
    <t>Prisavvik</t>
  </si>
  <si>
    <t>Mengdeavvik</t>
  </si>
  <si>
    <r>
      <t>Beregning av M</t>
    </r>
    <r>
      <rPr>
        <b/>
        <vertAlign val="subscript"/>
        <sz val="12"/>
        <rFont val="Times New Roman"/>
        <family val="1"/>
      </rPr>
      <t>S</t>
    </r>
    <r>
      <rPr>
        <b/>
        <sz val="12"/>
        <rFont val="Times New Roman"/>
        <family val="1"/>
      </rPr>
      <t>:</t>
    </r>
  </si>
  <si>
    <t>IB</t>
  </si>
  <si>
    <t>Kjøp</t>
  </si>
  <si>
    <t>Kostnad</t>
  </si>
  <si>
    <t>kg</t>
  </si>
  <si>
    <t xml:space="preserve"> kg</t>
  </si>
  <si>
    <t xml:space="preserve"> timer</t>
  </si>
  <si>
    <t>Standard mengde</t>
  </si>
  <si>
    <t>timer</t>
  </si>
  <si>
    <t>+</t>
  </si>
  <si>
    <t>Periodens tilvirkningsmerkost</t>
  </si>
  <si>
    <t>Beh.endring varer i arbeid</t>
  </si>
  <si>
    <t>Tilvirkningsmerkost ferdigvarer</t>
  </si>
  <si>
    <t>Beh.økning ferdigvarer</t>
  </si>
  <si>
    <t>Tilvirkningsmerkost solgte varer</t>
  </si>
  <si>
    <t>Adm. og salgsavdelingen</t>
  </si>
  <si>
    <t>Merkost solgte varer</t>
  </si>
  <si>
    <t>Kalkulert dekningsbidrag</t>
  </si>
  <si>
    <t>Sum dekningsdifferanse</t>
  </si>
  <si>
    <t>Virkelig dekningsbidrag</t>
  </si>
  <si>
    <t>Faste kostnader:</t>
  </si>
  <si>
    <t>Avvik FK</t>
  </si>
  <si>
    <t>Budsjettavvik faste kostnader</t>
  </si>
  <si>
    <t>Merkost solgte varer = salgsmerkost</t>
  </si>
  <si>
    <t>Påstanden er sann i perioder med store lagerendringer.</t>
  </si>
  <si>
    <t>Selvkostmetoden gir høyere produksjonsresultat når det er beholdningsøkning</t>
  </si>
  <si>
    <t>varer i arbeid og ferdige varer. De faste kostnadene innkalkuleres i vare-</t>
  </si>
  <si>
    <t xml:space="preserve">metoden ville gitt lavere produksjonsresultat for januar måned. </t>
  </si>
  <si>
    <t>I bidragsmetoden belastes den aktuelle perioden (måneden) med periodens</t>
  </si>
  <si>
    <t>faste kostnader.</t>
  </si>
  <si>
    <t>Standardkostregnskap etter bidragsmetoden</t>
  </si>
  <si>
    <t>Standard</t>
  </si>
  <si>
    <t>Avvik/D.D.</t>
  </si>
  <si>
    <t>Mengde</t>
  </si>
  <si>
    <t>Sats</t>
  </si>
  <si>
    <t>Dir. kostn.</t>
  </si>
  <si>
    <t xml:space="preserve">Direkte lønn avd. </t>
  </si>
  <si>
    <t>Sum avvik direkte kostnader</t>
  </si>
  <si>
    <t>Periodens tilv.merkost</t>
  </si>
  <si>
    <t>Tilv.merkost f.v.</t>
  </si>
  <si>
    <t>Beholdn.endr. f.v.</t>
  </si>
  <si>
    <t>Tilv.merkost s.v.</t>
  </si>
  <si>
    <t>Salgsmerkost</t>
  </si>
  <si>
    <t>Kalkulert DB</t>
  </si>
  <si>
    <t>Virkelig DB</t>
  </si>
  <si>
    <t>Produksjonsresultat</t>
  </si>
  <si>
    <t>AS Standard</t>
  </si>
  <si>
    <t>a)</t>
  </si>
  <si>
    <t>Merkost</t>
  </si>
  <si>
    <t>b)</t>
  </si>
  <si>
    <t>Ferdigproduserte varer</t>
  </si>
  <si>
    <t>kostnad</t>
  </si>
  <si>
    <t>Inndirekte tilvirkning</t>
  </si>
  <si>
    <t>Avvik faste kostnader</t>
  </si>
  <si>
    <t>Budsjett for januar 2011:</t>
  </si>
  <si>
    <t>c)</t>
  </si>
  <si>
    <t>Forbruks-</t>
  </si>
  <si>
    <t>Virkelig</t>
  </si>
  <si>
    <t>avvik</t>
  </si>
  <si>
    <t>Fleksibelt</t>
  </si>
  <si>
    <t>Totalt</t>
  </si>
  <si>
    <t>d)</t>
  </si>
  <si>
    <t>e)</t>
  </si>
  <si>
    <t>Sammenhengen budsjettert resultat og virkelig produksjonsresultat:</t>
  </si>
  <si>
    <t>Budsjettert resultat</t>
  </si>
  <si>
    <t>Mendgdeavvik</t>
  </si>
  <si>
    <t>Forbruksavvik variable</t>
  </si>
  <si>
    <t>Forbruksavvik faste</t>
  </si>
  <si>
    <t>Salgsprisavvik</t>
  </si>
  <si>
    <t>Virkelig resultat</t>
  </si>
  <si>
    <t>PsMv</t>
  </si>
  <si>
    <t>PvMv</t>
  </si>
  <si>
    <t xml:space="preserve">Lønnsregnskap </t>
  </si>
  <si>
    <t>LsTs</t>
  </si>
  <si>
    <t>LsTv</t>
  </si>
  <si>
    <t>LvTv</t>
  </si>
  <si>
    <t>vurdert til Ps</t>
  </si>
  <si>
    <t>vurdert til Ls</t>
  </si>
  <si>
    <t>og ferdige varer. Beholdningsendringene blir ALLTID størst i selvkostmetoden.</t>
  </si>
  <si>
    <t>I dette tilfellet har vi beholdningsøkning på kr 49 800. Denne økningen ville ha vært</t>
  </si>
  <si>
    <t>større etter selvkostmetoden. Det betyr at faste kostnader følger varene til neste periode.</t>
  </si>
  <si>
    <t>Produksjonsresultatet ville derfor ha blitt høyere dersom vi hadde ført regnskapet</t>
  </si>
  <si>
    <t>etter selvkostmetoden.</t>
  </si>
  <si>
    <t>X</t>
  </si>
  <si>
    <t>Y</t>
  </si>
  <si>
    <t>Beholdning materialer 1.1.</t>
  </si>
  <si>
    <t>1 000 kg à kr 8 =</t>
  </si>
  <si>
    <t>200 kg à kr 21 =</t>
  </si>
  <si>
    <t>(1 200 kg à kr 21)</t>
  </si>
  <si>
    <t>Beholdning av materialer 31.1.: 1 000 kg à kr 8,10</t>
  </si>
  <si>
    <t>210 kg à kr 21 =</t>
  </si>
  <si>
    <r>
      <t>M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for X = 1 000 + 6 000 – 1 000 = 6 000 kg</t>
    </r>
  </si>
  <si>
    <r>
      <t>M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for Y = 200 + 1 200 – 210 = </t>
    </r>
  </si>
  <si>
    <t>1 190 kg</t>
  </si>
  <si>
    <t xml:space="preserve">Material X: </t>
  </si>
  <si>
    <t>Ferdigprodusert: 1 200 enheter à 5 kg =</t>
  </si>
  <si>
    <t>Nedgang varer i arbeid: 20 enheter à 5 kg =</t>
  </si>
  <si>
    <t>Material Y:</t>
  </si>
  <si>
    <t>Ferdigprodusert: 1 200 enheter à 1 kg =</t>
  </si>
  <si>
    <t>Nedgang varer i arbeid: 20 enheter à 0,5 kg =</t>
  </si>
  <si>
    <r>
      <t>Beregning av T</t>
    </r>
    <r>
      <rPr>
        <b/>
        <vertAlign val="subscript"/>
        <sz val="12"/>
        <rFont val="Times New Roman"/>
        <family val="1"/>
      </rPr>
      <t>S</t>
    </r>
    <r>
      <rPr>
        <b/>
        <sz val="12"/>
        <rFont val="Times New Roman"/>
        <family val="1"/>
      </rPr>
      <t>:</t>
    </r>
  </si>
  <si>
    <t>kapittel 6.</t>
  </si>
  <si>
    <t>Kostnadsavvikene har vi beregnet ovenfor. Inntektsavviket må beregnes nå:</t>
  </si>
  <si>
    <t>Virkelig pris</t>
  </si>
  <si>
    <t>Budsjettert pris</t>
  </si>
  <si>
    <t>Virkelig solgt mengde</t>
  </si>
  <si>
    <t>Budsjettert mengde</t>
  </si>
  <si>
    <t>Volumavvik</t>
  </si>
  <si>
    <t>Budsjettert DB per enh.</t>
  </si>
  <si>
    <t>Klikk på cellene i regnearket for å se utregningene</t>
  </si>
  <si>
    <t>Standardkalkyle etter bidragsmetoden</t>
  </si>
  <si>
    <t>Totalt materialforbruk ifølge budsjett: 30 000 enheter à 2 kg = 60 000 kg</t>
  </si>
  <si>
    <t xml:space="preserve"> per kg</t>
  </si>
  <si>
    <t xml:space="preserve"> per time</t>
  </si>
  <si>
    <t>Så kommer selve kalkylen</t>
  </si>
  <si>
    <t>Direkte materialer: 2 kg à kr 30 =</t>
  </si>
  <si>
    <t>Indirekte variable kostnader:</t>
  </si>
  <si>
    <t>Materialavdelingen: 2 kg à kr 1,00 =</t>
  </si>
  <si>
    <t>Tilvirkningsmerkost = Merkost</t>
  </si>
  <si>
    <t>1-2</t>
  </si>
  <si>
    <t>2-3</t>
  </si>
  <si>
    <t>Avvik dir.</t>
  </si>
  <si>
    <t>Ind. variable tilv.kostnader</t>
  </si>
  <si>
    <t>Dekn.diff</t>
  </si>
  <si>
    <t>Materialavdelingen</t>
  </si>
  <si>
    <t>Tilvirkningsavdelingen</t>
  </si>
  <si>
    <t>Fleksibelt budsjett (2):</t>
  </si>
  <si>
    <t>2 Fleksibelt budsjett</t>
  </si>
  <si>
    <t>3 Virkelige kostnader</t>
  </si>
  <si>
    <t>1 Standard-kostnad</t>
  </si>
  <si>
    <t>(I standardkostregnskap skaper det unødvendige problemer i avviksanalysen dersom</t>
  </si>
  <si>
    <t>vi velger å bruke prosenttillegg.)</t>
  </si>
  <si>
    <t>Direkte materialer: 9 kg à kr 130 =</t>
  </si>
  <si>
    <t>Direkte lønn: 1,3 timer à kr 170 =</t>
  </si>
  <si>
    <t>Salgspris ekskl. mva.</t>
  </si>
  <si>
    <t>Standard dekningsbidrag</t>
  </si>
  <si>
    <t>Budsjetterte inntekter: 11 200 à kr 2 330 =</t>
  </si>
  <si>
    <t>Materialkostnader: 11 200 à kr 1 170 =</t>
  </si>
  <si>
    <t>Direkte lønn: 11 200 à kr 221 =</t>
  </si>
  <si>
    <t>Ind. variable kostnader: 11 200 à kr 104 =</t>
  </si>
  <si>
    <t>Sum variable kostnader</t>
  </si>
  <si>
    <t>Budsjettert dekningsbidrag</t>
  </si>
  <si>
    <t>Ferdigprodusert: 12 510 enheter à 9 kg</t>
  </si>
  <si>
    <t>Ferdigprodusert 12 510 enheter à 1,3 timer</t>
  </si>
  <si>
    <t>Beh.endring ferdigvarer</t>
  </si>
  <si>
    <t>Pv =</t>
  </si>
  <si>
    <t>Sv =</t>
  </si>
  <si>
    <t>2 680 enheter à 2 kg =</t>
  </si>
  <si>
    <t>Dekningsdifferanser i februar</t>
  </si>
  <si>
    <t>I bidragsregnskap innkalkuleres ikke faste kostnader i produktene. Derfor vil det heller</t>
  </si>
  <si>
    <t>aldri bli dekningsdifferanser for de faste kostnadene.</t>
  </si>
  <si>
    <t>Forbruksavvik</t>
  </si>
  <si>
    <r>
      <t>(Ts ∙ k</t>
    </r>
    <r>
      <rPr>
        <vertAlign val="subscript"/>
        <sz val="12"/>
        <rFont val="Arial"/>
        <family val="2"/>
      </rPr>
      <t>s</t>
    </r>
    <r>
      <rPr>
        <vertAlign val="superscript"/>
        <sz val="12"/>
        <rFont val="Arial"/>
        <family val="2"/>
      </rPr>
      <t>var</t>
    </r>
    <r>
      <rPr>
        <sz val="12"/>
        <rFont val="Arial"/>
        <family val="2"/>
      </rPr>
      <t>)</t>
    </r>
  </si>
  <si>
    <r>
      <t>(Tv ∙ k</t>
    </r>
    <r>
      <rPr>
        <vertAlign val="subscript"/>
        <sz val="12"/>
        <rFont val="Arial"/>
        <family val="2"/>
      </rPr>
      <t>s</t>
    </r>
    <r>
      <rPr>
        <vertAlign val="superscript"/>
        <sz val="12"/>
        <rFont val="Arial"/>
        <family val="2"/>
      </rPr>
      <t>var</t>
    </r>
    <r>
      <rPr>
        <sz val="12"/>
        <rFont val="Arial"/>
        <family val="2"/>
      </rPr>
      <t>)</t>
    </r>
  </si>
  <si>
    <t>1–2</t>
  </si>
  <si>
    <t>2–3</t>
  </si>
  <si>
    <t>Sum</t>
  </si>
  <si>
    <t>5 600 kg à kr 1 =</t>
  </si>
  <si>
    <t>1 280 timer à kr 8 =</t>
  </si>
  <si>
    <t>timer, mens standard tid er 1 340 timer. Vi har også et positivt forbruksavvik på kr 240.</t>
  </si>
  <si>
    <t>Beskjeftigelsesavvik oppstår utelukkende når driftsregnskapet blir utarbeidet etter</t>
  </si>
  <si>
    <t>selvkostmetoden. Påstanden er derfor 100 % feil.</t>
  </si>
  <si>
    <t>Årsaken til at produksjonsresultatet blir forskjellig, er ulik verdsetting av varer i arbeid</t>
  </si>
  <si>
    <t>Kommentarer utelatt.</t>
  </si>
  <si>
    <t>kostnader. I selvkostmetoden vil en andel av de faste kostnadene følge varer i arbeid og</t>
  </si>
  <si>
    <t>ferdige varer. Dermed blir de faste kostnadene belastet i den perioden varene blir solgt.</t>
  </si>
  <si>
    <t>Fleksibelt budsjett (2) i oppsettet ovenfor: 15 012 timer à kr 80 =</t>
  </si>
  <si>
    <t>Salgs- og adm.avd.</t>
  </si>
  <si>
    <t>Pris per enhet</t>
  </si>
  <si>
    <t>Indirekte variable tilvirkningskostnader</t>
  </si>
  <si>
    <t>Direkte materialer: 3 200 : 400 = 8 kg</t>
  </si>
  <si>
    <t>Standardsats for tilvirkningsavdelingen er</t>
  </si>
  <si>
    <t>Direkte lønn: 1 500 : 300 = 5 timer</t>
  </si>
  <si>
    <t>kr 250 : 5 = kr 50 per time</t>
  </si>
  <si>
    <t>Ferdigprodusert: 1 200 à 8 kg =</t>
  </si>
  <si>
    <t>Økning varer i arbeid: 200 à 8 kg =</t>
  </si>
  <si>
    <t>Ferdigprodusert: 1 200 à 5 timer</t>
  </si>
  <si>
    <t>Verdsetting varer i arbeid</t>
  </si>
  <si>
    <t>Direkte materialer: 8 kg à kr 400 =</t>
  </si>
  <si>
    <t>Tilvirkningsmerkost per enhet</t>
  </si>
  <si>
    <t>Standardkostnader</t>
  </si>
  <si>
    <t>Beh.økning varer i arbeid</t>
  </si>
  <si>
    <t>Direkte materialer X</t>
  </si>
  <si>
    <t>Direkte materialer Y</t>
  </si>
  <si>
    <t>Beh.nedgang varer i arbeid</t>
  </si>
  <si>
    <t>Budsjettavvik = forbruksavvik</t>
  </si>
  <si>
    <t>Kalkyle varer i arbeid</t>
  </si>
  <si>
    <t>Direkte materialer X: 5 kg à kr 8 =</t>
  </si>
  <si>
    <t>Direkte materialer Y: 0,5 kg à kr 20 =</t>
  </si>
  <si>
    <t>Materialtillegg: 10 % av kr 50 =</t>
  </si>
  <si>
    <t>Tilvirkningstillegg: 50 % av 45 =</t>
  </si>
  <si>
    <t xml:space="preserve">Materialvdelingen: </t>
  </si>
  <si>
    <t>10 % av (48 000 + 23 800) =</t>
  </si>
  <si>
    <t>Tilv.avd.</t>
  </si>
  <si>
    <t>50 % av 108 000 =</t>
  </si>
  <si>
    <t>Bedriften bruker et tillegg på 50 % av direkte lønn. Hvis den i stedet hadde brukt</t>
  </si>
  <si>
    <t>Budsjettert salgspris</t>
  </si>
  <si>
    <t>Merkost: 1 150 + 100 =</t>
  </si>
  <si>
    <t xml:space="preserve"> per enhet</t>
  </si>
  <si>
    <t>Ferdigproduksjon: 1 050 stk. à 4 kg =</t>
  </si>
  <si>
    <t>Økning varer i arbeid: 100 enheter à 4 kg =</t>
  </si>
  <si>
    <r>
      <t>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= 542 800 : 136 =</t>
    </r>
  </si>
  <si>
    <t>Ferdigproduksjon: 1 050 stk à 2 timer =</t>
  </si>
  <si>
    <t>Økning varer i arbeid: 100 enheter à 1 time</t>
  </si>
  <si>
    <t>Standardsats indirekte variable tilvirkningskostnader: 70 : 2 = 35 per time</t>
  </si>
  <si>
    <t>Varer i arbeid</t>
  </si>
  <si>
    <t>Direkte materialer: 4 kg à kr 150 =</t>
  </si>
  <si>
    <t>Direkte lønn: 1 time à kr 240 =</t>
  </si>
  <si>
    <t>Beh.nedgang ferdigvarer</t>
  </si>
  <si>
    <t>Ind. variable salgskostnader</t>
  </si>
  <si>
    <t>Sum DD</t>
  </si>
  <si>
    <t xml:space="preserve">2 200 timer à kr 35 = </t>
  </si>
  <si>
    <t>2 300 timer à kr 35 =</t>
  </si>
  <si>
    <t>Kommentarer utelatt</t>
  </si>
  <si>
    <t>Budsjett for november</t>
  </si>
  <si>
    <t>Inntekter: 1 000 enheter à kr 1 800 =</t>
  </si>
  <si>
    <t>Direkte materialer: 1 000 enheter à kr 600 =</t>
  </si>
  <si>
    <t>Direkte lønn: 1 000 enheter à kr 480 =</t>
  </si>
  <si>
    <t>Indirekte var. tilv.kostnader: 1 000 enheter à kr 70 =</t>
  </si>
  <si>
    <t>Ind. var. salgs- og adm.kostnader: 1 000 enheter à kr 100</t>
  </si>
  <si>
    <t>Faste kostnader: 280 000 + 190 000 =</t>
  </si>
  <si>
    <t>Budsjettert dekningsbidrag: 1 000 enheter à kr (1 800 – 1 250)</t>
  </si>
  <si>
    <t>Budsjettert resultat +/– kostnadsavvik og inntektsavvik = virkelig resultat</t>
  </si>
  <si>
    <t>Salgets resultatavvik</t>
  </si>
  <si>
    <r>
      <t>Salgsprisavvik</t>
    </r>
    <r>
      <rPr>
        <sz val="12"/>
        <rFont val="Times New Roman"/>
        <family val="1"/>
      </rPr>
      <t>: Virkelig solgt mengde · (virkelig dekningsbidrag – budsjettert dekningsbidrag)</t>
    </r>
  </si>
  <si>
    <t>Vi har solgt 1 100 enheter til en pris som er kr 6 lavere enn budsjettert</t>
  </si>
  <si>
    <t>1 100 · (544 – 550) =</t>
  </si>
  <si>
    <t xml:space="preserve"> (fra oppgave b))</t>
  </si>
  <si>
    <t>Effektivitetsavvik</t>
  </si>
  <si>
    <t>Dekningsgrad</t>
  </si>
  <si>
    <t>SM kr</t>
  </si>
  <si>
    <t>SM %</t>
  </si>
  <si>
    <r>
      <t>(Ts ∙ k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>)</t>
    </r>
  </si>
  <si>
    <r>
      <t>(Tv ∙ k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>)</t>
    </r>
  </si>
  <si>
    <t>Fleksibelt budsjett</t>
  </si>
  <si>
    <t>UB</t>
  </si>
  <si>
    <t>Avvik</t>
  </si>
  <si>
    <t>Avvik direkte kostnader</t>
  </si>
  <si>
    <t>Tilvirkningsavdeling</t>
  </si>
  <si>
    <t>Periodens tilv.kost</t>
  </si>
  <si>
    <t xml:space="preserve">Endring ferdige varer </t>
  </si>
  <si>
    <t>Tilvirkningskost solgte varer</t>
  </si>
  <si>
    <t>Selvkost solgte varer</t>
  </si>
  <si>
    <t>Produktresultat</t>
  </si>
  <si>
    <t>Dekningsdifferanser</t>
  </si>
  <si>
    <r>
      <t>(Ts ∙ k</t>
    </r>
    <r>
      <rPr>
        <vertAlign val="subscript"/>
        <sz val="12"/>
        <rFont val="Times New Roman"/>
        <family val="1"/>
      </rPr>
      <t>s</t>
    </r>
    <r>
      <rPr>
        <vertAlign val="superscript"/>
        <sz val="12"/>
        <rFont val="Times New Roman"/>
        <family val="1"/>
      </rPr>
      <t>fast</t>
    </r>
    <r>
      <rPr>
        <sz val="12"/>
        <rFont val="Times New Roman"/>
        <family val="1"/>
      </rPr>
      <t>)</t>
    </r>
  </si>
  <si>
    <t>Budsjett</t>
  </si>
  <si>
    <t>Budsjettavvik = kostnadsavvik</t>
  </si>
  <si>
    <t>Fleksibelt budsjett (2)</t>
  </si>
  <si>
    <t>Lønnssats</t>
  </si>
  <si>
    <t xml:space="preserve">Vi har solgt 100 enheter mer enn budsjettert. </t>
  </si>
  <si>
    <t>550 · (1 100 – 1 000) =</t>
  </si>
  <si>
    <t>Periodens tilvirkningskost</t>
  </si>
  <si>
    <t>Tilvirkningskost ferdigvarer</t>
  </si>
  <si>
    <t>Faste</t>
  </si>
  <si>
    <t>Variable</t>
  </si>
  <si>
    <t>Effektivitets avvik</t>
  </si>
  <si>
    <t>Forbruks avvik</t>
  </si>
  <si>
    <r>
      <t>(Tv ∙ k</t>
    </r>
    <r>
      <rPr>
        <vertAlign val="subscript"/>
        <sz val="11"/>
        <rFont val="Times New Roman"/>
        <family val="1"/>
      </rPr>
      <t>s</t>
    </r>
    <r>
      <rPr>
        <vertAlign val="superscript"/>
        <sz val="11"/>
        <rFont val="Times New Roman"/>
        <family val="1"/>
      </rPr>
      <t>var</t>
    </r>
    <r>
      <rPr>
        <sz val="11"/>
        <rFont val="Times New Roman"/>
        <family val="1"/>
      </rPr>
      <t>)</t>
    </r>
  </si>
  <si>
    <t>Standardkalkyle:</t>
  </si>
  <si>
    <t>Direkte materialer:</t>
  </si>
  <si>
    <t>Ind. tilvirkningskostnader</t>
  </si>
  <si>
    <t>Innkjøpsavdelingen</t>
  </si>
  <si>
    <t>Budsjettkostnader</t>
  </si>
  <si>
    <t>Lønnsregnskap</t>
  </si>
  <si>
    <r>
      <t>(Ts ∙ k</t>
    </r>
    <r>
      <rPr>
        <vertAlign val="subscript"/>
        <sz val="11"/>
        <rFont val="Times New Roman"/>
        <family val="1"/>
      </rPr>
      <t>s</t>
    </r>
    <r>
      <rPr>
        <vertAlign val="superscript"/>
        <sz val="11"/>
        <rFont val="Times New Roman"/>
        <family val="1"/>
      </rPr>
      <t>var</t>
    </r>
    <r>
      <rPr>
        <sz val="11"/>
        <rFont val="Times New Roman"/>
        <family val="1"/>
      </rPr>
      <t>)</t>
    </r>
  </si>
  <si>
    <t>Standardmengde X: 500 enheter à 3 =</t>
  </si>
  <si>
    <t xml:space="preserve"> enheter</t>
  </si>
  <si>
    <t>Standardpris per enhet råvare: 60 000 : 1 500 =</t>
  </si>
  <si>
    <t xml:space="preserve"> liter</t>
  </si>
  <si>
    <t>Standardpris per liter råvare: 20 000 : 250 =</t>
  </si>
  <si>
    <t>Standardtid: 500 enheter à 2 timer =</t>
  </si>
  <si>
    <t>Standard timelønn: 200 000 : 1 000 =</t>
  </si>
  <si>
    <t>Standardkalkyle</t>
  </si>
  <si>
    <t>Material X</t>
  </si>
  <si>
    <t>Material Y</t>
  </si>
  <si>
    <t>Beregning av standard tid:</t>
  </si>
  <si>
    <r>
      <t>Beregning av standard mengde M</t>
    </r>
    <r>
      <rPr>
        <b/>
        <vertAlign val="subscript"/>
        <sz val="12"/>
        <rFont val="Times New Roman"/>
        <family val="1"/>
      </rPr>
      <t>S</t>
    </r>
    <r>
      <rPr>
        <b/>
        <sz val="12"/>
        <rFont val="Times New Roman"/>
        <family val="1"/>
      </rPr>
      <t>):</t>
    </r>
  </si>
  <si>
    <t>Ferdigprodusert: 500 · 2 = 1 000 timer</t>
  </si>
  <si>
    <t>Kommentar av avvikene er utelatt i dette løsningsforslaget.</t>
  </si>
  <si>
    <t>Sum dekningsdifferanser i tilvirkningsavdelingen stemmer med driftsregnskapet:</t>
  </si>
  <si>
    <t>De faste normkostnadene finner vi slik: 660 000 : 12 =</t>
  </si>
  <si>
    <t>Det er et ganske betydelig negativt forbruksavvik for de variable kostnadene (16 %).</t>
  </si>
  <si>
    <t>produsert 500 enheter, mens normal produksjon er på 550 enheter.</t>
  </si>
  <si>
    <t>Det er et positivt effektivitetsavvik (S – N) for de variable kostnadene.</t>
  </si>
  <si>
    <t xml:space="preserve">I selvkostmetoden belastes altså ikke de faste kostnadene den perioden de påløper, men i </t>
  </si>
  <si>
    <t>den perioden produktene blir solgt.</t>
  </si>
  <si>
    <t>Beholdningsnedgangen på 75 enheter vil bli vurdert lavere etter bidragsmetoden. Denne</t>
  </si>
  <si>
    <t>selvkostmetoden for 4. periode.</t>
  </si>
  <si>
    <t>Ved en beholdningsnedgang (beholdningsreduksjon) vil selvkostmetoden vise</t>
  </si>
  <si>
    <t>et dårligere resultat enn bidragsmetoden.</t>
  </si>
  <si>
    <t xml:space="preserve">fra kr 13 500 til kr 8 500. Da blir den totale </t>
  </si>
  <si>
    <t>ned</t>
  </si>
  <si>
    <t>Den negative dekningsdifferansen går derfor</t>
  </si>
  <si>
    <t>Dekningsdifferanse</t>
  </si>
  <si>
    <t>Tillegg administrasjon vil øke med 5 000 til</t>
  </si>
  <si>
    <t>Tilvirkningskost solgte varer ville derfor bli</t>
  </si>
  <si>
    <t xml:space="preserve">Beholdningen av hyttemøbler vil jo gå ned </t>
  </si>
  <si>
    <t>Beholdningsøkning ferdige varer vil bli 177 900 – 30 000 =</t>
  </si>
  <si>
    <t>Tilv.kost ferdigproduksjon</t>
  </si>
  <si>
    <t>regnskapet. En mulig framgangsmåte er å følge regnskapet ovenfor og gjøre de endringene som salget av hyttemøbler fører til.</t>
  </si>
  <si>
    <t>Det dreier seg om varer som er produsert tidligere. Tilvirkningskost for ferdigproduserte varer vil ikke endres i forhold til</t>
  </si>
  <si>
    <t>Årsaken henger nøye sammen med det negative tidsavviket. Vi har brukt 957 timer, mens standard tid er 950 timer.</t>
  </si>
  <si>
    <t>For de variable kostnadene er avviket meget beskjedent (– 70). Det betyr at det er et mindre negativ effektivitetsavvik.</t>
  </si>
  <si>
    <t>Normal arbeidstid</t>
  </si>
  <si>
    <t>Timer</t>
  </si>
  <si>
    <t>Antall</t>
  </si>
  <si>
    <t>Normal produksjon</t>
  </si>
  <si>
    <t>Variable: 957 timer à kr 10 =</t>
  </si>
  <si>
    <t xml:space="preserve">Faste: 432 000 : 12 = </t>
  </si>
  <si>
    <t>Variable: 950 timer à kr 10 =</t>
  </si>
  <si>
    <t>Faste: 950 timer à kr 60 =</t>
  </si>
  <si>
    <t>Dekningsdifferanse i tilvirkningsavdelingen:</t>
  </si>
  <si>
    <t>Standard Elite</t>
  </si>
  <si>
    <t>Standard Prima</t>
  </si>
  <si>
    <t>3 timer à kr 70 =</t>
  </si>
  <si>
    <t>Indirekte tilv.kostn.</t>
  </si>
  <si>
    <t>Direkte lønn produksjon</t>
  </si>
  <si>
    <t>Ferdigproduksjon: 50 à 7 timer =</t>
  </si>
  <si>
    <t>Økning varer i arbeid: 40 à 3 timer =</t>
  </si>
  <si>
    <t>Ferdigproduksjon: 120 à 4 timer =</t>
  </si>
  <si>
    <t>Effektivitets  avvik</t>
  </si>
  <si>
    <t>Forbruks  avvik</t>
  </si>
  <si>
    <t>2 680 enheter à ½ time =</t>
  </si>
  <si>
    <r>
      <t>(Ts ∙ k</t>
    </r>
    <r>
      <rPr>
        <vertAlign val="subscript"/>
        <sz val="12"/>
        <rFont val="Times New Roman"/>
        <family val="1"/>
      </rPr>
      <t>s</t>
    </r>
    <r>
      <rPr>
        <vertAlign val="superscript"/>
        <sz val="12"/>
        <rFont val="Times New Roman"/>
        <family val="1"/>
      </rPr>
      <t>var</t>
    </r>
    <r>
      <rPr>
        <sz val="12"/>
        <rFont val="Times New Roman"/>
        <family val="1"/>
      </rPr>
      <t>)</t>
    </r>
  </si>
  <si>
    <r>
      <t>(Tv ∙ k</t>
    </r>
    <r>
      <rPr>
        <vertAlign val="subscript"/>
        <sz val="12"/>
        <rFont val="Times New Roman"/>
        <family val="1"/>
      </rPr>
      <t>s</t>
    </r>
    <r>
      <rPr>
        <vertAlign val="superscript"/>
        <sz val="12"/>
        <rFont val="Times New Roman"/>
        <family val="1"/>
      </rPr>
      <t>var</t>
    </r>
    <r>
      <rPr>
        <sz val="12"/>
        <rFont val="Times New Roman"/>
        <family val="1"/>
      </rPr>
      <t>)</t>
    </r>
  </si>
  <si>
    <t>Oppgave 5.1</t>
  </si>
  <si>
    <t>Kalkyle:</t>
  </si>
  <si>
    <t>Råvarer</t>
  </si>
  <si>
    <t>Produksjonslønn</t>
  </si>
  <si>
    <t>Div var. kostn.</t>
  </si>
  <si>
    <t>Salgspris</t>
  </si>
  <si>
    <t>Budsjetterte faste kostn.</t>
  </si>
  <si>
    <t>Budsjettert antall enheter</t>
  </si>
  <si>
    <t>Virkelig antall enhter</t>
  </si>
  <si>
    <t>Fleksibelt budsjettavvik</t>
  </si>
  <si>
    <t>Salgsvolum-avvik</t>
  </si>
  <si>
    <t>Statisk budsjett</t>
  </si>
  <si>
    <t>Antall enheter</t>
  </si>
  <si>
    <t>Sum variable kostn.</t>
  </si>
  <si>
    <t>Beholdningsendringene vil alltid bli høyere etter selvkostmetoden enn etter bidragsmetoden.</t>
  </si>
  <si>
    <t>Oppgave 5.2</t>
  </si>
  <si>
    <t>Div. var. kostn</t>
  </si>
  <si>
    <t>Oppgave 5.3</t>
  </si>
  <si>
    <t>Forbruk i enheter</t>
  </si>
  <si>
    <t>Råmaterial</t>
  </si>
  <si>
    <t>Øvrige opplysninger:</t>
  </si>
  <si>
    <t>Virkelig antall enheter</t>
  </si>
  <si>
    <t>Fleksibelt buds.avvik</t>
  </si>
  <si>
    <t>I tillegg må avvikene kommenteres. Se lærebok / forelesningsnotater.</t>
  </si>
  <si>
    <t>Direkte lønn:</t>
  </si>
  <si>
    <t>Indirekte kostnader:</t>
  </si>
  <si>
    <t>Tilvirkningsavdelingen:</t>
  </si>
  <si>
    <t>Normal prod. og salg i enheter</t>
  </si>
  <si>
    <t>Forventet salgspris per stk.</t>
  </si>
  <si>
    <t>Budsjett:</t>
  </si>
  <si>
    <t xml:space="preserve">Direkte materialer: </t>
  </si>
  <si>
    <t>Tilvirkningmsmerkost</t>
  </si>
  <si>
    <t>Salgsinntekt</t>
  </si>
  <si>
    <t>Variable SA</t>
  </si>
  <si>
    <t>= Totalt DB</t>
  </si>
  <si>
    <t>Kg per enhet = 650,- / 130,- = 5 kg</t>
  </si>
  <si>
    <t>Timer per enhet = 600,- / 300,- = 2 timer</t>
  </si>
  <si>
    <t>Mv * Pv</t>
  </si>
  <si>
    <t>Mv</t>
  </si>
  <si>
    <t>Tv*Lv</t>
  </si>
  <si>
    <t>Lv</t>
  </si>
  <si>
    <t xml:space="preserve">Tv = 645280 / 296,- </t>
  </si>
  <si>
    <t>Ferdigprodusert: 1100 à 2t =</t>
  </si>
  <si>
    <t>-reduksjon VIA 50 enh*1t =</t>
  </si>
  <si>
    <t>Ts</t>
  </si>
  <si>
    <t>Ferdigprodusert: 1100 enheter à 5 kg =</t>
  </si>
  <si>
    <t>-reduksjon VIA 50 enh*5kg    =:</t>
  </si>
  <si>
    <t>Ms</t>
  </si>
  <si>
    <t>Avvik FTK</t>
  </si>
  <si>
    <t>Vurdering av en enhet VIA:</t>
  </si>
  <si>
    <t>f)</t>
  </si>
  <si>
    <t>Det negative effektivitetsavviket kommer av at vi har vært mindre effektive enn standarden skulle tilsi</t>
  </si>
  <si>
    <t xml:space="preserve">(brukt 2 180 timer mens standarden tilsier 2 150 timer) </t>
  </si>
  <si>
    <t xml:space="preserve">Det positive forbruksavviket kommer av at forbruket og eller mengden av indirekte kostnader har vært </t>
  </si>
  <si>
    <t>mindre en forutsatt. For eksempel dersom strøm er en viktig indirekte kostnad i denne avdelingen så</t>
  </si>
  <si>
    <t>kan vi tenke oss at prisen per kW/t har vært mindre enn forutsatt og / eller at antall kW/t har vært</t>
  </si>
  <si>
    <t>mindre enn forutsatt.</t>
  </si>
  <si>
    <t>Materialforbruk i meter</t>
  </si>
  <si>
    <t>Standard-</t>
    <phoneticPr fontId="9" type="noConversion"/>
  </si>
  <si>
    <t>Forskuddsbetalt lønn 1.1.</t>
    <phoneticPr fontId="9" type="noConversion"/>
  </si>
  <si>
    <t>Forskuddsbetalt lønn 31.3.</t>
    <phoneticPr fontId="9" type="noConversion"/>
  </si>
  <si>
    <t>– Faste kostnader</t>
    <phoneticPr fontId="42" type="noConversion"/>
  </si>
  <si>
    <t>Fordelt på faste og variable</t>
  </si>
  <si>
    <t>Beregning av Ms</t>
  </si>
  <si>
    <t>Beregning av Ts</t>
  </si>
  <si>
    <t xml:space="preserve">Økning varer i arbeid </t>
  </si>
  <si>
    <t>Tilvirkningkost ferdige varer</t>
  </si>
  <si>
    <t>Tillegg administrasjon</t>
  </si>
  <si>
    <t>Dir. materialer</t>
  </si>
  <si>
    <t>Innkjøpsavd.</t>
  </si>
  <si>
    <t>Tilv. avd</t>
  </si>
  <si>
    <t>Tilv.kost</t>
  </si>
  <si>
    <t>Budsjettkostnaden:</t>
  </si>
  <si>
    <t>Standardkostnader:</t>
  </si>
  <si>
    <t>Analyse av de indirekte variable kostnadene i tilvirkningsavdelingen</t>
    <phoneticPr fontId="42" type="noConversion"/>
  </si>
  <si>
    <t>50 · 430</t>
    <phoneticPr fontId="42" type="noConversion"/>
  </si>
  <si>
    <t>50 · 430</t>
    <phoneticPr fontId="42" type="noConversion"/>
  </si>
  <si>
    <t>Avviket på de faste kostnadene (–11 500) er et forbruksavvik.</t>
    <phoneticPr fontId="42" type="noConversion"/>
  </si>
  <si>
    <r>
      <t>Mulige</t>
    </r>
    <r>
      <rPr>
        <i/>
        <sz val="11"/>
        <rFont val="Arial"/>
        <family val="2"/>
      </rPr>
      <t xml:space="preserve"> årsaker </t>
    </r>
    <r>
      <rPr>
        <sz val="11"/>
        <rFont val="Arial"/>
        <family val="2"/>
      </rPr>
      <t>til avvikene må nevnes. Det er ikke tilstrekkelig kun å nevne</t>
    </r>
    <phoneticPr fontId="42" type="noConversion"/>
  </si>
  <si>
    <t>at avvikene er positive eller negative. Se læreboken.</t>
    <phoneticPr fontId="42" type="noConversion"/>
  </si>
  <si>
    <t>lagrene slik at de i realiteten følger varene, det vil si de føres til lager.</t>
    <phoneticPr fontId="42" type="noConversion"/>
  </si>
  <si>
    <t>– Variable kostnader</t>
    <phoneticPr fontId="42" type="noConversion"/>
  </si>
  <si>
    <t>+Økning VIA (10 enheter)</t>
    <phoneticPr fontId="42" type="noConversion"/>
  </si>
  <si>
    <t>Beregning av standard tid</t>
    <phoneticPr fontId="42" type="noConversion"/>
  </si>
  <si>
    <t>Ferdigprodusert: 175 enheter à 1,5 time =</t>
    <phoneticPr fontId="42" type="noConversion"/>
  </si>
  <si>
    <t>Salgs- og adm.avd.</t>
    <phoneticPr fontId="42" type="noConversion"/>
  </si>
  <si>
    <t>– Reduksjon VIA</t>
    <phoneticPr fontId="42" type="noConversion"/>
  </si>
  <si>
    <t>(420 · 1,5 time)</t>
    <phoneticPr fontId="42" type="noConversion"/>
  </si>
  <si>
    <t>(10 · 1,5 time / 2)</t>
    <phoneticPr fontId="42" type="noConversion"/>
  </si>
  <si>
    <t>(420 · 1 time)</t>
    <phoneticPr fontId="42" type="noConversion"/>
  </si>
  <si>
    <t>(10 · 1 kg)</t>
    <phoneticPr fontId="42" type="noConversion"/>
  </si>
  <si>
    <t>Virkelig solgt mengde</t>
    <phoneticPr fontId="42" type="noConversion"/>
  </si>
  <si>
    <t>Beh.endr. VIA</t>
    <phoneticPr fontId="42" type="noConversion"/>
  </si>
  <si>
    <t>Salgs- og adm.avd.</t>
    <phoneticPr fontId="42" type="noConversion"/>
  </si>
  <si>
    <t>Sum avvik dir. kostnader</t>
    <phoneticPr fontId="42" type="noConversion"/>
  </si>
  <si>
    <t>Sum dekningsdifferanse</t>
    <phoneticPr fontId="42" type="noConversion"/>
  </si>
  <si>
    <t>Vurdering av VIA</t>
    <phoneticPr fontId="42" type="noConversion"/>
  </si>
  <si>
    <t>Dir. lønn</t>
    <phoneticPr fontId="42" type="noConversion"/>
  </si>
  <si>
    <t>Tillegg ind. VK T.avd</t>
    <phoneticPr fontId="42" type="noConversion"/>
  </si>
  <si>
    <t>Dir. matr.</t>
    <phoneticPr fontId="42" type="noConversion"/>
  </si>
  <si>
    <t>Standard-</t>
    <phoneticPr fontId="42" type="noConversion"/>
  </si>
  <si>
    <t>Standard-</t>
    <phoneticPr fontId="42" type="noConversion"/>
  </si>
  <si>
    <t>Effektivitets-</t>
    <phoneticPr fontId="42" type="noConversion"/>
  </si>
  <si>
    <t>Standard-</t>
    <phoneticPr fontId="42" type="noConversion"/>
  </si>
  <si>
    <r>
      <t>k</t>
    </r>
    <r>
      <rPr>
        <vertAlign val="subscript"/>
        <sz val="10"/>
        <rFont val="Arial"/>
        <family val="2"/>
      </rPr>
      <t>s</t>
    </r>
    <r>
      <rPr>
        <vertAlign val="superscript"/>
        <sz val="10"/>
        <rFont val="Arial"/>
        <family val="2"/>
      </rPr>
      <t xml:space="preserve">var </t>
    </r>
    <r>
      <rPr>
        <sz val="10"/>
        <rFont val="Arial"/>
        <family val="2"/>
      </rPr>
      <t>· T</t>
    </r>
    <r>
      <rPr>
        <vertAlign val="subscript"/>
        <sz val="10"/>
        <rFont val="Arial"/>
        <family val="2"/>
      </rPr>
      <t>s</t>
    </r>
    <phoneticPr fontId="42" type="noConversion"/>
  </si>
  <si>
    <r>
      <t>k</t>
    </r>
    <r>
      <rPr>
        <vertAlign val="subscript"/>
        <sz val="10"/>
        <rFont val="Arial"/>
        <family val="2"/>
      </rPr>
      <t>s</t>
    </r>
    <r>
      <rPr>
        <vertAlign val="superscript"/>
        <sz val="10"/>
        <rFont val="Arial"/>
        <family val="2"/>
      </rPr>
      <t xml:space="preserve">var </t>
    </r>
    <r>
      <rPr>
        <sz val="10"/>
        <rFont val="Arial"/>
        <family val="2"/>
      </rPr>
      <t>· T</t>
    </r>
    <r>
      <rPr>
        <vertAlign val="subscript"/>
        <sz val="10"/>
        <rFont val="Arial"/>
        <family val="2"/>
      </rPr>
      <t>v</t>
    </r>
    <phoneticPr fontId="42" type="noConversion"/>
  </si>
  <si>
    <t>Her er det beholdningsnedgang, og en får motsatt virkning. Selvkost-</t>
    <phoneticPr fontId="42" type="noConversion"/>
  </si>
  <si>
    <t>Resten av løsningen gjelder oppgave 6.3 og er ikke løselig før du har lest</t>
    <phoneticPr fontId="42" type="noConversion"/>
  </si>
  <si>
    <t>(430 – 450) · 400 kroner</t>
    <phoneticPr fontId="42" type="noConversion"/>
  </si>
  <si>
    <t>Forbruksav.var. salgs-/adm.avd.</t>
    <phoneticPr fontId="42" type="noConversion"/>
  </si>
  <si>
    <t>100 · 622,5</t>
    <phoneticPr fontId="42" type="noConversion"/>
  </si>
  <si>
    <t>100 · 650</t>
    <phoneticPr fontId="42" type="noConversion"/>
  </si>
  <si>
    <t>Løsningen nedenfor gjelder oppgave 6.10 og er ikke løselig før du har lest kapittel 6.</t>
  </si>
  <si>
    <t>Div. variable kostnader</t>
  </si>
  <si>
    <t>Råvarer og produksjonslønn er lavere enn det virkelig aktivitet/produksjon tilsier, jf. fleksibelt budsjett.</t>
  </si>
  <si>
    <t>Diverse variable kostnader er høyere enn de burde vært ut fra det fleksible budsjettet.</t>
  </si>
  <si>
    <t xml:space="preserve">Salgsvolumet er ikke kommet opp på nivå med statisk budsjett (10 500 enheter). Det kan være kritikkverdig, </t>
  </si>
  <si>
    <t>og oppnådd salgspris er lavere enn forutsatt i budsjettet (fleksibelt budsjettavvik).</t>
  </si>
  <si>
    <t>kostnader (1)</t>
  </si>
  <si>
    <t>vurdert til Ps (2)</t>
  </si>
  <si>
    <t>kostnader (3)</t>
  </si>
  <si>
    <t>(1-2)</t>
  </si>
  <si>
    <t>(2-3)</t>
  </si>
  <si>
    <t>vurdert til Ls (2)</t>
  </si>
  <si>
    <t>Tilvirkningsavdeling 1</t>
  </si>
  <si>
    <t>Tilvirkningsavdeling 2</t>
  </si>
  <si>
    <t>Virkelige-
kostnader</t>
  </si>
  <si>
    <t>PsMs (1)</t>
  </si>
  <si>
    <t>PsMv (2)</t>
  </si>
  <si>
    <t>PvMv (3)</t>
  </si>
  <si>
    <t>LsTs (1)</t>
  </si>
  <si>
    <t>LsTv (2)</t>
  </si>
  <si>
    <t>LvTv (3)</t>
  </si>
  <si>
    <t>Analyse av de indirekte variable kostnadene i salgs- og administrasjon</t>
  </si>
  <si>
    <t>kostnad (1)</t>
  </si>
  <si>
    <t>budsjett (2)</t>
  </si>
  <si>
    <t>Virkelig (3)</t>
  </si>
  <si>
    <t>avvik (1-2)</t>
  </si>
  <si>
    <t>avvik (2-3)</t>
  </si>
  <si>
    <t>avvik (1-3)</t>
  </si>
  <si>
    <r>
      <t>Standard materialpris (P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): 1 800 000 / 60 000 =</t>
    </r>
  </si>
  <si>
    <t>Direkte arbeidstimer per år: 30 000 à 0,5 time =</t>
  </si>
  <si>
    <r>
      <t>Standard lønnssats (L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): 3 000 000 / 15 000 =</t>
    </r>
  </si>
  <si>
    <t>Standardsats materialavdelingen: 60 000 / 60 000 =</t>
  </si>
  <si>
    <t>Standardsats tilvirkningsavdelingen: 120 000 / 15 000 =</t>
  </si>
  <si>
    <t>Direkte lønn: 0,5 time à kr 200 =</t>
  </si>
  <si>
    <t>Tilvirkningsavdelingen: 0,5 time à kr 8 =</t>
  </si>
  <si>
    <t>Standard-</t>
  </si>
  <si>
    <t>I tillegg må avvikene kommenteres. Se læreboken eller forelesningsnotater.</t>
  </si>
  <si>
    <r>
      <t>(Tv ∙ k</t>
    </r>
    <r>
      <rPr>
        <vertAlign val="subscript"/>
        <sz val="12"/>
        <rFont val="Arial"/>
        <family val="2"/>
      </rPr>
      <t>s</t>
    </r>
    <r>
      <rPr>
        <vertAlign val="superscript"/>
        <sz val="12"/>
        <rFont val="Arial"/>
        <family val="2"/>
      </rPr>
      <t>var</t>
    </r>
    <r>
      <rPr>
        <sz val="12"/>
        <rFont val="Arial"/>
        <family val="2"/>
      </rPr>
      <t>):</t>
    </r>
  </si>
  <si>
    <t>Standard mengde i februar:</t>
  </si>
  <si>
    <t>Standard tid i februar:</t>
  </si>
  <si>
    <t>Indirekte variable tilv.kostnader: 1,3 time à kr 80 =</t>
  </si>
  <si>
    <t>Budsjettert dekningsbidrag finner vi enda raskere slik: 11 200 à kr 835 =</t>
  </si>
  <si>
    <t>Lønnssats-</t>
  </si>
  <si>
    <t>Dekn.diff.</t>
  </si>
  <si>
    <t>Beholdningsendring varer i arbeid</t>
  </si>
  <si>
    <t>Beholdningsendring ferdigvarer</t>
  </si>
  <si>
    <t>Salgs- og administrasjonsavdelingen</t>
  </si>
  <si>
    <t>DPO kr</t>
  </si>
  <si>
    <t>Dette stemmer overhodet ikke. I bidragsmetoden belastes hver periode med periodens faste</t>
  </si>
  <si>
    <t>Vi har alle avvik på kostnadssiden, men trenger å finne inntektsavviket (i dette tilfellet med utgangspunkt i salgspris, se læreboken):</t>
  </si>
  <si>
    <r>
      <t>P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</si>
  <si>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S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 = </t>
    </r>
  </si>
  <si>
    <r>
      <t>DB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 =</t>
    </r>
  </si>
  <si>
    <t>(se punkt a)</t>
  </si>
  <si>
    <t>Salgsprisavvik: 12 510 · (2 285 – 2 330) =</t>
  </si>
  <si>
    <t xml:space="preserve"> (fra driftsregnskapet i oppgave b))</t>
  </si>
  <si>
    <t>Vi ser ovenfor at avvikene på kostnads- og inntektssiden forklarer forskjellen mellom budsjettert resultat og virkelig resultat. Kommentarer utelatt.</t>
  </si>
  <si>
    <r>
      <t>Beregning av M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:</t>
    </r>
  </si>
  <si>
    <r>
      <t>Beregning av T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:</t>
    </r>
  </si>
  <si>
    <t>Kommentarer utelatt. Se lærebok.</t>
  </si>
  <si>
    <t>Det er ikke nødvendig å sette opp driftsregnskapet slik det er vist nedenfor (det er jo vist i oppgaveteksten).</t>
  </si>
  <si>
    <t>Ind.var. tilv.kostnader</t>
  </si>
  <si>
    <t>Når bedriften produserer kun ett produkt, finner vi kostnadene per enhet ved å dividere med 1100.</t>
  </si>
  <si>
    <r>
      <t>Beregning av M</t>
    </r>
    <r>
      <rPr>
        <b/>
        <vertAlign val="subscript"/>
        <sz val="12"/>
        <rFont val="Arial"/>
        <family val="2"/>
      </rPr>
      <t>S</t>
    </r>
    <r>
      <rPr>
        <b/>
        <sz val="12"/>
        <rFont val="Arial"/>
        <family val="2"/>
      </rPr>
      <t>:</t>
    </r>
  </si>
  <si>
    <r>
      <t>Beregning av T</t>
    </r>
    <r>
      <rPr>
        <b/>
        <vertAlign val="subscript"/>
        <sz val="12"/>
        <rFont val="Arial"/>
        <family val="2"/>
      </rPr>
      <t>S</t>
    </r>
    <r>
      <rPr>
        <b/>
        <sz val="12"/>
        <rFont val="Arial"/>
        <family val="2"/>
      </rPr>
      <t>:</t>
    </r>
  </si>
  <si>
    <t>Økning varer i arbeid: 200 à 2,5 timer =</t>
  </si>
  <si>
    <t>Direkte lønn: 2,5 timer à kr 300 =</t>
  </si>
  <si>
    <t>Ind.var.tilv.kostnader: 2,5 timer à kr 50 =</t>
  </si>
  <si>
    <t>Effektivitets-avvik</t>
  </si>
  <si>
    <r>
      <t>6 500 timer (T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) à kr 50 =</t>
    </r>
  </si>
  <si>
    <t xml:space="preserve"> (Se også driftsregnskapet nedenfor.)</t>
  </si>
  <si>
    <r>
      <t>6 730 timer (T</t>
    </r>
    <r>
      <rPr>
        <vertAlign val="subscript"/>
        <sz val="12"/>
        <rFont val="Arial"/>
        <family val="2"/>
      </rPr>
      <t>V</t>
    </r>
    <r>
      <rPr>
        <sz val="12"/>
        <rFont val="Arial"/>
        <family val="2"/>
      </rPr>
      <t>) à kr 50 =</t>
    </r>
  </si>
  <si>
    <t>Vi får et negativt effektivitetsavvik fordi vi har brukt 6730 timer i forhold til standard som er 6500 timer.</t>
  </si>
  <si>
    <r>
      <t>Positivt forbruksavvik.</t>
    </r>
    <r>
      <rPr>
        <sz val="12"/>
        <color indexed="10"/>
        <rFont val="Arial"/>
        <family val="2"/>
      </rPr>
      <t xml:space="preserve"> </t>
    </r>
  </si>
  <si>
    <t>Ellers er kommentarene utelatt.</t>
  </si>
  <si>
    <t xml:space="preserve">Det er satt i gang 1150 enheter og ferdigprodusert 1 050. Dermed må 100 enheter </t>
  </si>
  <si>
    <t>fremdeles være uferdige (halvferdige).</t>
  </si>
  <si>
    <t>Ind.var. tilv.kostn: 1 time à kr 35 =</t>
  </si>
  <si>
    <t>Forbruks- avvik</t>
  </si>
  <si>
    <t>Løsningen nedenfor gjelder for oppgave 6.4 og er ikke løselig før du har lest kapittel 6.</t>
  </si>
  <si>
    <t>Eller mye enklere (og raskere):</t>
  </si>
  <si>
    <t xml:space="preserve">Se material- og lønnsregnskapet ovenfor for avvik knyttet til de inndirekte kostnadene. </t>
  </si>
  <si>
    <t>Avvik på de inndirekte kostnadene:</t>
  </si>
  <si>
    <t>Kjøp av materialer (6 000 kg à kr 8,10)</t>
  </si>
  <si>
    <r>
      <t>Virkelig materialkostnad: M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· P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=</t>
    </r>
  </si>
  <si>
    <t>Ferdigprodusert: 1 200 enheter à 0,5 time =</t>
  </si>
  <si>
    <t>Nedgang varer i arbeid: 20 enheter à 0,25 time</t>
  </si>
  <si>
    <t>Tilvirkningsmerkost = merkost solgte varer</t>
  </si>
  <si>
    <t>Salgs- og adm.avdelingen</t>
  </si>
  <si>
    <t>Direkte lønn: 0,25 time à kr 180 =</t>
  </si>
  <si>
    <t>Effektivitets- avvik</t>
  </si>
  <si>
    <t>et kronetillegg per time, ville tillegget blitt 0,5 time à kr 90 = kr 45</t>
  </si>
  <si>
    <t>Når vi beregner normkostnader for de variable kostnadene, regnes de ut slik:</t>
  </si>
  <si>
    <r>
      <t>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· Standardsats = 600 timer à kr 90 = kr 54 000.</t>
    </r>
  </si>
  <si>
    <r>
      <t>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· L</t>
    </r>
    <r>
      <rPr>
        <vertAlign val="subscript"/>
        <sz val="12"/>
        <rFont val="Times New Roman"/>
        <family val="1"/>
      </rPr>
      <t xml:space="preserve">S </t>
    </r>
    <r>
      <rPr>
        <sz val="12"/>
        <rFont val="Times New Roman"/>
        <family val="1"/>
      </rPr>
      <t>= 108 000. Se lønnsregnskapet.</t>
    </r>
  </si>
  <si>
    <r>
      <t>Her blir det i prinsippet på samme måte. M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· P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48 000 og 23 800</t>
    </r>
  </si>
  <si>
    <t>– Variable</t>
  </si>
  <si>
    <t>– Faste kostnader</t>
  </si>
  <si>
    <t>time</t>
  </si>
  <si>
    <t>Standardkostnader (1)</t>
  </si>
  <si>
    <t>Pris per enhet</t>
    <phoneticPr fontId="42" type="noConversion"/>
  </si>
  <si>
    <t>Div. variable kostnader</t>
    <phoneticPr fontId="42" type="noConversion"/>
  </si>
  <si>
    <t>Forbruks-avvik</t>
  </si>
  <si>
    <t>2 Budsjett</t>
  </si>
  <si>
    <t>(fleksibelt budsjett)</t>
  </si>
  <si>
    <t>Innkjøpsavdelingen:</t>
  </si>
  <si>
    <t>Variable (fleksibelt budsjett)</t>
  </si>
  <si>
    <t>Varer i arbeid – Prima:</t>
  </si>
  <si>
    <t>Tilvirkningskost ViA</t>
  </si>
  <si>
    <t>Beregning av standardtid (Ts)</t>
  </si>
  <si>
    <t>Elite</t>
  </si>
  <si>
    <t>Effektivitetsavvik:</t>
  </si>
  <si>
    <t>Forbruksavviket er negativt for både faste og variable kostnader.</t>
  </si>
  <si>
    <t>Prisen er kr 6 lavere enn budsjettert. Da vil også dekningsbidraget bli kr 6 lavere.</t>
  </si>
  <si>
    <t>(se beregninger nedenfor)</t>
  </si>
  <si>
    <t>Løsningen nedenfor gjelder for oppgave 6.5 og er ikke løselig før du har lest kapittel 6.</t>
  </si>
  <si>
    <t>(se øverst i regnearket)</t>
  </si>
  <si>
    <t>Virkelig pris (8 970 000 / 1 300 enheter)</t>
  </si>
  <si>
    <t>Budsjettert salgsvolum</t>
  </si>
  <si>
    <t>Virkelig salgsvolum</t>
  </si>
  <si>
    <t>Vi har solgt 1 300 enheter til en pris som er kr 100 lavere enn budsjettert</t>
  </si>
  <si>
    <t>1 300 · (6 900 – 7 000) =</t>
  </si>
  <si>
    <t>Her kunne vi benyttet dekningsbidrag i stedet for pris slik som det er gjort i oppgave 6.4.</t>
  </si>
  <si>
    <t xml:space="preserve">Vi har solgt 200 enheter mer enn budsjettert. </t>
  </si>
  <si>
    <t>2 050 · (1 300 – 1 100) =</t>
  </si>
  <si>
    <t>Dekningsgrad:</t>
  </si>
  <si>
    <t>enheter</t>
  </si>
  <si>
    <r>
      <t>DP</t>
    </r>
    <r>
      <rPr>
        <vertAlign val="subscript"/>
        <sz val="12"/>
        <rFont val="Arial"/>
        <family val="2"/>
      </rPr>
      <t>KR</t>
    </r>
  </si>
  <si>
    <r>
      <t>DP</t>
    </r>
    <r>
      <rPr>
        <vertAlign val="subscript"/>
        <sz val="12"/>
        <rFont val="Arial"/>
        <family val="2"/>
      </rPr>
      <t>M</t>
    </r>
  </si>
  <si>
    <t>Risikomargin</t>
  </si>
  <si>
    <t>Risikomargin i %</t>
  </si>
  <si>
    <t>Diagram og kommenterer utelatt.</t>
  </si>
  <si>
    <t>Det er netto beholdnings økning (trekker i fra kostnader på kostnadssiden).</t>
  </si>
  <si>
    <t>Ved selvkostmetoden vurderes varebeholdningen høyere enn ved bidrags-</t>
  </si>
  <si>
    <t>metoden, og vil dermed gi et bedre resultat.</t>
  </si>
  <si>
    <r>
      <t>Salgsprisavvik</t>
    </r>
    <r>
      <rPr>
        <sz val="12"/>
        <rFont val="Arial"/>
        <family val="2"/>
      </rPr>
      <t>: Virkelig solgt mengde · (virkelig pris – budsjettert pris)</t>
    </r>
  </si>
  <si>
    <t>Virkelig resultat fra driftsregnskapet</t>
  </si>
  <si>
    <t>NB klikk på cellene for å se hvor tallene kommer i fra.</t>
  </si>
  <si>
    <t>Effektivitetsavvik tilv.avd.</t>
  </si>
  <si>
    <t>Virkelig forbruk</t>
  </si>
  <si>
    <t>Virkelig forbr.</t>
  </si>
  <si>
    <r>
      <t>T</t>
    </r>
    <r>
      <rPr>
        <vertAlign val="subscript"/>
        <sz val="12"/>
        <rFont val="Times New Roman"/>
        <family val="1"/>
      </rPr>
      <t xml:space="preserve">V · </t>
    </r>
    <r>
      <rPr>
        <sz val="12"/>
        <rFont val="Times New Roman"/>
        <family val="1"/>
      </rPr>
      <t>L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= 1 000 t à kr 275 =</t>
    </r>
  </si>
  <si>
    <t>(1050 – 1000) · 430 enheter</t>
  </si>
  <si>
    <t>I tilvirkningsavdelingen har vi et positivt effektivitetsavvik på kr 480. Vi har brukt 1 280</t>
  </si>
  <si>
    <t>kostnader 1</t>
  </si>
  <si>
    <t>vurdert til Ps 2</t>
  </si>
  <si>
    <t>kostnader 3</t>
  </si>
  <si>
    <t>vurdert til Ls 2</t>
  </si>
  <si>
    <t>OL kostet bedriften kr 630 ekstra denne dagen</t>
  </si>
  <si>
    <t>1-3</t>
  </si>
  <si>
    <t>=Lv*Tv</t>
  </si>
  <si>
    <t>vurdert til Ls( Ls*Tv)</t>
  </si>
  <si>
    <t>Ls*Ts</t>
  </si>
  <si>
    <t>Totalavvik</t>
  </si>
  <si>
    <t>Virkelige kostnader (3)</t>
  </si>
  <si>
    <t>Virkelig forbruk (2)</t>
  </si>
  <si>
    <t>Regnskap for direkte lønn</t>
  </si>
  <si>
    <t>Virkelig lønnssats (gj.snitt)</t>
  </si>
  <si>
    <t>Overtidssats</t>
  </si>
  <si>
    <t>timer overtid</t>
  </si>
  <si>
    <t xml:space="preserve">Herav </t>
  </si>
  <si>
    <t>Virkelig tidsbruk</t>
  </si>
  <si>
    <t>D.</t>
  </si>
  <si>
    <t>Materialregnskap ikke nødvendig da det ikke er avvik verken på pris eller forbruk</t>
  </si>
  <si>
    <t>C.</t>
  </si>
  <si>
    <t>Lv*Tv</t>
  </si>
  <si>
    <t>Virkelig lønnssats (Lv)</t>
  </si>
  <si>
    <t>kr</t>
  </si>
  <si>
    <t>Overtidsats</t>
  </si>
  <si>
    <t>Standard lønnsats:</t>
  </si>
  <si>
    <t>Standard tidsbruk:</t>
  </si>
  <si>
    <t>B.</t>
  </si>
  <si>
    <t>Avvik skyldes frakt og en ekstra bremseskive</t>
  </si>
  <si>
    <t>vurdert til Ps = Ps*Mv (2)</t>
  </si>
  <si>
    <t>=Ps*Ms</t>
  </si>
  <si>
    <t xml:space="preserve">Virkelig forbruk </t>
  </si>
  <si>
    <t>Frakt-----------&gt;</t>
  </si>
  <si>
    <t>Sum standardkostnad---&gt;</t>
  </si>
  <si>
    <t>Standardkostnad----------&gt;</t>
  </si>
  <si>
    <t>standard mengde =</t>
  </si>
  <si>
    <t>----&gt;</t>
  </si>
  <si>
    <t>Standard pris bremseklosser</t>
  </si>
  <si>
    <t>Standard pris bremseskive</t>
  </si>
  <si>
    <t>A.</t>
  </si>
  <si>
    <t xml:space="preserve">Oppgave 5.4 </t>
  </si>
  <si>
    <t>Se i lærebokteksten</t>
  </si>
  <si>
    <t xml:space="preserve"> 1 - 2</t>
  </si>
  <si>
    <t>vurdert til Ls (Ls*Tv)</t>
  </si>
  <si>
    <t>=Ls*Ts</t>
  </si>
  <si>
    <t>Lønnsatsavvik</t>
  </si>
  <si>
    <t>=Pv*Mv</t>
  </si>
  <si>
    <t>vurdert til Ps (Ps*Mv)</t>
  </si>
  <si>
    <t>Standard lønnskostnader:</t>
  </si>
  <si>
    <t>minutter</t>
  </si>
  <si>
    <t>Standard tid:</t>
  </si>
  <si>
    <t>Standard materialkostnad:</t>
  </si>
  <si>
    <t xml:space="preserve">Standard mengde: </t>
  </si>
  <si>
    <t>Antall hamburgere produsert og solgt:</t>
  </si>
  <si>
    <t>Virkelige lønnskostnader (Lv*Tv)</t>
  </si>
  <si>
    <t>timer-----------------------&gt;</t>
  </si>
  <si>
    <t>Virkelig tidsbruk (Tv)</t>
  </si>
  <si>
    <t>Virkelige materialkostnader (Pv*Mv)</t>
  </si>
  <si>
    <t>Virkelig materialforbruk i kg</t>
  </si>
  <si>
    <t>Lønnsats per minutt (Ls)</t>
  </si>
  <si>
    <t>minutt</t>
  </si>
  <si>
    <t>Direkte tidsbruk per enhet</t>
  </si>
  <si>
    <t>Standard pris (Ps) per kg</t>
  </si>
  <si>
    <t>Direkte material per enhet:</t>
  </si>
  <si>
    <t>Inndata:</t>
  </si>
  <si>
    <t>5.5</t>
  </si>
  <si>
    <t>Administrasjonskostnad</t>
  </si>
  <si>
    <t>Tilvirkningskostnad</t>
  </si>
  <si>
    <t>Variable tilvirkningskostnader</t>
  </si>
  <si>
    <t>Faste tilvirkningskostnader</t>
  </si>
  <si>
    <t>Kalkyle</t>
  </si>
  <si>
    <t>Forbruk enh.</t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</si>
  <si>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FAST</t>
    </r>
  </si>
  <si>
    <t>------&gt;</t>
  </si>
  <si>
    <t>Budsjetterte variable tilvirkningskostn.</t>
  </si>
  <si>
    <t>Budsjetterte faste tilvirkningskostnader:</t>
  </si>
  <si>
    <t>Normalt antall timer</t>
  </si>
  <si>
    <t>Normalt antall enheter</t>
  </si>
  <si>
    <t>Indirekte faste tilvirkningskostnader</t>
  </si>
  <si>
    <t>Oppg. 5.6</t>
  </si>
  <si>
    <t>Budsjett relatert til produksjonen av Beta:</t>
  </si>
  <si>
    <t>Salgspris:</t>
  </si>
  <si>
    <t>Normalantall av Beta:</t>
  </si>
  <si>
    <t>Kalkyle Beta</t>
  </si>
  <si>
    <t>Normalantall av Alfa:</t>
  </si>
  <si>
    <t>Kalkyle Alfa</t>
  </si>
  <si>
    <t>Forutsetter samme tall fra eksempel i boka</t>
  </si>
  <si>
    <t>Virkelig lønnssats Tv</t>
  </si>
  <si>
    <t>Virkelig lønnskostnad</t>
  </si>
  <si>
    <t>Virkelig pris material Pv</t>
  </si>
  <si>
    <t>Virkelig materialkostnad</t>
  </si>
  <si>
    <t>Standard tidsforbruk</t>
  </si>
  <si>
    <t>Standard mengde (materialforbruk)</t>
  </si>
  <si>
    <t>Virkelig produksjonsmengde:</t>
  </si>
  <si>
    <t>Adm. Kostnader</t>
  </si>
  <si>
    <t>Indirekte variable tilv.k</t>
  </si>
  <si>
    <t>Indirekte faste tilv.kost.</t>
  </si>
  <si>
    <t>Direkte material</t>
  </si>
  <si>
    <t>bruk</t>
  </si>
  <si>
    <t>standard</t>
  </si>
  <si>
    <t>Oppgave 5.8</t>
  </si>
  <si>
    <t>Virkelig materialkostnad:</t>
  </si>
  <si>
    <t>Virkelig mengde (Mv):</t>
  </si>
  <si>
    <t>Beholdning</t>
  </si>
  <si>
    <t>31.1</t>
  </si>
  <si>
    <t>25.1</t>
  </si>
  <si>
    <t>10.1</t>
  </si>
  <si>
    <t>5.1</t>
  </si>
  <si>
    <t>1.1</t>
  </si>
  <si>
    <t>Antall enheter råvarer</t>
  </si>
  <si>
    <t>Regnskapstall for råvarer:</t>
  </si>
  <si>
    <t xml:space="preserve">Standard mengde Ms = </t>
  </si>
  <si>
    <t xml:space="preserve">A. </t>
  </si>
  <si>
    <t>Standard pris per råvareenhet</t>
  </si>
  <si>
    <t>enheter råvarer</t>
  </si>
  <si>
    <t>Standard forbruk per enhet</t>
  </si>
  <si>
    <t>Antall ferdigproduserte enheter:</t>
  </si>
  <si>
    <t>Oppgave 5.9</t>
  </si>
  <si>
    <t>direkte lønn</t>
  </si>
  <si>
    <t>Virkelige antall timer</t>
  </si>
  <si>
    <t>I.</t>
  </si>
  <si>
    <t>kan mindre forbruk av materialer medføre dårligere kvalitet? Pris på materialet er økt og det kan skyldes markedsmessige forhold.</t>
  </si>
  <si>
    <t>Her er det brukt mindre enn forutsatt. Det kan skyldes erfarne og effektive operatører. Det bør også være gjenstand for undersøkelse,</t>
  </si>
  <si>
    <t>Virkelig antall kg</t>
  </si>
  <si>
    <t>H.</t>
  </si>
  <si>
    <t>Ts:</t>
  </si>
  <si>
    <t xml:space="preserve">Ms: </t>
  </si>
  <si>
    <t>Antall ferdigprodusert og solgt:</t>
  </si>
  <si>
    <t>G.</t>
  </si>
  <si>
    <t>Bruk av ukyndige/nye operatører kan medføre både avvik på lønn og avvik på materiell</t>
  </si>
  <si>
    <t>F.</t>
  </si>
  <si>
    <t>Bruk av overkvalifisert arbeidskraft (lønnssatsavvik)</t>
  </si>
  <si>
    <t>Overtid (lønnssatsavvik)</t>
  </si>
  <si>
    <t>Tekniske problem som oppstår (tidsavvik)</t>
  </si>
  <si>
    <t>Ukyndige operatører (tidsavvik)</t>
  </si>
  <si>
    <t>Årsak til avvik:</t>
  </si>
  <si>
    <t>E.</t>
  </si>
  <si>
    <t>Virkelig timelønn (Tv)</t>
  </si>
  <si>
    <t>Gjennomgående feil i kalkyler (kan forårsake både mengdeavvik og prisavvik)</t>
  </si>
  <si>
    <t>Markedssituasjon som gjør at prisene går opp (prisavvik)</t>
  </si>
  <si>
    <t>Ukyndige operatører (mengdeavvik)</t>
  </si>
  <si>
    <t>Dårligere kvalitet på råvarer enn antatt (mengdeavvik)</t>
  </si>
  <si>
    <t xml:space="preserve">Årsak til avvik: </t>
  </si>
  <si>
    <t>Virkelig pris per kg materiale:</t>
  </si>
  <si>
    <t>Standard materialforbruk (Ms):</t>
  </si>
  <si>
    <t>Virkelig antall timer</t>
  </si>
  <si>
    <t>Virkelig produksjon</t>
  </si>
  <si>
    <t>(Mv)</t>
  </si>
  <si>
    <t>(Pv*Mv)</t>
  </si>
  <si>
    <t>Virkelige tall:</t>
  </si>
  <si>
    <t>(Ls)</t>
  </si>
  <si>
    <t xml:space="preserve">timer </t>
  </si>
  <si>
    <t>Tidsbruk per enhet</t>
  </si>
  <si>
    <t>(Ps)</t>
  </si>
  <si>
    <t>Pris direkte material</t>
  </si>
  <si>
    <t>Standarder:</t>
  </si>
  <si>
    <t>Oppgave 5.10</t>
  </si>
  <si>
    <t>Salgs- og administrasjonskostnader</t>
  </si>
  <si>
    <t>Endring ferdige varer</t>
  </si>
  <si>
    <t>Periodens tilvirkningskost ferdige varer</t>
  </si>
  <si>
    <t>Endring varer i arbeid</t>
  </si>
  <si>
    <t>Tilvirkningsavdeling (var.)</t>
  </si>
  <si>
    <t>Tilvirkningsavdeling (fast)</t>
  </si>
  <si>
    <t>Sum avvik direkte kostn.</t>
  </si>
  <si>
    <t>Direkte material B</t>
  </si>
  <si>
    <t>Direkte material A</t>
  </si>
  <si>
    <t>Virkelige tall</t>
  </si>
  <si>
    <t>Standardkostregnskap etter selvkostmetoden</t>
  </si>
  <si>
    <t>Standard tid tilvirkningavd.</t>
  </si>
  <si>
    <t>Antall ferdigprod</t>
  </si>
  <si>
    <t>vurdert til Ps (Ps*Mv )</t>
  </si>
  <si>
    <t>= Ps*Ms</t>
  </si>
  <si>
    <t>material B:</t>
  </si>
  <si>
    <t>Standard mengde material B:</t>
  </si>
  <si>
    <t>material A:</t>
  </si>
  <si>
    <t>Standard mengde material A:</t>
  </si>
  <si>
    <t>Ferdig produkt</t>
  </si>
  <si>
    <t>kalkylene for de to produktene:</t>
  </si>
  <si>
    <t xml:space="preserve">Utdrag av </t>
  </si>
  <si>
    <t xml:space="preserve">Utdata </t>
  </si>
  <si>
    <t>Virkelige inntekter/kostnader</t>
  </si>
  <si>
    <r>
      <t>Forbruk i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og timer</t>
    </r>
  </si>
  <si>
    <t>Virkelig tall hentet fra regnskapet:</t>
  </si>
  <si>
    <t>Antall ferdigproduserte</t>
  </si>
  <si>
    <t>Antall påbegynte</t>
  </si>
  <si>
    <t>Produkt</t>
  </si>
  <si>
    <t>Opplysninger om produksjon og salg.</t>
  </si>
  <si>
    <t>Direkte lønn (Ls)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</si>
  <si>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</si>
  <si>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Material B (Ps)</t>
  </si>
  <si>
    <t>Material A (Ps)</t>
  </si>
  <si>
    <t>Skrog 2</t>
  </si>
  <si>
    <t>Skrog 1</t>
  </si>
  <si>
    <t>kostnader:</t>
  </si>
  <si>
    <t>Standardsatser for direkte</t>
  </si>
  <si>
    <t>Inndata (tastes inn i blå celler)</t>
  </si>
  <si>
    <t>Oppgave 5.12</t>
  </si>
  <si>
    <t>Adminstrasjonskostnader</t>
  </si>
  <si>
    <t>ferdige varer</t>
  </si>
  <si>
    <t>Periodens tilv.kost for</t>
  </si>
  <si>
    <t>Indirekte tilvirkningskost</t>
  </si>
  <si>
    <t>Direkte  lønn</t>
  </si>
  <si>
    <t>Indirekte var.tilvirkn.kost</t>
  </si>
  <si>
    <t>Indirekte faste tilvirkn.kost</t>
  </si>
  <si>
    <t>sats</t>
  </si>
  <si>
    <t>standard bruk per enh</t>
  </si>
  <si>
    <t>Oppgave 5.13</t>
  </si>
  <si>
    <t>Tilvirk.kost solgte varer</t>
  </si>
  <si>
    <t>Det må beregnes standard mengde og standard tid på nytt da antall produserte enheter er endret fra januar.</t>
  </si>
  <si>
    <t>Standard tid (Ts)</t>
  </si>
  <si>
    <t>Standard mengde (Ms)</t>
  </si>
  <si>
    <t>Pris:</t>
  </si>
  <si>
    <t>Enheter produsert og solgt:</t>
  </si>
  <si>
    <t>Indirekte tilv.kost.</t>
  </si>
  <si>
    <t>Oppgave 5.14</t>
  </si>
  <si>
    <t>C</t>
  </si>
  <si>
    <t>900/300= 3 timer</t>
  </si>
  <si>
    <t>3 timer</t>
  </si>
  <si>
    <t>875/35=25 kg</t>
  </si>
  <si>
    <t xml:space="preserve">25 kg materialer: </t>
  </si>
  <si>
    <t>oppgave 5.15</t>
  </si>
  <si>
    <t>1 125 * 200=</t>
  </si>
  <si>
    <t>Standardkostnad direkte lønn:</t>
  </si>
  <si>
    <t>1,5*750 =</t>
  </si>
  <si>
    <t>Beregning av standardkostnad direkte lønn:</t>
  </si>
  <si>
    <t>3 000 * 200 =</t>
  </si>
  <si>
    <t>Standardkostnad direkte material:</t>
  </si>
  <si>
    <t xml:space="preserve">4*750 = </t>
  </si>
  <si>
    <t>Beregning av standardkostnad direkte material:</t>
  </si>
  <si>
    <t>oppgave 5.16</t>
  </si>
  <si>
    <r>
      <t>Tv*k</t>
    </r>
    <r>
      <rPr>
        <vertAlign val="subscript"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var</t>
    </r>
  </si>
  <si>
    <r>
      <t>Ts*k</t>
    </r>
    <r>
      <rPr>
        <vertAlign val="subscript"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var</t>
    </r>
  </si>
  <si>
    <t>variable tilvirkningskostn.</t>
  </si>
  <si>
    <t>Regnskap for indirekte</t>
  </si>
  <si>
    <r>
      <t>Ts*k</t>
    </r>
    <r>
      <rPr>
        <vertAlign val="subscript"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fast</t>
    </r>
  </si>
  <si>
    <t>faste tilvirkningskostn.</t>
  </si>
  <si>
    <t>Budsjett (2)</t>
  </si>
  <si>
    <t>direkte kostnader</t>
  </si>
  <si>
    <t>Virkelige variable indirekte tilvirkningskostnader:</t>
  </si>
  <si>
    <t>Virkelige faste indirekte tilvirkningskostnader:</t>
  </si>
  <si>
    <t>Total kostnad</t>
  </si>
  <si>
    <t>Virkelig lønnssats (Lv):</t>
  </si>
  <si>
    <t>Virkelig antall timer (Tv):</t>
  </si>
  <si>
    <t>Virkelig pris (Pv)</t>
  </si>
  <si>
    <t>Virkelig antall liter (Mv)</t>
  </si>
  <si>
    <t>Direkte material:</t>
  </si>
  <si>
    <t>Virkelig regnskapstall (inndata):</t>
  </si>
  <si>
    <t>(2 900*3)</t>
  </si>
  <si>
    <t>Standard tidsforbruk (Ts)</t>
  </si>
  <si>
    <t>(2 900*2)</t>
  </si>
  <si>
    <t>Standard mengde (materialforbruk)(Ms)</t>
  </si>
  <si>
    <t>Oppgave 5.17</t>
  </si>
  <si>
    <t>G</t>
  </si>
  <si>
    <t>280 timer*60</t>
  </si>
  <si>
    <t>Virkelig antall minutter (Tv):</t>
  </si>
  <si>
    <t>Virkelig antall kg (Mv)</t>
  </si>
  <si>
    <t>Del 2</t>
  </si>
  <si>
    <t>350 * 60</t>
  </si>
  <si>
    <t>Oppgave 5.18</t>
  </si>
  <si>
    <t>Adminstrasjonskostn</t>
  </si>
  <si>
    <t>Indirekte tilv.kostnader</t>
  </si>
  <si>
    <t>Indirekte innkjøpskostn</t>
  </si>
  <si>
    <t>Sum avvik direkte kostn</t>
  </si>
  <si>
    <t>Direkte kostnader</t>
  </si>
  <si>
    <t xml:space="preserve">Sats </t>
  </si>
  <si>
    <t xml:space="preserve">Virkelig </t>
  </si>
  <si>
    <t>Enheter</t>
  </si>
  <si>
    <t>Faste adm kostnader</t>
  </si>
  <si>
    <t>Variable tilvirkningskostn</t>
  </si>
  <si>
    <t>Faste tilvirknkostn</t>
  </si>
  <si>
    <t>Variable innkjøpskostn</t>
  </si>
  <si>
    <t>Faste innkjøpskostn</t>
  </si>
  <si>
    <t>Virkelige kostnader og inntekter</t>
  </si>
  <si>
    <t xml:space="preserve">Sats: </t>
  </si>
  <si>
    <t>Adminstrasjonsavd</t>
  </si>
  <si>
    <t>Tilvirkningsavdeling variabel</t>
  </si>
  <si>
    <t>Tilvirkningsavdeling fast</t>
  </si>
  <si>
    <t>Standard tidsforbruk:</t>
  </si>
  <si>
    <t>Innkjøpsavdeling variabel</t>
  </si>
  <si>
    <t>Standard materialforbruk:</t>
  </si>
  <si>
    <t>Innkjøpsavdeling fast</t>
  </si>
  <si>
    <t>time per enhet</t>
  </si>
  <si>
    <t>kg per enhet</t>
  </si>
  <si>
    <t xml:space="preserve">Direkte material:  </t>
  </si>
  <si>
    <t xml:space="preserve">Ls= </t>
  </si>
  <si>
    <t>Ps=</t>
  </si>
  <si>
    <t xml:space="preserve">Budsjettert antall: </t>
  </si>
  <si>
    <t>Selvkost (budsjettert)</t>
  </si>
  <si>
    <t>Indirekte admin. kostnader (fast)</t>
  </si>
  <si>
    <t>Tilvirkningsavdeling var.</t>
  </si>
  <si>
    <t>månedlig budsjett</t>
  </si>
  <si>
    <t>Tilvirkningsavdeling, fast</t>
  </si>
  <si>
    <t>Innkjøp variabel</t>
  </si>
  <si>
    <t>Innkjøp fast</t>
  </si>
  <si>
    <t>Indirekte tilvirkningskostn:</t>
  </si>
  <si>
    <t>Alle fargede områder er inndatafelt</t>
  </si>
  <si>
    <t>Inndata</t>
  </si>
  <si>
    <t>Oppgave 5.19</t>
  </si>
  <si>
    <t>Fortjeneste</t>
  </si>
  <si>
    <t>Kalkyler for de to produktene:</t>
  </si>
  <si>
    <t>Salgsinntekter skrog 2</t>
  </si>
  <si>
    <t>Salgsinntekter skrog 1</t>
  </si>
  <si>
    <t>Salgs- og adminstrasjonskostnader</t>
  </si>
  <si>
    <t>Indirekte faste tilv. kostnader</t>
  </si>
  <si>
    <t>Indirekte variable tilv.kostnader</t>
  </si>
  <si>
    <t>Salgspriser</t>
  </si>
  <si>
    <t>Per enhet solgt</t>
  </si>
  <si>
    <t>Salgs- og administrasjons-</t>
  </si>
  <si>
    <r>
      <t>tilvirkningskostnader (Ks</t>
    </r>
    <r>
      <rPr>
        <vertAlign val="superscript"/>
        <sz val="11"/>
        <color theme="1"/>
        <rFont val="Calibri"/>
        <family val="2"/>
        <scheme val="minor"/>
      </rPr>
      <t>fast</t>
    </r>
    <r>
      <rPr>
        <sz val="10"/>
        <rFont val="Arial"/>
        <family val="2"/>
      </rPr>
      <t>)</t>
    </r>
  </si>
  <si>
    <t>Indirekte faste</t>
  </si>
  <si>
    <r>
      <t>tilvirkningskostnader (Ks</t>
    </r>
    <r>
      <rPr>
        <vertAlign val="superscript"/>
        <sz val="11"/>
        <color theme="1"/>
        <rFont val="Calibri"/>
        <family val="2"/>
        <scheme val="minor"/>
      </rPr>
      <t>var</t>
    </r>
    <r>
      <rPr>
        <sz val="10"/>
        <rFont val="Arial"/>
        <family val="2"/>
      </rPr>
      <t>)</t>
    </r>
  </si>
  <si>
    <t xml:space="preserve">Indirekte variable </t>
  </si>
  <si>
    <t>og indirekte kostnader:</t>
  </si>
  <si>
    <t>Oppgave 5.20</t>
  </si>
  <si>
    <t>Økning varer i arbeid</t>
  </si>
  <si>
    <t>(2700 * 3 timer)</t>
  </si>
  <si>
    <t>Ferdigproduserte:</t>
  </si>
  <si>
    <t>Standard mengde:</t>
  </si>
  <si>
    <t>(2 700 * 2 liter)</t>
  </si>
  <si>
    <t>Ferdigproduserte</t>
  </si>
  <si>
    <t>Standard mengde :</t>
  </si>
  <si>
    <t>Antall enheter solgt</t>
  </si>
  <si>
    <t>Antall enheter ferdigprodusert</t>
  </si>
  <si>
    <t>Antall enheter påbegynt</t>
  </si>
  <si>
    <t>(100*0,5*3 timer)</t>
  </si>
  <si>
    <t>Reduksjon varer i arbeid</t>
  </si>
  <si>
    <t>(3100 * 3 timer)</t>
  </si>
  <si>
    <t>(100 *2 liter)</t>
  </si>
  <si>
    <t>Reduksjons varer i arbeid</t>
  </si>
  <si>
    <t>(3 100 * 2 liter)</t>
  </si>
  <si>
    <t>Indirekte faste tilv.kostnader</t>
  </si>
  <si>
    <t>Kalkyle for varer i arbeid:</t>
  </si>
  <si>
    <t>Andel arbeid utført</t>
  </si>
  <si>
    <t>Andel direkte material</t>
  </si>
  <si>
    <t>Opplysninger om varer i arbeid:</t>
  </si>
  <si>
    <t>Oppgave 5.21</t>
  </si>
  <si>
    <t>Se læreboken</t>
  </si>
  <si>
    <t>Standard tid Ts):</t>
  </si>
  <si>
    <t>Standard mengde (Ms):</t>
  </si>
  <si>
    <t>Direkte lønn virkelig</t>
  </si>
  <si>
    <t>Direkte material virkelig</t>
  </si>
  <si>
    <t>Virkelig antall timer (Tv)</t>
  </si>
  <si>
    <t>Virkelig forbruk råmat (mv)</t>
  </si>
  <si>
    <t xml:space="preserve">Antall ferdigproduserte enheter: </t>
  </si>
  <si>
    <t>Standard lønnssats</t>
  </si>
  <si>
    <t>Forbruk direkte lønn per enhet</t>
  </si>
  <si>
    <t>fra start</t>
  </si>
  <si>
    <t xml:space="preserve">Direkte material </t>
  </si>
  <si>
    <t>Standard pris direkte material</t>
  </si>
  <si>
    <t>Forbruk direkte material per enhet</t>
  </si>
  <si>
    <t>Utdrag fra kalkylen:</t>
  </si>
  <si>
    <t>Oppgave 5.22</t>
  </si>
  <si>
    <t>Lønnsregnskap avd 2</t>
  </si>
  <si>
    <t>Lønnsregnskap avd 1</t>
  </si>
  <si>
    <t>(MvPv)</t>
  </si>
  <si>
    <t>prisavvik</t>
  </si>
  <si>
    <t>virkelig forbruk i kg</t>
  </si>
  <si>
    <t>Ts avd. 2:</t>
  </si>
  <si>
    <t>Ts avd. 1:</t>
  </si>
  <si>
    <t>Endring ferdigvarer</t>
  </si>
  <si>
    <t>Virkelig timer avd 2</t>
  </si>
  <si>
    <t xml:space="preserve">Salg </t>
  </si>
  <si>
    <t>Virkelig timer avd 1</t>
  </si>
  <si>
    <t>Virkelig lønnskostnad avd 2</t>
  </si>
  <si>
    <t>Opplysning om salg og produksjon:</t>
  </si>
  <si>
    <t>Virkelig lønnskostnad avd 1</t>
  </si>
  <si>
    <t>Lønnssats tilv avd 2 (Ls)</t>
  </si>
  <si>
    <t>Lønnssats tilv avd 1 (Ls)</t>
  </si>
  <si>
    <t>Standard pris direkte material (Ps)</t>
  </si>
  <si>
    <t>Direkte lønn tilv. avdeling 2</t>
  </si>
  <si>
    <t>Opplysning om varer i arbeid</t>
  </si>
  <si>
    <t>Direkte lønn tilv. avdeling 1</t>
  </si>
  <si>
    <t>Forbruk per enhet:</t>
  </si>
  <si>
    <t>Indata:</t>
  </si>
  <si>
    <t>5.24</t>
  </si>
  <si>
    <t>-30 * 4 timer *0,5</t>
  </si>
  <si>
    <t>300*4 timer</t>
  </si>
  <si>
    <t>-30*1*60kg*</t>
  </si>
  <si>
    <t>300*60 kg</t>
  </si>
  <si>
    <t xml:space="preserve">Ferdigprodusert </t>
  </si>
  <si>
    <t>Ferdigstillt</t>
  </si>
  <si>
    <t>Påbegynt</t>
  </si>
  <si>
    <t>Tilvirkn.kost</t>
  </si>
  <si>
    <t>Indirekte tilv.kost</t>
  </si>
  <si>
    <t>Kalkyle varer i arbeid:</t>
  </si>
  <si>
    <t>Andel direkte material:</t>
  </si>
  <si>
    <t>Oppgave 5.25</t>
  </si>
  <si>
    <t>Periodens tilv.kost ferdige varer</t>
  </si>
  <si>
    <t>Standard tid i perioden</t>
  </si>
  <si>
    <t>Tid medgått til ferdigproduksjon</t>
  </si>
  <si>
    <t>Beregning av standard mengde material:</t>
  </si>
  <si>
    <t>Tilvirkningskost varer i arbeid</t>
  </si>
  <si>
    <t>Kalkyle for varer i arbeid</t>
  </si>
  <si>
    <t>Andel tidsbruk varer i arbeid</t>
  </si>
  <si>
    <t>Andel materialer varer i arbeid</t>
  </si>
  <si>
    <t>Igangsatt antall</t>
  </si>
  <si>
    <t>Opplysninger om produksjon:</t>
  </si>
  <si>
    <t>Oppgave 5.26</t>
  </si>
  <si>
    <r>
      <t>Tv*k</t>
    </r>
    <r>
      <rPr>
        <vertAlign val="subscript"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fast</t>
    </r>
  </si>
  <si>
    <t>Salgsinntekter Høyt skap</t>
  </si>
  <si>
    <t>Salgsinntekter Lavt skap</t>
  </si>
  <si>
    <t>oppgave 5.28</t>
  </si>
  <si>
    <t>Virkelige faste indirekte tilvirkningskostn.:</t>
  </si>
  <si>
    <t>Virkelige variable indirekte tilvirkningskostn.r:</t>
  </si>
  <si>
    <r>
      <t>M</t>
    </r>
    <r>
      <rPr>
        <vertAlign val="subscript"/>
        <sz val="11"/>
        <color theme="1"/>
        <rFont val="Calibri"/>
        <family val="2"/>
        <scheme val="minor"/>
      </rPr>
      <t>S</t>
    </r>
  </si>
  <si>
    <r>
      <t>T</t>
    </r>
    <r>
      <rPr>
        <vertAlign val="subscript"/>
        <sz val="11"/>
        <color theme="1"/>
        <rFont val="Calibri"/>
        <family val="2"/>
        <scheme val="minor"/>
      </rPr>
      <t>S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</si>
  <si>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</si>
  <si>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s</t>
    </r>
  </si>
  <si>
    <t>Kommentarer se lærebok.</t>
  </si>
  <si>
    <t xml:space="preserve">Standard  </t>
  </si>
  <si>
    <t>per enh</t>
  </si>
  <si>
    <t>Endring varer i arbeid utgjør en reduksjon på</t>
  </si>
  <si>
    <t xml:space="preserve">enheter </t>
  </si>
  <si>
    <t>Direkte material ferdige varer</t>
  </si>
  <si>
    <t>( Ms)</t>
  </si>
  <si>
    <t>(Ts)</t>
  </si>
  <si>
    <t>Volumavviket er på kr –5 000. Årsaken er entydig. Vi har</t>
  </si>
  <si>
    <t>Kommentarer se lærebok</t>
  </si>
  <si>
    <t>Volumavvik:</t>
  </si>
  <si>
    <t>Vi ser at aktiviteten er langt høyere enn 600 timer. Ut fra månedens tilvirkning ligger bedriften (950 – 600 timer =) 350 timer over standarden.</t>
  </si>
  <si>
    <r>
      <t xml:space="preserve">Dette forklarer det store </t>
    </r>
    <r>
      <rPr>
        <i/>
        <sz val="12"/>
        <rFont val="Times New Roman"/>
        <family val="1"/>
      </rPr>
      <t>volumavviket</t>
    </r>
    <r>
      <rPr>
        <sz val="12"/>
        <rFont val="Times New Roman"/>
        <family val="1"/>
      </rPr>
      <t xml:space="preserve"> for de faste kostnadene.</t>
    </r>
  </si>
  <si>
    <t>Salgsvolumavvik</t>
  </si>
  <si>
    <t>Salgsvolumavvik: 835 · (12 510 – 11 200) =</t>
  </si>
  <si>
    <t>Budsjett for juli 20x1 (juli forutsettes å være en «normal måned»)</t>
  </si>
  <si>
    <t>Salgsvolumsavvik</t>
  </si>
  <si>
    <r>
      <t>Salgsvolumavvik</t>
    </r>
    <r>
      <rPr>
        <sz val="12"/>
        <rFont val="Arial"/>
        <family val="2"/>
      </rPr>
      <t>: Budsjettert dekningsbidrag · (virkelig salgsvolum – budsjettert salgsvolum)</t>
    </r>
  </si>
  <si>
    <r>
      <t>Salgsvolumavvik</t>
    </r>
    <r>
      <rPr>
        <sz val="12"/>
        <rFont val="Times New Roman"/>
        <family val="1"/>
      </rPr>
      <t>: Budsjettert dekningsbidrag · (virkelig salgsvolum – budsjettert salgsvolum)</t>
    </r>
  </si>
  <si>
    <t>Timelønn i virkeligheten som standarden skulle tilsi. Derfor ingen lønnssatsavvik. Hele avviket kommer av raskere jobbing.</t>
  </si>
  <si>
    <t>Endring ferdigvarer(økning)</t>
  </si>
  <si>
    <t>Endring varer i arbeid(nedg.)</t>
  </si>
  <si>
    <t>(500 *2 liter)</t>
  </si>
  <si>
    <t>(500*0,5*3 timer)</t>
  </si>
  <si>
    <t>Se kommentar</t>
  </si>
  <si>
    <t>Siden aktiviteten måles i solgte enheter, og ikke i tid, så får vi aldri noe effektivitetsavvik (dette er</t>
  </si>
  <si>
    <t>tilfekke kun når det innkalkuleres et tillegg basert på (mengde i enheter * tilleggssats).</t>
  </si>
  <si>
    <t>Kommentar til "Effektivitetsavviket" i salgs- og administrasjon.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</si>
</sst>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"/>
    <numFmt numFmtId="168" formatCode="0.0"/>
    <numFmt numFmtId="169" formatCode="&quot;kr&quot;\ #,##0.00"/>
    <numFmt numFmtId="170" formatCode="_ * #,##0_ ;_ * \-#,##0_ ;_ * &quot;-&quot;??_ ;_ @_ "/>
    <numFmt numFmtId="171" formatCode="_ &quot;kr&quot;\ * #,##0_ ;_ &quot;kr&quot;\ * \-#,##0_ ;_ &quot;kr&quot;\ * &quot;-&quot;??_ ;_ @_ "/>
    <numFmt numFmtId="172" formatCode="_(* #,##0_);_(* \(#,##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MS Sans Serif"/>
      <family val="2"/>
    </font>
    <font>
      <u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name val="Times New Roman"/>
      <family val="1"/>
    </font>
    <font>
      <sz val="8"/>
      <name val="Verdana"/>
      <family val="2"/>
    </font>
    <font>
      <sz val="12"/>
      <color indexed="10"/>
      <name val="Times New Roman"/>
      <family val="1"/>
    </font>
    <font>
      <sz val="11"/>
      <color indexed="10"/>
      <name val="Arial"/>
      <family val="2"/>
    </font>
    <font>
      <i/>
      <sz val="11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b/>
      <vertAlign val="subscript"/>
      <sz val="12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6" fontId="8" fillId="0" borderId="0" applyFont="0" applyFill="0" applyBorder="0" applyAlignment="0" applyProtection="0"/>
    <xf numFmtId="0" fontId="14" fillId="0" borderId="0"/>
    <xf numFmtId="0" fontId="16" fillId="0" borderId="0"/>
    <xf numFmtId="9" fontId="30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14" fillId="0" borderId="0"/>
    <xf numFmtId="164" fontId="35" fillId="0" borderId="0" applyFont="0" applyFill="0" applyBorder="0" applyAlignment="0" applyProtection="0"/>
    <xf numFmtId="0" fontId="36" fillId="0" borderId="0"/>
    <xf numFmtId="0" fontId="8" fillId="0" borderId="0"/>
    <xf numFmtId="0" fontId="35" fillId="0" borderId="0"/>
    <xf numFmtId="164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14" fillId="0" borderId="0"/>
  </cellStyleXfs>
  <cellXfs count="1002">
    <xf numFmtId="0" fontId="0" fillId="0" borderId="0" xfId="0"/>
    <xf numFmtId="0" fontId="10" fillId="0" borderId="0" xfId="0" applyFont="1"/>
    <xf numFmtId="3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quotePrefix="1" applyFont="1" applyAlignment="1">
      <alignment horizontal="left"/>
    </xf>
    <xf numFmtId="3" fontId="10" fillId="0" borderId="5" xfId="0" applyNumberFormat="1" applyFont="1" applyBorder="1"/>
    <xf numFmtId="0" fontId="10" fillId="0" borderId="0" xfId="0" applyFont="1" applyAlignment="1">
      <alignment horizontal="center"/>
    </xf>
    <xf numFmtId="3" fontId="10" fillId="0" borderId="0" xfId="2" applyNumberFormat="1" applyFont="1"/>
    <xf numFmtId="0" fontId="10" fillId="0" borderId="0" xfId="0" applyFont="1" applyAlignment="1">
      <alignment horizontal="left"/>
    </xf>
    <xf numFmtId="3" fontId="10" fillId="0" borderId="0" xfId="1" applyNumberFormat="1" applyFont="1"/>
    <xf numFmtId="0" fontId="10" fillId="2" borderId="9" xfId="0" applyFont="1" applyFill="1" applyBorder="1" applyAlignment="1">
      <alignment horizontal="center"/>
    </xf>
    <xf numFmtId="0" fontId="10" fillId="2" borderId="9" xfId="0" quotePrefix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0" fillId="0" borderId="7" xfId="0" applyFont="1" applyBorder="1"/>
    <xf numFmtId="0" fontId="10" fillId="2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13" xfId="0" applyFont="1" applyBorder="1"/>
    <xf numFmtId="3" fontId="10" fillId="0" borderId="13" xfId="1" applyNumberFormat="1" applyFont="1" applyBorder="1" applyAlignment="1">
      <alignment horizontal="center"/>
    </xf>
    <xf numFmtId="3" fontId="10" fillId="0" borderId="9" xfId="1" applyNumberFormat="1" applyFont="1" applyBorder="1" applyAlignment="1">
      <alignment horizontal="center"/>
    </xf>
    <xf numFmtId="0" fontId="10" fillId="0" borderId="16" xfId="0" applyFont="1" applyBorder="1"/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3" fontId="10" fillId="0" borderId="2" xfId="0" applyNumberFormat="1" applyFont="1" applyBorder="1" applyAlignment="1">
      <alignment horizontal="right" vertical="top" wrapText="1"/>
    </xf>
    <xf numFmtId="3" fontId="10" fillId="0" borderId="17" xfId="0" applyNumberFormat="1" applyFont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7" fillId="0" borderId="0" xfId="3" applyFont="1"/>
    <xf numFmtId="2" fontId="17" fillId="0" borderId="0" xfId="3" applyNumberFormat="1" applyFont="1"/>
    <xf numFmtId="1" fontId="17" fillId="0" borderId="0" xfId="3" applyNumberFormat="1" applyFont="1"/>
    <xf numFmtId="1" fontId="17" fillId="0" borderId="0" xfId="3" applyNumberFormat="1" applyFont="1" applyAlignment="1">
      <alignment horizontal="center"/>
    </xf>
    <xf numFmtId="0" fontId="17" fillId="0" borderId="0" xfId="3" quotePrefix="1" applyFont="1" applyAlignment="1">
      <alignment horizontal="left"/>
    </xf>
    <xf numFmtId="3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left"/>
    </xf>
    <xf numFmtId="168" fontId="17" fillId="0" borderId="0" xfId="3" applyNumberFormat="1" applyFont="1" applyAlignment="1">
      <alignment horizontal="right"/>
    </xf>
    <xf numFmtId="2" fontId="17" fillId="0" borderId="5" xfId="3" applyNumberFormat="1" applyFont="1" applyBorder="1"/>
    <xf numFmtId="2" fontId="17" fillId="0" borderId="1" xfId="3" applyNumberFormat="1" applyFont="1" applyBorder="1"/>
    <xf numFmtId="0" fontId="17" fillId="0" borderId="5" xfId="3" applyFont="1" applyBorder="1"/>
    <xf numFmtId="3" fontId="17" fillId="0" borderId="0" xfId="3" applyNumberFormat="1" applyFont="1"/>
    <xf numFmtId="3" fontId="17" fillId="0" borderId="1" xfId="3" applyNumberFormat="1" applyFont="1" applyBorder="1"/>
    <xf numFmtId="3" fontId="17" fillId="0" borderId="5" xfId="3" applyNumberFormat="1" applyFont="1" applyBorder="1"/>
    <xf numFmtId="0" fontId="18" fillId="0" borderId="0" xfId="3" applyFont="1"/>
    <xf numFmtId="2" fontId="17" fillId="0" borderId="5" xfId="3" quotePrefix="1" applyNumberFormat="1" applyFont="1" applyBorder="1" applyAlignment="1">
      <alignment horizontal="center"/>
    </xf>
    <xf numFmtId="168" fontId="17" fillId="0" borderId="0" xfId="3" applyNumberFormat="1" applyFont="1"/>
    <xf numFmtId="168" fontId="17" fillId="0" borderId="5" xfId="3" applyNumberFormat="1" applyFont="1" applyBorder="1"/>
    <xf numFmtId="0" fontId="18" fillId="0" borderId="0" xfId="3" quotePrefix="1" applyFont="1" applyAlignment="1">
      <alignment horizontal="left"/>
    </xf>
    <xf numFmtId="1" fontId="17" fillId="0" borderId="1" xfId="3" applyNumberFormat="1" applyFont="1" applyBorder="1"/>
    <xf numFmtId="0" fontId="19" fillId="0" borderId="0" xfId="3" applyFont="1"/>
    <xf numFmtId="0" fontId="17" fillId="0" borderId="1" xfId="3" quotePrefix="1" applyFont="1" applyBorder="1" applyAlignment="1">
      <alignment horizontal="left"/>
    </xf>
    <xf numFmtId="0" fontId="17" fillId="0" borderId="1" xfId="3" applyFont="1" applyBorder="1"/>
    <xf numFmtId="0" fontId="17" fillId="0" borderId="5" xfId="3" quotePrefix="1" applyFont="1" applyBorder="1" applyAlignment="1">
      <alignment horizontal="left"/>
    </xf>
    <xf numFmtId="0" fontId="17" fillId="0" borderId="5" xfId="3" quotePrefix="1" applyFont="1" applyBorder="1"/>
    <xf numFmtId="2" fontId="17" fillId="0" borderId="0" xfId="3" applyNumberFormat="1" applyFont="1" applyAlignment="1">
      <alignment horizontal="center"/>
    </xf>
    <xf numFmtId="0" fontId="17" fillId="0" borderId="9" xfId="3" applyFont="1" applyBorder="1" applyAlignment="1">
      <alignment wrapText="1"/>
    </xf>
    <xf numFmtId="0" fontId="17" fillId="0" borderId="9" xfId="3" applyFont="1" applyBorder="1"/>
    <xf numFmtId="0" fontId="17" fillId="0" borderId="11" xfId="3" applyFont="1" applyBorder="1"/>
    <xf numFmtId="0" fontId="17" fillId="0" borderId="15" xfId="3" applyFont="1" applyBorder="1"/>
    <xf numFmtId="0" fontId="17" fillId="0" borderId="16" xfId="3" applyFont="1" applyBorder="1"/>
    <xf numFmtId="3" fontId="17" fillId="0" borderId="9" xfId="3" applyNumberFormat="1" applyFont="1" applyBorder="1"/>
    <xf numFmtId="3" fontId="17" fillId="0" borderId="16" xfId="3" applyNumberFormat="1" applyFont="1" applyBorder="1"/>
    <xf numFmtId="0" fontId="17" fillId="0" borderId="14" xfId="3" applyFont="1" applyBorder="1"/>
    <xf numFmtId="0" fontId="17" fillId="0" borderId="12" xfId="3" applyFont="1" applyBorder="1"/>
    <xf numFmtId="3" fontId="17" fillId="0" borderId="12" xfId="3" applyNumberFormat="1" applyFont="1" applyBorder="1"/>
    <xf numFmtId="1" fontId="17" fillId="0" borderId="14" xfId="3" applyNumberFormat="1" applyFont="1" applyBorder="1"/>
    <xf numFmtId="3" fontId="17" fillId="0" borderId="11" xfId="3" applyNumberFormat="1" applyFont="1" applyBorder="1"/>
    <xf numFmtId="0" fontId="17" fillId="0" borderId="18" xfId="3" quotePrefix="1" applyFont="1" applyBorder="1" applyAlignment="1">
      <alignment horizontal="left"/>
    </xf>
    <xf numFmtId="1" fontId="17" fillId="0" borderId="18" xfId="3" applyNumberFormat="1" applyFont="1" applyBorder="1"/>
    <xf numFmtId="0" fontId="17" fillId="0" borderId="18" xfId="3" applyFont="1" applyBorder="1"/>
    <xf numFmtId="3" fontId="17" fillId="0" borderId="13" xfId="3" applyNumberFormat="1" applyFont="1" applyBorder="1"/>
    <xf numFmtId="0" fontId="20" fillId="0" borderId="0" xfId="0" applyFont="1"/>
    <xf numFmtId="3" fontId="21" fillId="0" borderId="0" xfId="2" applyNumberFormat="1" applyFont="1"/>
    <xf numFmtId="0" fontId="21" fillId="0" borderId="0" xfId="0" applyFont="1"/>
    <xf numFmtId="0" fontId="21" fillId="2" borderId="9" xfId="0" applyFont="1" applyFill="1" applyBorder="1" applyAlignment="1">
      <alignment horizontal="center"/>
    </xf>
    <xf numFmtId="0" fontId="21" fillId="2" borderId="9" xfId="0" quotePrefix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21" fillId="0" borderId="13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left"/>
    </xf>
    <xf numFmtId="0" fontId="21" fillId="0" borderId="1" xfId="0" applyFont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11" xfId="0" applyFont="1" applyFill="1" applyBorder="1"/>
    <xf numFmtId="0" fontId="8" fillId="0" borderId="13" xfId="0" quotePrefix="1" applyFont="1" applyBorder="1" applyAlignment="1">
      <alignment horizontal="left"/>
    </xf>
    <xf numFmtId="0" fontId="8" fillId="0" borderId="13" xfId="0" applyFont="1" applyBorder="1"/>
    <xf numFmtId="3" fontId="21" fillId="0" borderId="0" xfId="1" applyNumberFormat="1" applyFont="1" applyAlignment="1">
      <alignment horizontal="center"/>
    </xf>
    <xf numFmtId="3" fontId="24" fillId="0" borderId="0" xfId="0" applyNumberFormat="1" applyFont="1"/>
    <xf numFmtId="1" fontId="24" fillId="0" borderId="0" xfId="0" applyNumberFormat="1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27" fillId="2" borderId="9" xfId="0" applyFont="1" applyFill="1" applyBorder="1" applyAlignment="1">
      <alignment horizontal="center"/>
    </xf>
    <xf numFmtId="0" fontId="27" fillId="2" borderId="9" xfId="0" quotePrefix="1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16" fontId="27" fillId="0" borderId="12" xfId="0" quotePrefix="1" applyNumberFormat="1" applyFont="1" applyBorder="1" applyAlignment="1">
      <alignment horizontal="center"/>
    </xf>
    <xf numFmtId="0" fontId="27" fillId="0" borderId="12" xfId="0" quotePrefix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quotePrefix="1" applyFont="1" applyAlignment="1">
      <alignment horizontal="left"/>
    </xf>
    <xf numFmtId="0" fontId="27" fillId="2" borderId="15" xfId="0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14" xfId="0" applyFont="1" applyBorder="1"/>
    <xf numFmtId="0" fontId="25" fillId="0" borderId="14" xfId="0" applyFont="1" applyBorder="1"/>
    <xf numFmtId="0" fontId="10" fillId="0" borderId="18" xfId="0" applyFont="1" applyBorder="1"/>
    <xf numFmtId="3" fontId="10" fillId="0" borderId="13" xfId="0" applyNumberFormat="1" applyFont="1" applyBorder="1"/>
    <xf numFmtId="0" fontId="10" fillId="0" borderId="10" xfId="0" applyFont="1" applyBorder="1"/>
    <xf numFmtId="0" fontId="12" fillId="0" borderId="9" xfId="0" applyFont="1" applyBorder="1" applyAlignment="1">
      <alignment horizontal="center"/>
    </xf>
    <xf numFmtId="0" fontId="10" fillId="0" borderId="15" xfId="0" applyFont="1" applyBorder="1"/>
    <xf numFmtId="3" fontId="10" fillId="0" borderId="9" xfId="0" applyNumberFormat="1" applyFont="1" applyBorder="1"/>
    <xf numFmtId="0" fontId="10" fillId="0" borderId="16" xfId="0" applyFont="1" applyBorder="1" applyAlignment="1">
      <alignment horizontal="left" indent="1"/>
    </xf>
    <xf numFmtId="3" fontId="10" fillId="0" borderId="12" xfId="0" applyNumberFormat="1" applyFont="1" applyBorder="1"/>
    <xf numFmtId="0" fontId="10" fillId="0" borderId="0" xfId="0" applyFont="1" applyAlignment="1">
      <alignment horizontal="left" indent="1"/>
    </xf>
    <xf numFmtId="0" fontId="10" fillId="0" borderId="19" xfId="0" applyFont="1" applyBorder="1"/>
    <xf numFmtId="0" fontId="27" fillId="0" borderId="13" xfId="0" applyFont="1" applyBorder="1"/>
    <xf numFmtId="3" fontId="27" fillId="0" borderId="20" xfId="0" applyNumberFormat="1" applyFont="1" applyBorder="1"/>
    <xf numFmtId="3" fontId="27" fillId="0" borderId="13" xfId="0" applyNumberFormat="1" applyFont="1" applyBorder="1"/>
    <xf numFmtId="3" fontId="12" fillId="0" borderId="0" xfId="0" applyNumberFormat="1" applyFont="1"/>
    <xf numFmtId="3" fontId="10" fillId="0" borderId="1" xfId="0" applyNumberFormat="1" applyFont="1" applyBorder="1"/>
    <xf numFmtId="0" fontId="10" fillId="0" borderId="8" xfId="0" applyFont="1" applyBorder="1"/>
    <xf numFmtId="0" fontId="25" fillId="0" borderId="0" xfId="0" applyFont="1"/>
    <xf numFmtId="0" fontId="10" fillId="0" borderId="14" xfId="0" applyFont="1" applyBorder="1" applyAlignment="1">
      <alignment horizontal="left" indent="1"/>
    </xf>
    <xf numFmtId="0" fontId="10" fillId="0" borderId="18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2" fontId="10" fillId="0" borderId="0" xfId="0" applyNumberFormat="1" applyFont="1"/>
    <xf numFmtId="2" fontId="10" fillId="0" borderId="5" xfId="0" applyNumberFormat="1" applyFont="1" applyBorder="1"/>
    <xf numFmtId="0" fontId="10" fillId="0" borderId="20" xfId="0" applyFont="1" applyBorder="1"/>
    <xf numFmtId="3" fontId="10" fillId="0" borderId="9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14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0" xfId="5" applyFont="1"/>
    <xf numFmtId="0" fontId="12" fillId="0" borderId="0" xfId="5" applyFont="1"/>
    <xf numFmtId="3" fontId="10" fillId="0" borderId="0" xfId="5" applyNumberFormat="1" applyFont="1"/>
    <xf numFmtId="3" fontId="10" fillId="0" borderId="5" xfId="5" applyNumberFormat="1" applyFont="1" applyBorder="1"/>
    <xf numFmtId="3" fontId="10" fillId="0" borderId="1" xfId="5" applyNumberFormat="1" applyFont="1" applyBorder="1"/>
    <xf numFmtId="0" fontId="10" fillId="0" borderId="1" xfId="5" applyFont="1" applyBorder="1"/>
    <xf numFmtId="0" fontId="26" fillId="0" borderId="0" xfId="5" applyFont="1"/>
    <xf numFmtId="0" fontId="27" fillId="0" borderId="0" xfId="5" applyFont="1"/>
    <xf numFmtId="0" fontId="27" fillId="0" borderId="7" xfId="5" applyFont="1" applyBorder="1"/>
    <xf numFmtId="0" fontId="27" fillId="3" borderId="9" xfId="5" applyFont="1" applyFill="1" applyBorder="1" applyAlignment="1">
      <alignment horizontal="center" vertical="top" wrapText="1"/>
    </xf>
    <xf numFmtId="0" fontId="27" fillId="0" borderId="12" xfId="5" applyFont="1" applyBorder="1" applyAlignment="1">
      <alignment horizontal="center"/>
    </xf>
    <xf numFmtId="16" fontId="27" fillId="0" borderId="12" xfId="5" quotePrefix="1" applyNumberFormat="1" applyFont="1" applyBorder="1" applyAlignment="1">
      <alignment horizontal="center"/>
    </xf>
    <xf numFmtId="0" fontId="27" fillId="0" borderId="12" xfId="5" quotePrefix="1" applyFont="1" applyBorder="1" applyAlignment="1">
      <alignment horizontal="center"/>
    </xf>
    <xf numFmtId="3" fontId="27" fillId="0" borderId="13" xfId="5" applyNumberFormat="1" applyFont="1" applyBorder="1" applyAlignment="1">
      <alignment horizontal="center"/>
    </xf>
    <xf numFmtId="0" fontId="27" fillId="0" borderId="0" xfId="5" applyFont="1" applyAlignment="1">
      <alignment horizontal="center"/>
    </xf>
    <xf numFmtId="0" fontId="26" fillId="0" borderId="0" xfId="5" quotePrefix="1" applyFont="1" applyAlignment="1">
      <alignment horizontal="left"/>
    </xf>
    <xf numFmtId="0" fontId="10" fillId="0" borderId="5" xfId="5" applyFont="1" applyBorder="1"/>
    <xf numFmtId="0" fontId="27" fillId="3" borderId="13" xfId="5" applyFont="1" applyFill="1" applyBorder="1" applyAlignment="1">
      <alignment horizontal="center" vertical="top" wrapText="1"/>
    </xf>
    <xf numFmtId="0" fontId="10" fillId="0" borderId="19" xfId="5" applyFont="1" applyBorder="1"/>
    <xf numFmtId="3" fontId="10" fillId="0" borderId="13" xfId="5" applyNumberFormat="1" applyFont="1" applyBorder="1" applyAlignment="1">
      <alignment horizontal="center"/>
    </xf>
    <xf numFmtId="0" fontId="10" fillId="0" borderId="0" xfId="5" quotePrefix="1" applyFont="1" applyAlignment="1">
      <alignment horizontal="left"/>
    </xf>
    <xf numFmtId="0" fontId="10" fillId="0" borderId="15" xfId="5" applyFont="1" applyBorder="1"/>
    <xf numFmtId="0" fontId="10" fillId="0" borderId="16" xfId="5" applyFont="1" applyBorder="1"/>
    <xf numFmtId="3" fontId="10" fillId="0" borderId="9" xfId="5" applyNumberFormat="1" applyFont="1" applyBorder="1" applyAlignment="1">
      <alignment horizontal="center"/>
    </xf>
    <xf numFmtId="0" fontId="10" fillId="0" borderId="14" xfId="5" applyFont="1" applyBorder="1"/>
    <xf numFmtId="3" fontId="10" fillId="0" borderId="7" xfId="5" applyNumberFormat="1" applyFont="1" applyBorder="1"/>
    <xf numFmtId="3" fontId="10" fillId="0" borderId="8" xfId="5" applyNumberFormat="1" applyFont="1" applyBorder="1" applyAlignment="1">
      <alignment horizontal="center"/>
    </xf>
    <xf numFmtId="3" fontId="10" fillId="0" borderId="15" xfId="5" applyNumberFormat="1" applyFont="1" applyBorder="1" applyAlignment="1">
      <alignment horizontal="center"/>
    </xf>
    <xf numFmtId="3" fontId="10" fillId="0" borderId="12" xfId="5" applyNumberFormat="1" applyFont="1" applyBorder="1" applyAlignment="1">
      <alignment horizontal="center"/>
    </xf>
    <xf numFmtId="3" fontId="10" fillId="0" borderId="9" xfId="5" applyNumberFormat="1" applyFont="1" applyBorder="1"/>
    <xf numFmtId="3" fontId="10" fillId="0" borderId="12" xfId="5" applyNumberFormat="1" applyFont="1" applyBorder="1"/>
    <xf numFmtId="0" fontId="25" fillId="0" borderId="14" xfId="5" applyFont="1" applyBorder="1"/>
    <xf numFmtId="0" fontId="10" fillId="0" borderId="18" xfId="5" applyFont="1" applyBorder="1"/>
    <xf numFmtId="3" fontId="10" fillId="0" borderId="11" xfId="5" applyNumberFormat="1" applyFont="1" applyBorder="1"/>
    <xf numFmtId="3" fontId="10" fillId="0" borderId="0" xfId="5" quotePrefix="1" applyNumberFormat="1" applyFont="1" applyAlignment="1">
      <alignment horizontal="left"/>
    </xf>
    <xf numFmtId="3" fontId="10" fillId="0" borderId="7" xfId="5" applyNumberFormat="1" applyFont="1" applyBorder="1" applyAlignment="1">
      <alignment horizontal="center"/>
    </xf>
    <xf numFmtId="3" fontId="10" fillId="0" borderId="10" xfId="5" applyNumberFormat="1" applyFont="1" applyBorder="1"/>
    <xf numFmtId="3" fontId="10" fillId="0" borderId="20" xfId="5" applyNumberFormat="1" applyFont="1" applyBorder="1"/>
    <xf numFmtId="3" fontId="10" fillId="0" borderId="9" xfId="5" applyNumberFormat="1" applyFont="1" applyBorder="1" applyAlignment="1">
      <alignment horizontal="right"/>
    </xf>
    <xf numFmtId="3" fontId="10" fillId="0" borderId="12" xfId="5" applyNumberFormat="1" applyFont="1" applyBorder="1" applyAlignment="1">
      <alignment horizontal="right"/>
    </xf>
    <xf numFmtId="3" fontId="10" fillId="0" borderId="11" xfId="5" applyNumberFormat="1" applyFont="1" applyBorder="1" applyAlignment="1">
      <alignment horizontal="right"/>
    </xf>
    <xf numFmtId="3" fontId="10" fillId="0" borderId="10" xfId="5" applyNumberFormat="1" applyFont="1" applyBorder="1" applyAlignment="1">
      <alignment horizontal="right"/>
    </xf>
    <xf numFmtId="3" fontId="10" fillId="0" borderId="20" xfId="5" applyNumberFormat="1" applyFont="1" applyBorder="1" applyAlignment="1">
      <alignment horizontal="right"/>
    </xf>
    <xf numFmtId="3" fontId="10" fillId="0" borderId="7" xfId="5" applyNumberFormat="1" applyFont="1" applyBorder="1" applyAlignment="1">
      <alignment horizontal="right"/>
    </xf>
    <xf numFmtId="3" fontId="10" fillId="0" borderId="6" xfId="5" applyNumberFormat="1" applyFont="1" applyBorder="1"/>
    <xf numFmtId="0" fontId="10" fillId="2" borderId="9" xfId="5" applyFont="1" applyFill="1" applyBorder="1" applyAlignment="1">
      <alignment horizontal="center"/>
    </xf>
    <xf numFmtId="0" fontId="10" fillId="2" borderId="9" xfId="5" quotePrefix="1" applyFont="1" applyFill="1" applyBorder="1" applyAlignment="1">
      <alignment horizontal="center"/>
    </xf>
    <xf numFmtId="0" fontId="10" fillId="0" borderId="12" xfId="5" applyFont="1" applyBorder="1" applyAlignment="1">
      <alignment horizontal="center"/>
    </xf>
    <xf numFmtId="170" fontId="10" fillId="0" borderId="13" xfId="6" applyNumberFormat="1" applyFont="1" applyBorder="1" applyAlignment="1">
      <alignment horizontal="center"/>
    </xf>
    <xf numFmtId="0" fontId="10" fillId="0" borderId="0" xfId="5" applyFont="1" applyAlignment="1">
      <alignment horizontal="center"/>
    </xf>
    <xf numFmtId="0" fontId="12" fillId="0" borderId="0" xfId="5" quotePrefix="1" applyFont="1" applyAlignment="1">
      <alignment horizontal="left"/>
    </xf>
    <xf numFmtId="0" fontId="10" fillId="0" borderId="1" xfId="5" applyFont="1" applyBorder="1" applyAlignment="1">
      <alignment horizontal="center"/>
    </xf>
    <xf numFmtId="0" fontId="10" fillId="2" borderId="12" xfId="5" applyFont="1" applyFill="1" applyBorder="1" applyAlignment="1">
      <alignment horizontal="center"/>
    </xf>
    <xf numFmtId="0" fontId="10" fillId="2" borderId="14" xfId="5" applyFont="1" applyFill="1" applyBorder="1" applyAlignment="1">
      <alignment horizontal="center"/>
    </xf>
    <xf numFmtId="0" fontId="10" fillId="0" borderId="12" xfId="5" applyFont="1" applyBorder="1"/>
    <xf numFmtId="0" fontId="10" fillId="0" borderId="18" xfId="5" applyFont="1" applyBorder="1" applyAlignment="1">
      <alignment horizontal="left" indent="1"/>
    </xf>
    <xf numFmtId="3" fontId="10" fillId="0" borderId="11" xfId="5" applyNumberFormat="1" applyFont="1" applyBorder="1" applyAlignment="1">
      <alignment horizontal="center"/>
    </xf>
    <xf numFmtId="3" fontId="10" fillId="0" borderId="1" xfId="5" applyNumberFormat="1" applyFont="1" applyBorder="1" applyAlignment="1">
      <alignment horizontal="center"/>
    </xf>
    <xf numFmtId="3" fontId="10" fillId="0" borderId="13" xfId="5" applyNumberFormat="1" applyFont="1" applyBorder="1"/>
    <xf numFmtId="0" fontId="31" fillId="0" borderId="0" xfId="5" applyFont="1"/>
    <xf numFmtId="3" fontId="10" fillId="0" borderId="14" xfId="5" applyNumberFormat="1" applyFont="1" applyBorder="1" applyAlignment="1">
      <alignment horizontal="center"/>
    </xf>
    <xf numFmtId="3" fontId="10" fillId="0" borderId="14" xfId="5" applyNumberFormat="1" applyFont="1" applyBorder="1"/>
    <xf numFmtId="3" fontId="10" fillId="0" borderId="18" xfId="5" applyNumberFormat="1" applyFont="1" applyBorder="1" applyAlignment="1">
      <alignment horizontal="center"/>
    </xf>
    <xf numFmtId="3" fontId="10" fillId="0" borderId="18" xfId="5" applyNumberFormat="1" applyFont="1" applyBorder="1"/>
    <xf numFmtId="0" fontId="10" fillId="0" borderId="8" xfId="5" applyFont="1" applyBorder="1"/>
    <xf numFmtId="0" fontId="10" fillId="0" borderId="7" xfId="5" applyFont="1" applyBorder="1"/>
    <xf numFmtId="0" fontId="10" fillId="0" borderId="10" xfId="5" applyFont="1" applyBorder="1"/>
    <xf numFmtId="3" fontId="10" fillId="0" borderId="10" xfId="5" applyNumberFormat="1" applyFont="1" applyBorder="1" applyAlignment="1">
      <alignment horizontal="center"/>
    </xf>
    <xf numFmtId="0" fontId="17" fillId="3" borderId="13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0" fillId="0" borderId="20" xfId="5" applyFont="1" applyBorder="1"/>
    <xf numFmtId="0" fontId="10" fillId="0" borderId="0" xfId="7" applyFont="1"/>
    <xf numFmtId="3" fontId="10" fillId="0" borderId="9" xfId="7" applyNumberFormat="1" applyFont="1" applyBorder="1" applyAlignment="1">
      <alignment horizontal="center" vertical="top" wrapText="1"/>
    </xf>
    <xf numFmtId="3" fontId="10" fillId="0" borderId="13" xfId="7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right"/>
    </xf>
    <xf numFmtId="9" fontId="10" fillId="0" borderId="7" xfId="4" applyFont="1" applyBorder="1" applyAlignment="1">
      <alignment horizontal="right"/>
    </xf>
    <xf numFmtId="3" fontId="10" fillId="0" borderId="13" xfId="7" applyNumberFormat="1" applyFont="1" applyBorder="1" applyAlignment="1">
      <alignment horizontal="center" vertical="top" wrapText="1"/>
    </xf>
    <xf numFmtId="3" fontId="10" fillId="0" borderId="20" xfId="7" applyNumberFormat="1" applyFont="1" applyBorder="1" applyAlignment="1">
      <alignment horizontal="center" vertical="top" wrapText="1"/>
    </xf>
    <xf numFmtId="3" fontId="10" fillId="0" borderId="0" xfId="9" applyNumberFormat="1" applyFont="1" applyAlignment="1">
      <alignment horizontal="center"/>
    </xf>
    <xf numFmtId="0" fontId="10" fillId="0" borderId="0" xfId="9" applyFont="1"/>
    <xf numFmtId="0" fontId="12" fillId="0" borderId="0" xfId="9" applyFont="1"/>
    <xf numFmtId="3" fontId="10" fillId="0" borderId="9" xfId="9" applyNumberFormat="1" applyFont="1" applyBorder="1" applyAlignment="1">
      <alignment horizontal="center" vertical="top" wrapText="1"/>
    </xf>
    <xf numFmtId="3" fontId="10" fillId="0" borderId="13" xfId="9" applyNumberFormat="1" applyFont="1" applyBorder="1" applyAlignment="1">
      <alignment horizontal="center" vertical="top" wrapText="1"/>
    </xf>
    <xf numFmtId="3" fontId="10" fillId="0" borderId="20" xfId="9" applyNumberFormat="1" applyFont="1" applyBorder="1" applyAlignment="1">
      <alignment horizontal="center" vertical="top" wrapText="1"/>
    </xf>
    <xf numFmtId="0" fontId="10" fillId="0" borderId="12" xfId="9" applyFont="1" applyBorder="1" applyAlignment="1">
      <alignment horizontal="center"/>
    </xf>
    <xf numFmtId="3" fontId="10" fillId="0" borderId="13" xfId="9" applyNumberFormat="1" applyFont="1" applyBorder="1" applyAlignment="1">
      <alignment horizontal="center"/>
    </xf>
    <xf numFmtId="0" fontId="12" fillId="0" borderId="0" xfId="9" quotePrefix="1" applyFont="1" applyAlignment="1">
      <alignment horizontal="left"/>
    </xf>
    <xf numFmtId="0" fontId="10" fillId="0" borderId="1" xfId="9" applyFont="1" applyBorder="1" applyAlignment="1">
      <alignment horizontal="center"/>
    </xf>
    <xf numFmtId="0" fontId="10" fillId="0" borderId="0" xfId="9" applyFont="1" applyAlignment="1">
      <alignment horizontal="center"/>
    </xf>
    <xf numFmtId="0" fontId="10" fillId="2" borderId="9" xfId="9" applyFont="1" applyFill="1" applyBorder="1" applyAlignment="1">
      <alignment horizontal="center"/>
    </xf>
    <xf numFmtId="0" fontId="10" fillId="2" borderId="9" xfId="9" quotePrefix="1" applyFont="1" applyFill="1" applyBorder="1" applyAlignment="1">
      <alignment horizontal="center"/>
    </xf>
    <xf numFmtId="0" fontId="10" fillId="2" borderId="11" xfId="9" applyFont="1" applyFill="1" applyBorder="1" applyAlignment="1">
      <alignment horizontal="center"/>
    </xf>
    <xf numFmtId="0" fontId="12" fillId="0" borderId="0" xfId="11" applyFont="1"/>
    <xf numFmtId="0" fontId="10" fillId="0" borderId="0" xfId="11" applyFont="1"/>
    <xf numFmtId="3" fontId="10" fillId="0" borderId="0" xfId="11" applyNumberFormat="1" applyFont="1"/>
    <xf numFmtId="171" fontId="10" fillId="0" borderId="0" xfId="12" applyNumberFormat="1" applyFont="1"/>
    <xf numFmtId="164" fontId="10" fillId="0" borderId="0" xfId="12" applyFont="1"/>
    <xf numFmtId="0" fontId="15" fillId="0" borderId="0" xfId="11" applyFont="1"/>
    <xf numFmtId="2" fontId="10" fillId="0" borderId="0" xfId="12" applyNumberFormat="1" applyFont="1"/>
    <xf numFmtId="2" fontId="10" fillId="0" borderId="0" xfId="11" applyNumberFormat="1" applyFont="1"/>
    <xf numFmtId="2" fontId="10" fillId="0" borderId="1" xfId="11" applyNumberFormat="1" applyFont="1" applyBorder="1"/>
    <xf numFmtId="2" fontId="10" fillId="0" borderId="6" xfId="11" applyNumberFormat="1" applyFont="1" applyBorder="1"/>
    <xf numFmtId="0" fontId="10" fillId="0" borderId="13" xfId="11" applyFont="1" applyBorder="1"/>
    <xf numFmtId="3" fontId="12" fillId="0" borderId="0" xfId="11" applyNumberFormat="1" applyFont="1"/>
    <xf numFmtId="0" fontId="10" fillId="2" borderId="15" xfId="9" applyFont="1" applyFill="1" applyBorder="1" applyAlignment="1">
      <alignment horizontal="center"/>
    </xf>
    <xf numFmtId="0" fontId="10" fillId="0" borderId="15" xfId="11" applyFont="1" applyBorder="1"/>
    <xf numFmtId="0" fontId="10" fillId="0" borderId="16" xfId="11" applyFont="1" applyBorder="1"/>
    <xf numFmtId="3" fontId="10" fillId="0" borderId="9" xfId="11" applyNumberFormat="1" applyFont="1" applyBorder="1" applyAlignment="1">
      <alignment horizontal="center"/>
    </xf>
    <xf numFmtId="0" fontId="10" fillId="0" borderId="14" xfId="11" applyFont="1" applyBorder="1"/>
    <xf numFmtId="3" fontId="10" fillId="0" borderId="13" xfId="11" applyNumberFormat="1" applyFont="1" applyBorder="1" applyAlignment="1">
      <alignment horizontal="center"/>
    </xf>
    <xf numFmtId="3" fontId="10" fillId="0" borderId="12" xfId="11" applyNumberFormat="1" applyFont="1" applyBorder="1" applyAlignment="1">
      <alignment horizontal="center"/>
    </xf>
    <xf numFmtId="3" fontId="10" fillId="0" borderId="9" xfId="11" applyNumberFormat="1" applyFont="1" applyBorder="1"/>
    <xf numFmtId="3" fontId="10" fillId="0" borderId="12" xfId="11" applyNumberFormat="1" applyFont="1" applyBorder="1"/>
    <xf numFmtId="3" fontId="10" fillId="0" borderId="11" xfId="11" applyNumberFormat="1" applyFont="1" applyBorder="1"/>
    <xf numFmtId="0" fontId="10" fillId="0" borderId="12" xfId="11" applyFont="1" applyBorder="1"/>
    <xf numFmtId="3" fontId="10" fillId="0" borderId="10" xfId="11" applyNumberFormat="1" applyFont="1" applyBorder="1"/>
    <xf numFmtId="0" fontId="25" fillId="0" borderId="14" xfId="11" applyFont="1" applyBorder="1"/>
    <xf numFmtId="3" fontId="10" fillId="0" borderId="20" xfId="11" applyNumberFormat="1" applyFont="1" applyBorder="1" applyAlignment="1">
      <alignment horizontal="center"/>
    </xf>
    <xf numFmtId="0" fontId="10" fillId="0" borderId="14" xfId="11" applyFont="1" applyBorder="1" applyAlignment="1">
      <alignment horizontal="left" indent="1"/>
    </xf>
    <xf numFmtId="3" fontId="10" fillId="0" borderId="7" xfId="11" applyNumberFormat="1" applyFont="1" applyBorder="1"/>
    <xf numFmtId="0" fontId="10" fillId="0" borderId="18" xfId="11" applyFont="1" applyBorder="1"/>
    <xf numFmtId="0" fontId="10" fillId="0" borderId="1" xfId="11" applyFont="1" applyBorder="1"/>
    <xf numFmtId="3" fontId="10" fillId="0" borderId="14" xfId="11" applyNumberFormat="1" applyFont="1" applyBorder="1"/>
    <xf numFmtId="3" fontId="10" fillId="0" borderId="11" xfId="11" applyNumberFormat="1" applyFont="1" applyBorder="1" applyAlignment="1">
      <alignment horizontal="center"/>
    </xf>
    <xf numFmtId="3" fontId="10" fillId="0" borderId="1" xfId="11" applyNumberFormat="1" applyFont="1" applyBorder="1" applyAlignment="1">
      <alignment horizontal="center"/>
    </xf>
    <xf numFmtId="3" fontId="10" fillId="0" borderId="18" xfId="11" applyNumberFormat="1" applyFont="1" applyBorder="1"/>
    <xf numFmtId="9" fontId="10" fillId="0" borderId="1" xfId="13" applyFont="1" applyBorder="1" applyAlignment="1">
      <alignment horizontal="center"/>
    </xf>
    <xf numFmtId="0" fontId="10" fillId="0" borderId="7" xfId="11" applyFont="1" applyBorder="1"/>
    <xf numFmtId="3" fontId="10" fillId="0" borderId="1" xfId="11" applyNumberFormat="1" applyFont="1" applyBorder="1"/>
    <xf numFmtId="3" fontId="10" fillId="0" borderId="20" xfId="11" applyNumberFormat="1" applyFont="1" applyBorder="1"/>
    <xf numFmtId="3" fontId="21" fillId="0" borderId="9" xfId="9" applyNumberFormat="1" applyFont="1" applyBorder="1" applyAlignment="1">
      <alignment horizontal="center" vertical="top" wrapText="1"/>
    </xf>
    <xf numFmtId="3" fontId="21" fillId="0" borderId="13" xfId="9" applyNumberFormat="1" applyFont="1" applyBorder="1" applyAlignment="1">
      <alignment horizontal="center" vertical="top" wrapText="1"/>
    </xf>
    <xf numFmtId="0" fontId="10" fillId="0" borderId="0" xfId="11" applyFont="1" applyAlignment="1">
      <alignment horizontal="center"/>
    </xf>
    <xf numFmtId="3" fontId="10" fillId="0" borderId="13" xfId="11" applyNumberFormat="1" applyFont="1" applyBorder="1"/>
    <xf numFmtId="3" fontId="10" fillId="5" borderId="13" xfId="11" applyNumberFormat="1" applyFont="1" applyFill="1" applyBorder="1"/>
    <xf numFmtId="0" fontId="17" fillId="0" borderId="13" xfId="9" applyFont="1" applyBorder="1" applyAlignment="1">
      <alignment horizontal="center" vertical="top" wrapText="1"/>
    </xf>
    <xf numFmtId="0" fontId="10" fillId="0" borderId="0" xfId="11" applyFont="1" applyAlignment="1">
      <alignment horizontal="right"/>
    </xf>
    <xf numFmtId="3" fontId="10" fillId="0" borderId="0" xfId="11" applyNumberFormat="1" applyFont="1" applyAlignment="1">
      <alignment horizontal="right"/>
    </xf>
    <xf numFmtId="0" fontId="10" fillId="0" borderId="0" xfId="10" applyFont="1"/>
    <xf numFmtId="3" fontId="10" fillId="0" borderId="0" xfId="10" applyNumberFormat="1" applyFont="1"/>
    <xf numFmtId="3" fontId="31" fillId="0" borderId="0" xfId="10" applyNumberFormat="1" applyFont="1"/>
    <xf numFmtId="3" fontId="10" fillId="0" borderId="0" xfId="10" applyNumberFormat="1" applyFont="1" applyAlignment="1">
      <alignment horizontal="left" indent="1"/>
    </xf>
    <xf numFmtId="3" fontId="10" fillId="0" borderId="13" xfId="10" applyNumberFormat="1" applyFont="1" applyBorder="1"/>
    <xf numFmtId="3" fontId="10" fillId="0" borderId="20" xfId="10" applyNumberFormat="1" applyFont="1" applyBorder="1"/>
    <xf numFmtId="0" fontId="10" fillId="0" borderId="13" xfId="10" applyFont="1" applyBorder="1"/>
    <xf numFmtId="3" fontId="10" fillId="0" borderId="13" xfId="10" applyNumberFormat="1" applyFont="1" applyBorder="1" applyAlignment="1">
      <alignment horizontal="center"/>
    </xf>
    <xf numFmtId="0" fontId="12" fillId="0" borderId="0" xfId="10" applyFont="1"/>
    <xf numFmtId="3" fontId="10" fillId="0" borderId="5" xfId="10" applyNumberFormat="1" applyFont="1" applyBorder="1"/>
    <xf numFmtId="3" fontId="10" fillId="0" borderId="0" xfId="10" applyNumberFormat="1" applyFont="1" applyAlignment="1">
      <alignment horizontal="center"/>
    </xf>
    <xf numFmtId="3" fontId="12" fillId="0" borderId="0" xfId="10" applyNumberFormat="1" applyFont="1"/>
    <xf numFmtId="3" fontId="10" fillId="5" borderId="0" xfId="10" applyNumberFormat="1" applyFont="1" applyFill="1"/>
    <xf numFmtId="3" fontId="10" fillId="5" borderId="13" xfId="10" applyNumberFormat="1" applyFont="1" applyFill="1" applyBorder="1"/>
    <xf numFmtId="0" fontId="21" fillId="0" borderId="13" xfId="7" applyFont="1" applyBorder="1" applyAlignment="1">
      <alignment horizontal="center" vertical="top" wrapText="1"/>
    </xf>
    <xf numFmtId="3" fontId="10" fillId="0" borderId="19" xfId="10" applyNumberFormat="1" applyFont="1" applyBorder="1"/>
    <xf numFmtId="3" fontId="10" fillId="0" borderId="11" xfId="10" applyNumberFormat="1" applyFont="1" applyBorder="1"/>
    <xf numFmtId="3" fontId="10" fillId="0" borderId="1" xfId="10" applyNumberFormat="1" applyFont="1" applyBorder="1"/>
    <xf numFmtId="0" fontId="10" fillId="0" borderId="18" xfId="10" applyFont="1" applyBorder="1"/>
    <xf numFmtId="3" fontId="10" fillId="0" borderId="10" xfId="10" applyNumberFormat="1" applyFont="1" applyBorder="1"/>
    <xf numFmtId="3" fontId="10" fillId="0" borderId="18" xfId="10" applyNumberFormat="1" applyFont="1" applyBorder="1"/>
    <xf numFmtId="3" fontId="10" fillId="0" borderId="7" xfId="10" applyNumberFormat="1" applyFont="1" applyBorder="1"/>
    <xf numFmtId="3" fontId="10" fillId="0" borderId="12" xfId="10" applyNumberFormat="1" applyFont="1" applyBorder="1"/>
    <xf numFmtId="3" fontId="10" fillId="0" borderId="14" xfId="10" applyNumberFormat="1" applyFont="1" applyBorder="1"/>
    <xf numFmtId="0" fontId="10" fillId="0" borderId="14" xfId="10" applyFont="1" applyBorder="1"/>
    <xf numFmtId="3" fontId="10" fillId="0" borderId="11" xfId="10" applyNumberFormat="1" applyFont="1" applyBorder="1" applyAlignment="1">
      <alignment horizontal="center"/>
    </xf>
    <xf numFmtId="3" fontId="10" fillId="0" borderId="1" xfId="10" applyNumberFormat="1" applyFont="1" applyBorder="1" applyAlignment="1">
      <alignment horizontal="center"/>
    </xf>
    <xf numFmtId="0" fontId="10" fillId="0" borderId="12" xfId="10" applyFont="1" applyBorder="1"/>
    <xf numFmtId="0" fontId="10" fillId="0" borderId="11" xfId="10" applyFont="1" applyBorder="1" applyAlignment="1">
      <alignment horizontal="left" indent="1"/>
    </xf>
    <xf numFmtId="3" fontId="10" fillId="0" borderId="12" xfId="10" applyNumberFormat="1" applyFont="1" applyBorder="1" applyAlignment="1">
      <alignment horizontal="center"/>
    </xf>
    <xf numFmtId="0" fontId="10" fillId="0" borderId="12" xfId="10" applyFont="1" applyBorder="1" applyAlignment="1">
      <alignment horizontal="center"/>
    </xf>
    <xf numFmtId="0" fontId="10" fillId="0" borderId="12" xfId="10" applyFont="1" applyBorder="1" applyAlignment="1">
      <alignment horizontal="left" indent="1"/>
    </xf>
    <xf numFmtId="3" fontId="10" fillId="0" borderId="10" xfId="10" applyNumberFormat="1" applyFont="1" applyBorder="1" applyAlignment="1">
      <alignment horizontal="center"/>
    </xf>
    <xf numFmtId="0" fontId="25" fillId="0" borderId="12" xfId="10" applyFont="1" applyBorder="1"/>
    <xf numFmtId="3" fontId="10" fillId="0" borderId="9" xfId="10" applyNumberFormat="1" applyFont="1" applyBorder="1" applyAlignment="1">
      <alignment horizontal="center"/>
    </xf>
    <xf numFmtId="3" fontId="10" fillId="0" borderId="9" xfId="10" applyNumberFormat="1" applyFont="1" applyBorder="1"/>
    <xf numFmtId="0" fontId="10" fillId="0" borderId="9" xfId="10" applyFont="1" applyBorder="1"/>
    <xf numFmtId="3" fontId="10" fillId="0" borderId="7" xfId="10" applyNumberFormat="1" applyFont="1" applyBorder="1" applyAlignment="1">
      <alignment horizontal="center"/>
    </xf>
    <xf numFmtId="0" fontId="10" fillId="0" borderId="15" xfId="10" applyFont="1" applyBorder="1" applyAlignment="1">
      <alignment horizontal="center"/>
    </xf>
    <xf numFmtId="0" fontId="10" fillId="0" borderId="9" xfId="10" applyFont="1" applyBorder="1" applyAlignment="1">
      <alignment horizontal="center"/>
    </xf>
    <xf numFmtId="3" fontId="10" fillId="0" borderId="8" xfId="10" applyNumberFormat="1" applyFont="1" applyBorder="1" applyAlignment="1">
      <alignment horizontal="center"/>
    </xf>
    <xf numFmtId="0" fontId="10" fillId="0" borderId="15" xfId="10" applyFont="1" applyBorder="1"/>
    <xf numFmtId="0" fontId="10" fillId="0" borderId="1" xfId="10" applyFont="1" applyBorder="1"/>
    <xf numFmtId="0" fontId="10" fillId="0" borderId="12" xfId="7" applyFont="1" applyBorder="1" applyAlignment="1">
      <alignment horizontal="center"/>
    </xf>
    <xf numFmtId="0" fontId="10" fillId="0" borderId="1" xfId="7" applyFont="1" applyBorder="1" applyAlignment="1">
      <alignment horizontal="center"/>
    </xf>
    <xf numFmtId="0" fontId="12" fillId="0" borderId="0" xfId="7" quotePrefix="1" applyFont="1" applyAlignment="1">
      <alignment horizontal="left"/>
    </xf>
    <xf numFmtId="170" fontId="10" fillId="0" borderId="13" xfId="6" applyNumberFormat="1" applyFont="1" applyBorder="1"/>
    <xf numFmtId="172" fontId="10" fillId="0" borderId="0" xfId="1" applyNumberFormat="1" applyFont="1"/>
    <xf numFmtId="0" fontId="10" fillId="0" borderId="0" xfId="5" quotePrefix="1" applyFont="1" applyAlignment="1">
      <alignment horizontal="left" vertical="top" wrapText="1"/>
    </xf>
    <xf numFmtId="172" fontId="10" fillId="0" borderId="0" xfId="1" applyNumberFormat="1" applyFont="1" applyAlignment="1">
      <alignment horizontal="right" vertical="top" wrapText="1"/>
    </xf>
    <xf numFmtId="0" fontId="15" fillId="0" borderId="0" xfId="5" applyFont="1" applyAlignment="1">
      <alignment vertical="top" wrapText="1"/>
    </xf>
    <xf numFmtId="0" fontId="10" fillId="0" borderId="0" xfId="5" applyFont="1" applyAlignment="1">
      <alignment vertical="top" wrapText="1"/>
    </xf>
    <xf numFmtId="172" fontId="10" fillId="0" borderId="5" xfId="1" applyNumberFormat="1" applyFont="1" applyBorder="1" applyAlignment="1">
      <alignment horizontal="right" vertical="top" wrapText="1"/>
    </xf>
    <xf numFmtId="0" fontId="10" fillId="0" borderId="6" xfId="5" quotePrefix="1" applyFont="1" applyBorder="1" applyAlignment="1">
      <alignment horizontal="left" vertical="top" wrapText="1"/>
    </xf>
    <xf numFmtId="172" fontId="10" fillId="0" borderId="6" xfId="1" applyNumberFormat="1" applyFont="1" applyBorder="1"/>
    <xf numFmtId="172" fontId="10" fillId="0" borderId="0" xfId="5" applyNumberFormat="1" applyFont="1"/>
    <xf numFmtId="172" fontId="10" fillId="0" borderId="1" xfId="5" applyNumberFormat="1" applyFont="1" applyBorder="1"/>
    <xf numFmtId="0" fontId="10" fillId="0" borderId="6" xfId="5" applyFont="1" applyBorder="1"/>
    <xf numFmtId="3" fontId="15" fillId="0" borderId="0" xfId="5" applyNumberFormat="1" applyFont="1"/>
    <xf numFmtId="3" fontId="10" fillId="0" borderId="0" xfId="5" applyNumberFormat="1" applyFont="1" applyAlignment="1">
      <alignment horizontal="right"/>
    </xf>
    <xf numFmtId="3" fontId="10" fillId="0" borderId="1" xfId="5" quotePrefix="1" applyNumberFormat="1" applyFont="1" applyBorder="1"/>
    <xf numFmtId="3" fontId="10" fillId="0" borderId="1" xfId="5" quotePrefix="1" applyNumberFormat="1" applyFont="1" applyBorder="1" applyAlignment="1">
      <alignment horizontal="left"/>
    </xf>
    <xf numFmtId="3" fontId="10" fillId="0" borderId="1" xfId="5" quotePrefix="1" applyNumberFormat="1" applyFont="1" applyBorder="1" applyAlignment="1">
      <alignment horizontal="right"/>
    </xf>
    <xf numFmtId="3" fontId="12" fillId="0" borderId="5" xfId="5" applyNumberFormat="1" applyFont="1" applyBorder="1" applyAlignment="1">
      <alignment horizontal="right"/>
    </xf>
    <xf numFmtId="0" fontId="15" fillId="0" borderId="0" xfId="5" applyFont="1"/>
    <xf numFmtId="0" fontId="10" fillId="0" borderId="1" xfId="5" quotePrefix="1" applyFont="1" applyBorder="1" applyAlignment="1">
      <alignment horizontal="left"/>
    </xf>
    <xf numFmtId="0" fontId="10" fillId="0" borderId="1" xfId="5" applyFont="1" applyBorder="1" applyAlignment="1">
      <alignment horizontal="right"/>
    </xf>
    <xf numFmtId="16" fontId="10" fillId="0" borderId="12" xfId="5" quotePrefix="1" applyNumberFormat="1" applyFont="1" applyBorder="1" applyAlignment="1">
      <alignment horizontal="center"/>
    </xf>
    <xf numFmtId="0" fontId="10" fillId="0" borderId="12" xfId="5" quotePrefix="1" applyFont="1" applyBorder="1" applyAlignment="1">
      <alignment horizontal="center"/>
    </xf>
    <xf numFmtId="0" fontId="10" fillId="2" borderId="15" xfId="5" applyFont="1" applyFill="1" applyBorder="1" applyAlignment="1">
      <alignment horizontal="center"/>
    </xf>
    <xf numFmtId="0" fontId="10" fillId="0" borderId="9" xfId="5" applyFont="1" applyBorder="1"/>
    <xf numFmtId="3" fontId="10" fillId="0" borderId="15" xfId="5" applyNumberFormat="1" applyFont="1" applyBorder="1" applyAlignment="1">
      <alignment horizontal="right"/>
    </xf>
    <xf numFmtId="3" fontId="10" fillId="0" borderId="16" xfId="5" applyNumberFormat="1" applyFont="1" applyBorder="1" applyAlignment="1">
      <alignment horizontal="right"/>
    </xf>
    <xf numFmtId="3" fontId="10" fillId="0" borderId="14" xfId="5" applyNumberFormat="1" applyFont="1" applyBorder="1" applyAlignment="1">
      <alignment horizontal="right"/>
    </xf>
    <xf numFmtId="0" fontId="25" fillId="0" borderId="12" xfId="5" applyFont="1" applyBorder="1"/>
    <xf numFmtId="0" fontId="10" fillId="0" borderId="11" xfId="5" applyFont="1" applyBorder="1" applyAlignment="1">
      <alignment horizontal="left" indent="1"/>
    </xf>
    <xf numFmtId="3" fontId="10" fillId="0" borderId="18" xfId="5" applyNumberFormat="1" applyFont="1" applyBorder="1" applyAlignment="1">
      <alignment horizontal="right"/>
    </xf>
    <xf numFmtId="3" fontId="10" fillId="0" borderId="1" xfId="5" applyNumberFormat="1" applyFont="1" applyBorder="1" applyAlignment="1">
      <alignment horizontal="right"/>
    </xf>
    <xf numFmtId="0" fontId="10" fillId="0" borderId="11" xfId="5" applyFont="1" applyBorder="1" applyAlignment="1">
      <alignment horizontal="right"/>
    </xf>
    <xf numFmtId="0" fontId="10" fillId="0" borderId="12" xfId="5" applyFont="1" applyBorder="1" applyAlignment="1">
      <alignment horizontal="right"/>
    </xf>
    <xf numFmtId="0" fontId="10" fillId="0" borderId="7" xfId="5" applyFont="1" applyBorder="1" applyAlignment="1">
      <alignment horizontal="right"/>
    </xf>
    <xf numFmtId="0" fontId="10" fillId="0" borderId="0" xfId="5" applyFont="1" applyAlignment="1">
      <alignment horizontal="right"/>
    </xf>
    <xf numFmtId="0" fontId="10" fillId="0" borderId="14" xfId="5" applyFont="1" applyBorder="1" applyAlignment="1">
      <alignment horizontal="right"/>
    </xf>
    <xf numFmtId="0" fontId="10" fillId="0" borderId="20" xfId="5" applyFont="1" applyBorder="1" applyAlignment="1">
      <alignment horizontal="right"/>
    </xf>
    <xf numFmtId="0" fontId="10" fillId="0" borderId="13" xfId="5" applyFont="1" applyBorder="1" applyAlignment="1">
      <alignment horizontal="right"/>
    </xf>
    <xf numFmtId="0" fontId="10" fillId="0" borderId="5" xfId="5" applyFont="1" applyBorder="1" applyAlignment="1">
      <alignment horizontal="right"/>
    </xf>
    <xf numFmtId="3" fontId="10" fillId="0" borderId="19" xfId="5" applyNumberFormat="1" applyFont="1" applyBorder="1" applyAlignment="1">
      <alignment horizontal="right"/>
    </xf>
    <xf numFmtId="0" fontId="10" fillId="0" borderId="10" xfId="5" applyFont="1" applyBorder="1" applyAlignment="1">
      <alignment horizontal="right"/>
    </xf>
    <xf numFmtId="0" fontId="25" fillId="0" borderId="0" xfId="5" applyFont="1"/>
    <xf numFmtId="172" fontId="10" fillId="0" borderId="5" xfId="1" applyNumberFormat="1" applyFont="1" applyBorder="1"/>
    <xf numFmtId="0" fontId="10" fillId="0" borderId="13" xfId="5" applyFont="1" applyBorder="1"/>
    <xf numFmtId="2" fontId="21" fillId="0" borderId="1" xfId="8" applyNumberFormat="1" applyFont="1" applyBorder="1"/>
    <xf numFmtId="2" fontId="21" fillId="0" borderId="0" xfId="8" applyNumberFormat="1" applyFont="1"/>
    <xf numFmtId="164" fontId="21" fillId="0" borderId="0" xfId="8" applyFont="1"/>
    <xf numFmtId="3" fontId="10" fillId="4" borderId="13" xfId="10" applyNumberFormat="1" applyFont="1" applyFill="1" applyBorder="1"/>
    <xf numFmtId="0" fontId="10" fillId="0" borderId="0" xfId="5" applyFont="1" applyAlignment="1">
      <alignment horizontal="left"/>
    </xf>
    <xf numFmtId="0" fontId="44" fillId="0" borderId="0" xfId="3" applyFont="1"/>
    <xf numFmtId="0" fontId="43" fillId="0" borderId="0" xfId="11" applyFont="1"/>
    <xf numFmtId="3" fontId="12" fillId="0" borderId="0" xfId="10" applyNumberFormat="1" applyFont="1" applyAlignment="1">
      <alignment horizontal="left"/>
    </xf>
    <xf numFmtId="3" fontId="43" fillId="0" borderId="0" xfId="10" applyNumberFormat="1" applyFont="1"/>
    <xf numFmtId="0" fontId="10" fillId="0" borderId="11" xfId="5" applyFont="1" applyBorder="1"/>
    <xf numFmtId="0" fontId="21" fillId="0" borderId="12" xfId="0" quotePrefix="1" applyFont="1" applyBorder="1" applyAlignment="1">
      <alignment horizontal="center"/>
    </xf>
    <xf numFmtId="169" fontId="27" fillId="0" borderId="0" xfId="0" applyNumberFormat="1" applyFont="1"/>
    <xf numFmtId="3" fontId="27" fillId="0" borderId="0" xfId="0" applyNumberFormat="1" applyFont="1"/>
    <xf numFmtId="0" fontId="47" fillId="0" borderId="0" xfId="0" applyFont="1"/>
    <xf numFmtId="0" fontId="27" fillId="0" borderId="5" xfId="0" applyFont="1" applyBorder="1"/>
    <xf numFmtId="3" fontId="27" fillId="0" borderId="13" xfId="0" applyNumberFormat="1" applyFont="1" applyBorder="1" applyAlignment="1">
      <alignment horizontal="center"/>
    </xf>
    <xf numFmtId="0" fontId="27" fillId="0" borderId="9" xfId="0" applyFont="1" applyBorder="1"/>
    <xf numFmtId="3" fontId="27" fillId="0" borderId="9" xfId="0" applyNumberFormat="1" applyFont="1" applyBorder="1" applyAlignment="1">
      <alignment horizontal="center"/>
    </xf>
    <xf numFmtId="0" fontId="27" fillId="0" borderId="12" xfId="0" applyFont="1" applyBorder="1"/>
    <xf numFmtId="3" fontId="27" fillId="0" borderId="8" xfId="0" applyNumberFormat="1" applyFont="1" applyBorder="1" applyAlignment="1">
      <alignment horizontal="center"/>
    </xf>
    <xf numFmtId="3" fontId="27" fillId="0" borderId="15" xfId="0" applyNumberFormat="1" applyFont="1" applyBorder="1" applyAlignment="1">
      <alignment horizontal="center"/>
    </xf>
    <xf numFmtId="3" fontId="27" fillId="0" borderId="12" xfId="0" applyNumberFormat="1" applyFont="1" applyBorder="1" applyAlignment="1">
      <alignment horizontal="center"/>
    </xf>
    <xf numFmtId="3" fontId="27" fillId="0" borderId="8" xfId="0" applyNumberFormat="1" applyFont="1" applyBorder="1"/>
    <xf numFmtId="3" fontId="27" fillId="0" borderId="16" xfId="0" applyNumberFormat="1" applyFont="1" applyBorder="1"/>
    <xf numFmtId="3" fontId="27" fillId="0" borderId="7" xfId="0" applyNumberFormat="1" applyFont="1" applyBorder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7" xfId="0" applyNumberFormat="1" applyFont="1" applyBorder="1"/>
    <xf numFmtId="3" fontId="27" fillId="0" borderId="12" xfId="0" applyNumberFormat="1" applyFont="1" applyBorder="1"/>
    <xf numFmtId="3" fontId="27" fillId="0" borderId="11" xfId="0" applyNumberFormat="1" applyFont="1" applyBorder="1"/>
    <xf numFmtId="0" fontId="27" fillId="0" borderId="7" xfId="0" applyFont="1" applyBorder="1"/>
    <xf numFmtId="3" fontId="27" fillId="0" borderId="10" xfId="0" applyNumberFormat="1" applyFont="1" applyBorder="1"/>
    <xf numFmtId="0" fontId="47" fillId="0" borderId="12" xfId="0" applyFont="1" applyBorder="1"/>
    <xf numFmtId="3" fontId="27" fillId="0" borderId="20" xfId="0" applyNumberFormat="1" applyFont="1" applyBorder="1" applyAlignment="1">
      <alignment horizontal="center"/>
    </xf>
    <xf numFmtId="0" fontId="27" fillId="0" borderId="12" xfId="0" applyFont="1" applyBorder="1" applyAlignment="1">
      <alignment horizontal="left" indent="1"/>
    </xf>
    <xf numFmtId="0" fontId="27" fillId="0" borderId="11" xfId="0" applyFont="1" applyBorder="1" applyAlignment="1">
      <alignment horizontal="left" indent="1"/>
    </xf>
    <xf numFmtId="3" fontId="27" fillId="0" borderId="11" xfId="0" applyNumberFormat="1" applyFont="1" applyBorder="1" applyAlignment="1">
      <alignment horizontal="center"/>
    </xf>
    <xf numFmtId="0" fontId="27" fillId="0" borderId="14" xfId="0" applyFont="1" applyBorder="1"/>
    <xf numFmtId="3" fontId="27" fillId="0" borderId="14" xfId="0" applyNumberFormat="1" applyFont="1" applyBorder="1"/>
    <xf numFmtId="0" fontId="27" fillId="0" borderId="18" xfId="0" applyFont="1" applyBorder="1"/>
    <xf numFmtId="3" fontId="27" fillId="0" borderId="1" xfId="0" applyNumberFormat="1" applyFont="1" applyBorder="1"/>
    <xf numFmtId="3" fontId="27" fillId="0" borderId="18" xfId="0" applyNumberFormat="1" applyFont="1" applyBorder="1"/>
    <xf numFmtId="3" fontId="27" fillId="0" borderId="1" xfId="0" applyNumberFormat="1" applyFont="1" applyBorder="1" applyAlignment="1">
      <alignment horizontal="center"/>
    </xf>
    <xf numFmtId="0" fontId="27" fillId="0" borderId="11" xfId="0" applyFont="1" applyBorder="1"/>
    <xf numFmtId="0" fontId="27" fillId="0" borderId="1" xfId="0" applyFont="1" applyBorder="1"/>
    <xf numFmtId="0" fontId="47" fillId="0" borderId="14" xfId="0" applyFont="1" applyBorder="1"/>
    <xf numFmtId="0" fontId="27" fillId="0" borderId="20" xfId="0" applyFont="1" applyBorder="1"/>
    <xf numFmtId="0" fontId="27" fillId="0" borderId="19" xfId="0" applyFont="1" applyBorder="1"/>
    <xf numFmtId="3" fontId="27" fillId="0" borderId="19" xfId="0" applyNumberFormat="1" applyFont="1" applyBorder="1"/>
    <xf numFmtId="0" fontId="27" fillId="0" borderId="10" xfId="0" applyFont="1" applyBorder="1"/>
    <xf numFmtId="0" fontId="27" fillId="0" borderId="0" xfId="0" applyFont="1" applyAlignment="1">
      <alignment horizontal="left" vertical="top" wrapText="1"/>
    </xf>
    <xf numFmtId="3" fontId="10" fillId="0" borderId="20" xfId="5" applyNumberFormat="1" applyFont="1" applyBorder="1" applyAlignment="1">
      <alignment horizontal="center"/>
    </xf>
    <xf numFmtId="3" fontId="27" fillId="0" borderId="5" xfId="0" applyNumberFormat="1" applyFont="1" applyBorder="1"/>
    <xf numFmtId="0" fontId="27" fillId="0" borderId="15" xfId="0" applyFont="1" applyBorder="1"/>
    <xf numFmtId="0" fontId="27" fillId="0" borderId="16" xfId="0" applyFont="1" applyBorder="1"/>
    <xf numFmtId="0" fontId="27" fillId="0" borderId="8" xfId="0" applyFont="1" applyBorder="1"/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indent="1"/>
    </xf>
    <xf numFmtId="0" fontId="27" fillId="0" borderId="0" xfId="0" applyFont="1" applyAlignment="1">
      <alignment horizontal="left"/>
    </xf>
    <xf numFmtId="10" fontId="27" fillId="0" borderId="0" xfId="4" applyNumberFormat="1" applyFont="1"/>
    <xf numFmtId="0" fontId="27" fillId="0" borderId="0" xfId="0" quotePrefix="1" applyFont="1" applyAlignment="1">
      <alignment horizontal="left"/>
    </xf>
    <xf numFmtId="0" fontId="48" fillId="0" borderId="0" xfId="0" applyFont="1"/>
    <xf numFmtId="3" fontId="48" fillId="0" borderId="0" xfId="0" applyNumberFormat="1" applyFont="1"/>
    <xf numFmtId="3" fontId="48" fillId="0" borderId="5" xfId="0" applyNumberFormat="1" applyFont="1" applyBorder="1"/>
    <xf numFmtId="0" fontId="17" fillId="2" borderId="9" xfId="0" applyFont="1" applyFill="1" applyBorder="1" applyAlignment="1">
      <alignment horizontal="center"/>
    </xf>
    <xf numFmtId="0" fontId="17" fillId="2" borderId="9" xfId="0" quotePrefix="1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3" fontId="27" fillId="0" borderId="0" xfId="5" applyNumberFormat="1" applyFont="1"/>
    <xf numFmtId="3" fontId="27" fillId="0" borderId="5" xfId="5" applyNumberFormat="1" applyFont="1" applyBorder="1"/>
    <xf numFmtId="3" fontId="27" fillId="0" borderId="1" xfId="5" applyNumberFormat="1" applyFont="1" applyBorder="1"/>
    <xf numFmtId="0" fontId="27" fillId="0" borderId="0" xfId="5" applyFont="1" applyAlignment="1">
      <alignment horizontal="left" indent="1"/>
    </xf>
    <xf numFmtId="0" fontId="27" fillId="0" borderId="1" xfId="5" applyFont="1" applyBorder="1" applyAlignment="1">
      <alignment horizontal="left" indent="1"/>
    </xf>
    <xf numFmtId="0" fontId="27" fillId="0" borderId="1" xfId="5" applyFont="1" applyBorder="1"/>
    <xf numFmtId="0" fontId="27" fillId="0" borderId="5" xfId="5" applyFont="1" applyBorder="1"/>
    <xf numFmtId="0" fontId="27" fillId="0" borderId="15" xfId="5" applyFont="1" applyBorder="1"/>
    <xf numFmtId="0" fontId="27" fillId="0" borderId="16" xfId="5" applyFont="1" applyBorder="1"/>
    <xf numFmtId="3" fontId="27" fillId="0" borderId="8" xfId="5" applyNumberFormat="1" applyFont="1" applyBorder="1"/>
    <xf numFmtId="3" fontId="27" fillId="0" borderId="9" xfId="5" applyNumberFormat="1" applyFont="1" applyBorder="1" applyAlignment="1">
      <alignment horizontal="center"/>
    </xf>
    <xf numFmtId="0" fontId="27" fillId="0" borderId="14" xfId="5" applyFont="1" applyBorder="1"/>
    <xf numFmtId="3" fontId="27" fillId="0" borderId="7" xfId="5" applyNumberFormat="1" applyFont="1" applyBorder="1"/>
    <xf numFmtId="3" fontId="27" fillId="0" borderId="8" xfId="5" applyNumberFormat="1" applyFont="1" applyBorder="1" applyAlignment="1">
      <alignment horizontal="center"/>
    </xf>
    <xf numFmtId="3" fontId="27" fillId="0" borderId="19" xfId="5" applyNumberFormat="1" applyFont="1" applyBorder="1" applyAlignment="1">
      <alignment horizontal="center"/>
    </xf>
    <xf numFmtId="3" fontId="27" fillId="0" borderId="11" xfId="5" applyNumberFormat="1" applyFont="1" applyBorder="1" applyAlignment="1">
      <alignment horizontal="center"/>
    </xf>
    <xf numFmtId="3" fontId="27" fillId="0" borderId="12" xfId="5" applyNumberFormat="1" applyFont="1" applyBorder="1" applyAlignment="1">
      <alignment horizontal="center"/>
    </xf>
    <xf numFmtId="3" fontId="27" fillId="0" borderId="9" xfId="5" applyNumberFormat="1" applyFont="1" applyBorder="1" applyAlignment="1">
      <alignment horizontal="right"/>
    </xf>
    <xf numFmtId="3" fontId="27" fillId="0" borderId="12" xfId="5" applyNumberFormat="1" applyFont="1" applyBorder="1" applyAlignment="1">
      <alignment horizontal="right"/>
    </xf>
    <xf numFmtId="3" fontId="27" fillId="0" borderId="11" xfId="5" applyNumberFormat="1" applyFont="1" applyBorder="1" applyAlignment="1">
      <alignment horizontal="right"/>
    </xf>
    <xf numFmtId="3" fontId="27" fillId="0" borderId="10" xfId="5" applyNumberFormat="1" applyFont="1" applyBorder="1" applyAlignment="1">
      <alignment horizontal="right"/>
    </xf>
    <xf numFmtId="0" fontId="47" fillId="0" borderId="14" xfId="5" applyFont="1" applyBorder="1"/>
    <xf numFmtId="3" fontId="27" fillId="0" borderId="20" xfId="5" applyNumberFormat="1" applyFont="1" applyBorder="1" applyAlignment="1">
      <alignment horizontal="center"/>
    </xf>
    <xf numFmtId="0" fontId="27" fillId="0" borderId="14" xfId="5" applyFont="1" applyBorder="1" applyAlignment="1">
      <alignment horizontal="left" indent="1"/>
    </xf>
    <xf numFmtId="3" fontId="27" fillId="0" borderId="7" xfId="5" applyNumberFormat="1" applyFont="1" applyBorder="1" applyAlignment="1">
      <alignment horizontal="right"/>
    </xf>
    <xf numFmtId="3" fontId="27" fillId="0" borderId="20" xfId="5" applyNumberFormat="1" applyFont="1" applyBorder="1" applyAlignment="1">
      <alignment horizontal="right"/>
    </xf>
    <xf numFmtId="0" fontId="27" fillId="0" borderId="19" xfId="5" applyFont="1" applyBorder="1"/>
    <xf numFmtId="3" fontId="27" fillId="0" borderId="20" xfId="5" applyNumberFormat="1" applyFont="1" applyBorder="1"/>
    <xf numFmtId="3" fontId="27" fillId="0" borderId="13" xfId="5" applyNumberFormat="1" applyFont="1" applyBorder="1" applyAlignment="1">
      <alignment horizontal="right"/>
    </xf>
    <xf numFmtId="3" fontId="27" fillId="0" borderId="0" xfId="5" quotePrefix="1" applyNumberFormat="1" applyFont="1" applyAlignment="1">
      <alignment horizontal="left"/>
    </xf>
    <xf numFmtId="0" fontId="26" fillId="0" borderId="0" xfId="5" applyFont="1" applyAlignment="1">
      <alignment horizontal="left"/>
    </xf>
    <xf numFmtId="0" fontId="27" fillId="0" borderId="0" xfId="5" quotePrefix="1" applyFont="1" applyAlignment="1">
      <alignment horizontal="left"/>
    </xf>
    <xf numFmtId="0" fontId="21" fillId="3" borderId="9" xfId="0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 vertical="top" wrapText="1"/>
    </xf>
    <xf numFmtId="170" fontId="10" fillId="0" borderId="0" xfId="6" applyNumberFormat="1" applyFont="1"/>
    <xf numFmtId="170" fontId="10" fillId="0" borderId="0" xfId="6" applyNumberFormat="1" applyFont="1" applyAlignment="1">
      <alignment horizontal="center"/>
    </xf>
    <xf numFmtId="16" fontId="10" fillId="0" borderId="12" xfId="0" quotePrefix="1" applyNumberFormat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3" fontId="10" fillId="0" borderId="20" xfId="0" applyNumberFormat="1" applyFont="1" applyBorder="1"/>
    <xf numFmtId="3" fontId="10" fillId="0" borderId="13" xfId="0" applyNumberFormat="1" applyFont="1" applyBorder="1" applyAlignment="1">
      <alignment horizontal="right"/>
    </xf>
    <xf numFmtId="0" fontId="10" fillId="3" borderId="13" xfId="0" applyFont="1" applyFill="1" applyBorder="1" applyAlignment="1">
      <alignment horizontal="center" vertical="top" wrapText="1"/>
    </xf>
    <xf numFmtId="0" fontId="46" fillId="0" borderId="0" xfId="15" applyFont="1"/>
    <xf numFmtId="0" fontId="46" fillId="0" borderId="0" xfId="15" applyFont="1" applyAlignment="1">
      <alignment vertical="top" wrapText="1"/>
    </xf>
    <xf numFmtId="2" fontId="46" fillId="0" borderId="0" xfId="15" applyNumberFormat="1" applyFont="1" applyAlignment="1">
      <alignment horizontal="right" vertical="top" wrapText="1"/>
    </xf>
    <xf numFmtId="0" fontId="46" fillId="0" borderId="5" xfId="15" applyFont="1" applyBorder="1" applyAlignment="1">
      <alignment vertical="top" wrapText="1"/>
    </xf>
    <xf numFmtId="2" fontId="46" fillId="0" borderId="5" xfId="15" applyNumberFormat="1" applyFont="1" applyBorder="1" applyAlignment="1">
      <alignment horizontal="right" vertical="top" wrapText="1"/>
    </xf>
    <xf numFmtId="2" fontId="46" fillId="0" borderId="0" xfId="15" applyNumberFormat="1" applyFont="1"/>
    <xf numFmtId="3" fontId="46" fillId="0" borderId="0" xfId="15" applyNumberFormat="1" applyFont="1"/>
    <xf numFmtId="3" fontId="46" fillId="0" borderId="0" xfId="15" applyNumberFormat="1" applyFont="1" applyAlignment="1">
      <alignment horizontal="right" vertical="top" wrapText="1"/>
    </xf>
    <xf numFmtId="3" fontId="46" fillId="0" borderId="13" xfId="15" applyNumberFormat="1" applyFont="1" applyBorder="1" applyAlignment="1">
      <alignment vertical="top" wrapText="1"/>
    </xf>
    <xf numFmtId="0" fontId="46" fillId="0" borderId="13" xfId="15" applyFont="1" applyBorder="1"/>
    <xf numFmtId="3" fontId="46" fillId="0" borderId="13" xfId="15" applyNumberFormat="1" applyFont="1" applyBorder="1"/>
    <xf numFmtId="0" fontId="39" fillId="0" borderId="0" xfId="15" applyFont="1"/>
    <xf numFmtId="3" fontId="46" fillId="0" borderId="5" xfId="15" applyNumberFormat="1" applyFont="1" applyBorder="1" applyAlignment="1">
      <alignment horizontal="right" vertical="top" wrapText="1"/>
    </xf>
    <xf numFmtId="0" fontId="46" fillId="0" borderId="9" xfId="15" applyFont="1" applyBorder="1" applyAlignment="1">
      <alignment vertical="top" wrapText="1"/>
    </xf>
    <xf numFmtId="0" fontId="46" fillId="0" borderId="9" xfId="15" applyFont="1" applyBorder="1" applyAlignment="1">
      <alignment horizontal="center" vertical="top" wrapText="1"/>
    </xf>
    <xf numFmtId="0" fontId="46" fillId="0" borderId="19" xfId="15" applyFont="1" applyBorder="1" applyAlignment="1">
      <alignment vertical="top" wrapText="1"/>
    </xf>
    <xf numFmtId="3" fontId="46" fillId="0" borderId="5" xfId="15" applyNumberFormat="1" applyFont="1" applyBorder="1" applyAlignment="1">
      <alignment vertical="top" wrapText="1"/>
    </xf>
    <xf numFmtId="0" fontId="46" fillId="0" borderId="14" xfId="15" applyFont="1" applyBorder="1" applyAlignment="1">
      <alignment vertical="top" wrapText="1"/>
    </xf>
    <xf numFmtId="3" fontId="46" fillId="0" borderId="12" xfId="15" applyNumberFormat="1" applyFont="1" applyBorder="1" applyAlignment="1">
      <alignment vertical="top" wrapText="1"/>
    </xf>
    <xf numFmtId="3" fontId="46" fillId="0" borderId="0" xfId="15" applyNumberFormat="1" applyFont="1" applyAlignment="1">
      <alignment vertical="top" wrapText="1"/>
    </xf>
    <xf numFmtId="0" fontId="46" fillId="0" borderId="14" xfId="15" applyFont="1" applyBorder="1"/>
    <xf numFmtId="3" fontId="46" fillId="0" borderId="12" xfId="15" applyNumberFormat="1" applyFont="1" applyBorder="1"/>
    <xf numFmtId="0" fontId="46" fillId="0" borderId="18" xfId="15" quotePrefix="1" applyFont="1" applyBorder="1" applyAlignment="1">
      <alignment horizontal="left"/>
    </xf>
    <xf numFmtId="3" fontId="46" fillId="0" borderId="11" xfId="15" applyNumberFormat="1" applyFont="1" applyBorder="1"/>
    <xf numFmtId="3" fontId="46" fillId="0" borderId="1" xfId="15" applyNumberFormat="1" applyFont="1" applyBorder="1"/>
    <xf numFmtId="0" fontId="46" fillId="0" borderId="18" xfId="15" applyFont="1" applyBorder="1"/>
    <xf numFmtId="0" fontId="39" fillId="0" borderId="0" xfId="15" applyFont="1" applyAlignment="1">
      <alignment vertical="top" wrapText="1"/>
    </xf>
    <xf numFmtId="3" fontId="39" fillId="0" borderId="0" xfId="15" applyNumberFormat="1" applyFont="1" applyAlignment="1">
      <alignment horizontal="right" vertical="top" wrapText="1"/>
    </xf>
    <xf numFmtId="3" fontId="39" fillId="0" borderId="0" xfId="15" applyNumberFormat="1" applyFont="1"/>
    <xf numFmtId="0" fontId="39" fillId="0" borderId="1" xfId="15" applyFont="1" applyBorder="1" applyAlignment="1">
      <alignment vertical="top" wrapText="1"/>
    </xf>
    <xf numFmtId="3" fontId="39" fillId="0" borderId="1" xfId="15" applyNumberFormat="1" applyFont="1" applyBorder="1" applyAlignment="1">
      <alignment horizontal="right" vertical="top" wrapText="1"/>
    </xf>
    <xf numFmtId="3" fontId="40" fillId="0" borderId="0" xfId="15" applyNumberFormat="1" applyFont="1"/>
    <xf numFmtId="3" fontId="39" fillId="0" borderId="0" xfId="15" applyNumberFormat="1" applyFont="1" applyAlignment="1">
      <alignment vertical="top" wrapText="1"/>
    </xf>
    <xf numFmtId="0" fontId="39" fillId="0" borderId="5" xfId="15" applyFont="1" applyBorder="1"/>
    <xf numFmtId="3" fontId="39" fillId="0" borderId="5" xfId="15" applyNumberFormat="1" applyFont="1" applyBorder="1"/>
    <xf numFmtId="0" fontId="40" fillId="0" borderId="0" xfId="15" applyFont="1"/>
    <xf numFmtId="0" fontId="39" fillId="0" borderId="0" xfId="15" quotePrefix="1" applyFont="1" applyAlignment="1">
      <alignment horizontal="left" vertical="top" wrapText="1"/>
    </xf>
    <xf numFmtId="0" fontId="39" fillId="0" borderId="9" xfId="15" applyFont="1" applyBorder="1" applyAlignment="1">
      <alignment vertical="top" wrapText="1"/>
    </xf>
    <xf numFmtId="3" fontId="39" fillId="0" borderId="9" xfId="15" applyNumberFormat="1" applyFont="1" applyBorder="1" applyAlignment="1">
      <alignment horizontal="center" vertical="top" wrapText="1"/>
    </xf>
    <xf numFmtId="0" fontId="39" fillId="0" borderId="19" xfId="15" applyFont="1" applyBorder="1" applyAlignment="1">
      <alignment vertical="top" wrapText="1"/>
    </xf>
    <xf numFmtId="3" fontId="39" fillId="0" borderId="13" xfId="15" applyNumberFormat="1" applyFont="1" applyBorder="1" applyAlignment="1">
      <alignment vertical="top" wrapText="1"/>
    </xf>
    <xf numFmtId="3" fontId="39" fillId="0" borderId="5" xfId="15" applyNumberFormat="1" applyFont="1" applyBorder="1" applyAlignment="1">
      <alignment vertical="top" wrapText="1"/>
    </xf>
    <xf numFmtId="0" fontId="39" fillId="0" borderId="18" xfId="15" applyFont="1" applyBorder="1" applyAlignment="1">
      <alignment vertical="top" wrapText="1"/>
    </xf>
    <xf numFmtId="3" fontId="39" fillId="0" borderId="11" xfId="15" applyNumberFormat="1" applyFont="1" applyBorder="1" applyAlignment="1">
      <alignment vertical="top" wrapText="1"/>
    </xf>
    <xf numFmtId="3" fontId="39" fillId="0" borderId="1" xfId="15" applyNumberFormat="1" applyFont="1" applyBorder="1" applyAlignment="1">
      <alignment vertical="top" wrapText="1"/>
    </xf>
    <xf numFmtId="0" fontId="39" fillId="0" borderId="14" xfId="15" applyFont="1" applyBorder="1"/>
    <xf numFmtId="3" fontId="39" fillId="0" borderId="12" xfId="15" applyNumberFormat="1" applyFont="1" applyBorder="1"/>
    <xf numFmtId="0" fontId="39" fillId="0" borderId="18" xfId="15" applyFont="1" applyBorder="1"/>
    <xf numFmtId="3" fontId="39" fillId="0" borderId="11" xfId="15" applyNumberFormat="1" applyFont="1" applyBorder="1"/>
    <xf numFmtId="3" fontId="39" fillId="0" borderId="1" xfId="15" applyNumberFormat="1" applyFont="1" applyBorder="1"/>
    <xf numFmtId="0" fontId="39" fillId="0" borderId="11" xfId="15" applyFont="1" applyBorder="1"/>
    <xf numFmtId="3" fontId="21" fillId="6" borderId="13" xfId="7" applyNumberFormat="1" applyFont="1" applyFill="1" applyBorder="1" applyAlignment="1">
      <alignment horizontal="center" vertical="top" wrapText="1"/>
    </xf>
    <xf numFmtId="0" fontId="10" fillId="0" borderId="5" xfId="10" applyFont="1" applyBorder="1"/>
    <xf numFmtId="3" fontId="27" fillId="0" borderId="0" xfId="15" applyNumberFormat="1" applyFont="1"/>
    <xf numFmtId="3" fontId="27" fillId="0" borderId="12" xfId="15" applyNumberFormat="1" applyFont="1" applyBorder="1"/>
    <xf numFmtId="3" fontId="10" fillId="0" borderId="0" xfId="15" applyNumberFormat="1" applyFont="1"/>
    <xf numFmtId="3" fontId="10" fillId="0" borderId="12" xfId="15" applyNumberFormat="1" applyFont="1" applyBorder="1"/>
    <xf numFmtId="0" fontId="10" fillId="3" borderId="9" xfId="7" applyFont="1" applyFill="1" applyBorder="1" applyAlignment="1">
      <alignment horizontal="center"/>
    </xf>
    <xf numFmtId="0" fontId="10" fillId="3" borderId="15" xfId="7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 vertical="top" wrapText="1"/>
    </xf>
    <xf numFmtId="3" fontId="21" fillId="7" borderId="13" xfId="7" applyNumberFormat="1" applyFont="1" applyFill="1" applyBorder="1" applyAlignment="1">
      <alignment horizontal="center" vertical="top" wrapText="1"/>
    </xf>
    <xf numFmtId="9" fontId="27" fillId="0" borderId="0" xfId="4" applyFont="1"/>
    <xf numFmtId="0" fontId="51" fillId="0" borderId="0" xfId="5" applyFont="1"/>
    <xf numFmtId="3" fontId="26" fillId="0" borderId="0" xfId="5" applyNumberFormat="1" applyFont="1"/>
    <xf numFmtId="0" fontId="17" fillId="2" borderId="11" xfId="0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17" fillId="0" borderId="11" xfId="0" applyFont="1" applyBorder="1" applyAlignment="1">
      <alignment horizontal="center"/>
    </xf>
    <xf numFmtId="16" fontId="17" fillId="0" borderId="12" xfId="0" quotePrefix="1" applyNumberFormat="1" applyFont="1" applyBorder="1" applyAlignment="1">
      <alignment horizontal="center"/>
    </xf>
    <xf numFmtId="0" fontId="17" fillId="0" borderId="12" xfId="0" quotePrefix="1" applyFont="1" applyBorder="1" applyAlignment="1">
      <alignment horizontal="center"/>
    </xf>
    <xf numFmtId="3" fontId="17" fillId="0" borderId="13" xfId="0" applyNumberFormat="1" applyFont="1" applyBorder="1"/>
    <xf numFmtId="0" fontId="17" fillId="0" borderId="12" xfId="0" applyFont="1" applyBorder="1" applyAlignment="1">
      <alignment horizontal="center"/>
    </xf>
    <xf numFmtId="3" fontId="46" fillId="0" borderId="16" xfId="15" applyNumberFormat="1" applyFont="1" applyBorder="1" applyAlignment="1">
      <alignment vertical="top" wrapText="1"/>
    </xf>
    <xf numFmtId="3" fontId="46" fillId="0" borderId="8" xfId="15" applyNumberFormat="1" applyFont="1" applyBorder="1" applyAlignment="1">
      <alignment vertical="top" wrapText="1"/>
    </xf>
    <xf numFmtId="3" fontId="46" fillId="0" borderId="7" xfId="15" applyNumberFormat="1" applyFont="1" applyBorder="1" applyAlignment="1">
      <alignment vertical="top" wrapText="1"/>
    </xf>
    <xf numFmtId="3" fontId="46" fillId="0" borderId="7" xfId="15" applyNumberFormat="1" applyFont="1" applyBorder="1"/>
    <xf numFmtId="3" fontId="46" fillId="0" borderId="10" xfId="15" applyNumberFormat="1" applyFont="1" applyBorder="1"/>
    <xf numFmtId="3" fontId="46" fillId="0" borderId="1" xfId="15" applyNumberFormat="1" applyFont="1" applyBorder="1" applyAlignment="1">
      <alignment vertical="top" wrapText="1"/>
    </xf>
    <xf numFmtId="3" fontId="46" fillId="0" borderId="10" xfId="15" applyNumberFormat="1" applyFont="1" applyBorder="1" applyAlignment="1">
      <alignment vertical="top" wrapText="1"/>
    </xf>
    <xf numFmtId="0" fontId="46" fillId="0" borderId="12" xfId="15" applyFont="1" applyBorder="1" applyAlignment="1">
      <alignment vertical="top" wrapText="1"/>
    </xf>
    <xf numFmtId="0" fontId="46" fillId="0" borderId="11" xfId="15" applyFont="1" applyBorder="1" applyAlignment="1">
      <alignment vertical="top" wrapText="1"/>
    </xf>
    <xf numFmtId="0" fontId="46" fillId="0" borderId="12" xfId="15" applyFont="1" applyBorder="1"/>
    <xf numFmtId="0" fontId="46" fillId="0" borderId="11" xfId="15" applyFont="1" applyBorder="1"/>
    <xf numFmtId="3" fontId="46" fillId="0" borderId="9" xfId="15" applyNumberFormat="1" applyFont="1" applyBorder="1" applyAlignment="1">
      <alignment vertical="top" wrapText="1"/>
    </xf>
    <xf numFmtId="3" fontId="46" fillId="0" borderId="11" xfId="15" applyNumberFormat="1" applyFont="1" applyBorder="1" applyAlignment="1">
      <alignment vertical="top" wrapText="1"/>
    </xf>
    <xf numFmtId="3" fontId="46" fillId="0" borderId="5" xfId="15" applyNumberFormat="1" applyFont="1" applyBorder="1"/>
    <xf numFmtId="3" fontId="46" fillId="0" borderId="20" xfId="15" applyNumberFormat="1" applyFont="1" applyBorder="1"/>
    <xf numFmtId="3" fontId="10" fillId="5" borderId="0" xfId="11" applyNumberFormat="1" applyFont="1" applyFill="1" applyAlignment="1">
      <alignment horizontal="left"/>
    </xf>
    <xf numFmtId="3" fontId="27" fillId="0" borderId="0" xfId="0" applyNumberFormat="1" applyFont="1" applyAlignment="1">
      <alignment horizontal="left"/>
    </xf>
    <xf numFmtId="0" fontId="52" fillId="0" borderId="0" xfId="15" applyFont="1"/>
    <xf numFmtId="0" fontId="5" fillId="0" borderId="0" xfId="16"/>
    <xf numFmtId="0" fontId="5" fillId="0" borderId="0" xfId="16" quotePrefix="1" applyAlignment="1">
      <alignment horizontal="left"/>
    </xf>
    <xf numFmtId="3" fontId="5" fillId="0" borderId="21" xfId="16" applyNumberFormat="1" applyBorder="1"/>
    <xf numFmtId="3" fontId="5" fillId="0" borderId="22" xfId="16" applyNumberFormat="1" applyBorder="1"/>
    <xf numFmtId="0" fontId="5" fillId="8" borderId="24" xfId="16" applyFill="1" applyBorder="1"/>
    <xf numFmtId="0" fontId="5" fillId="0" borderId="24" xfId="16" quotePrefix="1" applyBorder="1" applyAlignment="1">
      <alignment horizontal="center"/>
    </xf>
    <xf numFmtId="0" fontId="53" fillId="8" borderId="27" xfId="16" quotePrefix="1" applyFont="1" applyFill="1" applyBorder="1" applyAlignment="1">
      <alignment horizontal="left"/>
    </xf>
    <xf numFmtId="0" fontId="5" fillId="0" borderId="28" xfId="16" quotePrefix="1" applyBorder="1" applyAlignment="1">
      <alignment horizontal="center"/>
    </xf>
    <xf numFmtId="0" fontId="5" fillId="0" borderId="28" xfId="16" applyBorder="1" applyAlignment="1">
      <alignment horizontal="center"/>
    </xf>
    <xf numFmtId="0" fontId="53" fillId="0" borderId="28" xfId="16" quotePrefix="1" applyFont="1" applyBorder="1" applyAlignment="1">
      <alignment horizontal="left"/>
    </xf>
    <xf numFmtId="0" fontId="5" fillId="0" borderId="0" xfId="16" applyAlignment="1">
      <alignment horizontal="right"/>
    </xf>
    <xf numFmtId="0" fontId="53" fillId="0" borderId="27" xfId="16" quotePrefix="1" applyFont="1" applyBorder="1" applyAlignment="1">
      <alignment horizontal="left"/>
    </xf>
    <xf numFmtId="0" fontId="5" fillId="0" borderId="0" xfId="16" applyAlignment="1">
      <alignment horizontal="left"/>
    </xf>
    <xf numFmtId="3" fontId="5" fillId="0" borderId="22" xfId="16" applyNumberFormat="1" applyBorder="1" applyAlignment="1">
      <alignment horizontal="center"/>
    </xf>
    <xf numFmtId="3" fontId="5" fillId="0" borderId="23" xfId="16" applyNumberFormat="1" applyBorder="1" applyAlignment="1">
      <alignment horizontal="center"/>
    </xf>
    <xf numFmtId="0" fontId="5" fillId="0" borderId="24" xfId="16" quotePrefix="1" applyBorder="1" applyAlignment="1">
      <alignment horizontal="left"/>
    </xf>
    <xf numFmtId="2" fontId="5" fillId="0" borderId="24" xfId="16" quotePrefix="1" applyNumberFormat="1" applyBorder="1" applyAlignment="1">
      <alignment horizontal="left"/>
    </xf>
    <xf numFmtId="0" fontId="5" fillId="0" borderId="28" xfId="16" applyBorder="1"/>
    <xf numFmtId="0" fontId="5" fillId="0" borderId="28" xfId="16" quotePrefix="1" applyBorder="1" applyAlignment="1">
      <alignment horizontal="left"/>
    </xf>
    <xf numFmtId="0" fontId="5" fillId="0" borderId="24" xfId="16" applyBorder="1"/>
    <xf numFmtId="16" fontId="5" fillId="0" borderId="0" xfId="16" quotePrefix="1" applyNumberFormat="1" applyAlignment="1">
      <alignment horizontal="left"/>
    </xf>
    <xf numFmtId="0" fontId="5" fillId="0" borderId="2" xfId="16" applyBorder="1"/>
    <xf numFmtId="3" fontId="5" fillId="0" borderId="0" xfId="16" applyNumberFormat="1"/>
    <xf numFmtId="3" fontId="5" fillId="0" borderId="30" xfId="16" applyNumberFormat="1" applyBorder="1"/>
    <xf numFmtId="0" fontId="5" fillId="0" borderId="30" xfId="16" applyBorder="1"/>
    <xf numFmtId="3" fontId="5" fillId="0" borderId="2" xfId="16" applyNumberFormat="1" applyBorder="1"/>
    <xf numFmtId="2" fontId="5" fillId="0" borderId="0" xfId="16" applyNumberFormat="1"/>
    <xf numFmtId="0" fontId="5" fillId="0" borderId="17" xfId="16" applyBorder="1"/>
    <xf numFmtId="16" fontId="5" fillId="0" borderId="0" xfId="16" applyNumberFormat="1"/>
    <xf numFmtId="0" fontId="56" fillId="0" borderId="0" xfId="16" applyFont="1"/>
    <xf numFmtId="3" fontId="5" fillId="0" borderId="25" xfId="16" applyNumberFormat="1" applyBorder="1" applyAlignment="1">
      <alignment vertical="center" wrapText="1"/>
    </xf>
    <xf numFmtId="3" fontId="5" fillId="0" borderId="24" xfId="16" applyNumberFormat="1" applyBorder="1" applyAlignment="1">
      <alignment vertical="center" wrapText="1"/>
    </xf>
    <xf numFmtId="3" fontId="5" fillId="0" borderId="2" xfId="16" applyNumberFormat="1" applyBorder="1" applyAlignment="1">
      <alignment vertical="center" wrapText="1"/>
    </xf>
    <xf numFmtId="3" fontId="5" fillId="0" borderId="24" xfId="16" applyNumberFormat="1" applyBorder="1" applyAlignment="1">
      <alignment horizontal="right" vertical="center" wrapText="1"/>
    </xf>
    <xf numFmtId="3" fontId="5" fillId="0" borderId="22" xfId="16" applyNumberFormat="1" applyBorder="1" applyAlignment="1">
      <alignment horizontal="right" vertical="center" wrapText="1"/>
    </xf>
    <xf numFmtId="3" fontId="5" fillId="0" borderId="22" xfId="16" applyNumberFormat="1" applyBorder="1" applyAlignment="1">
      <alignment vertical="center" wrapText="1"/>
    </xf>
    <xf numFmtId="3" fontId="5" fillId="0" borderId="2" xfId="16" applyNumberFormat="1" applyBorder="1" applyAlignment="1">
      <alignment horizontal="right" vertical="center" wrapText="1"/>
    </xf>
    <xf numFmtId="0" fontId="5" fillId="0" borderId="31" xfId="16" applyBorder="1" applyAlignment="1">
      <alignment vertical="center" wrapText="1"/>
    </xf>
    <xf numFmtId="0" fontId="5" fillId="0" borderId="25" xfId="16" applyBorder="1" applyAlignment="1">
      <alignment vertical="center" wrapText="1"/>
    </xf>
    <xf numFmtId="0" fontId="5" fillId="0" borderId="24" xfId="16" applyBorder="1" applyAlignment="1">
      <alignment vertical="center" wrapText="1"/>
    </xf>
    <xf numFmtId="0" fontId="5" fillId="0" borderId="2" xfId="16" applyBorder="1" applyAlignment="1">
      <alignment vertical="center" wrapText="1"/>
    </xf>
    <xf numFmtId="0" fontId="5" fillId="0" borderId="21" xfId="16" applyBorder="1" applyAlignment="1">
      <alignment vertical="center" wrapText="1"/>
    </xf>
    <xf numFmtId="0" fontId="5" fillId="0" borderId="22" xfId="16" applyBorder="1" applyAlignment="1">
      <alignment vertical="center" wrapText="1"/>
    </xf>
    <xf numFmtId="0" fontId="5" fillId="0" borderId="33" xfId="16" applyBorder="1" applyAlignment="1">
      <alignment vertical="center" wrapText="1"/>
    </xf>
    <xf numFmtId="0" fontId="5" fillId="0" borderId="0" xfId="16" quotePrefix="1" applyAlignment="1">
      <alignment horizontal="center"/>
    </xf>
    <xf numFmtId="0" fontId="5" fillId="0" borderId="0" xfId="16" applyAlignment="1">
      <alignment horizontal="center"/>
    </xf>
    <xf numFmtId="0" fontId="53" fillId="0" borderId="0" xfId="16" quotePrefix="1" applyFont="1" applyAlignment="1">
      <alignment horizontal="left"/>
    </xf>
    <xf numFmtId="0" fontId="53" fillId="0" borderId="0" xfId="16" applyFont="1"/>
    <xf numFmtId="0" fontId="5" fillId="0" borderId="34" xfId="16" applyBorder="1"/>
    <xf numFmtId="0" fontId="5" fillId="0" borderId="4" xfId="16" applyBorder="1"/>
    <xf numFmtId="0" fontId="5" fillId="0" borderId="29" xfId="16" applyBorder="1"/>
    <xf numFmtId="0" fontId="53" fillId="0" borderId="3" xfId="16" applyFont="1" applyBorder="1"/>
    <xf numFmtId="0" fontId="5" fillId="0" borderId="17" xfId="16" applyBorder="1" applyAlignment="1">
      <alignment horizontal="left"/>
    </xf>
    <xf numFmtId="0" fontId="5" fillId="0" borderId="23" xfId="16" applyBorder="1" applyAlignment="1">
      <alignment horizontal="left"/>
    </xf>
    <xf numFmtId="0" fontId="53" fillId="0" borderId="23" xfId="16" applyFont="1" applyBorder="1"/>
    <xf numFmtId="0" fontId="5" fillId="0" borderId="26" xfId="16" applyBorder="1"/>
    <xf numFmtId="0" fontId="5" fillId="0" borderId="3" xfId="16" applyBorder="1"/>
    <xf numFmtId="9" fontId="59" fillId="0" borderId="0" xfId="17" applyFont="1"/>
    <xf numFmtId="0" fontId="5" fillId="9" borderId="22" xfId="16" applyFill="1" applyBorder="1"/>
    <xf numFmtId="0" fontId="5" fillId="9" borderId="24" xfId="16" applyFill="1" applyBorder="1"/>
    <xf numFmtId="0" fontId="5" fillId="0" borderId="26" xfId="16" quotePrefix="1" applyBorder="1" applyAlignment="1">
      <alignment horizontal="left"/>
    </xf>
    <xf numFmtId="0" fontId="59" fillId="0" borderId="0" xfId="16" applyFont="1"/>
    <xf numFmtId="0" fontId="5" fillId="0" borderId="27" xfId="16" quotePrefix="1" applyBorder="1" applyAlignment="1">
      <alignment horizontal="left"/>
    </xf>
    <xf numFmtId="0" fontId="5" fillId="0" borderId="23" xfId="16" quotePrefix="1" applyBorder="1" applyAlignment="1">
      <alignment horizontal="left"/>
    </xf>
    <xf numFmtId="0" fontId="53" fillId="9" borderId="0" xfId="16" applyFont="1" applyFill="1"/>
    <xf numFmtId="0" fontId="60" fillId="9" borderId="0" xfId="16" applyFont="1" applyFill="1"/>
    <xf numFmtId="0" fontId="61" fillId="0" borderId="0" xfId="16" applyFont="1"/>
    <xf numFmtId="0" fontId="5" fillId="0" borderId="36" xfId="16" applyBorder="1"/>
    <xf numFmtId="0" fontId="5" fillId="0" borderId="37" xfId="16" applyBorder="1"/>
    <xf numFmtId="0" fontId="5" fillId="0" borderId="38" xfId="16" applyBorder="1"/>
    <xf numFmtId="3" fontId="5" fillId="0" borderId="38" xfId="16" applyNumberFormat="1" applyBorder="1"/>
    <xf numFmtId="0" fontId="5" fillId="0" borderId="38" xfId="16" quotePrefix="1" applyBorder="1" applyAlignment="1">
      <alignment horizontal="left"/>
    </xf>
    <xf numFmtId="0" fontId="5" fillId="0" borderId="7" xfId="16" applyBorder="1"/>
    <xf numFmtId="0" fontId="5" fillId="0" borderId="39" xfId="16" applyBorder="1"/>
    <xf numFmtId="0" fontId="5" fillId="0" borderId="40" xfId="16" applyBorder="1"/>
    <xf numFmtId="0" fontId="5" fillId="0" borderId="12" xfId="16" applyBorder="1"/>
    <xf numFmtId="0" fontId="5" fillId="0" borderId="2" xfId="16" quotePrefix="1" applyBorder="1" applyAlignment="1">
      <alignment horizontal="left"/>
    </xf>
    <xf numFmtId="3" fontId="5" fillId="0" borderId="41" xfId="16" applyNumberFormat="1" applyBorder="1"/>
    <xf numFmtId="0" fontId="5" fillId="0" borderId="21" xfId="16" applyBorder="1" applyAlignment="1">
      <alignment horizontal="center"/>
    </xf>
    <xf numFmtId="0" fontId="5" fillId="0" borderId="17" xfId="16" applyBorder="1" applyAlignment="1">
      <alignment horizontal="center"/>
    </xf>
    <xf numFmtId="0" fontId="5" fillId="0" borderId="23" xfId="16" applyBorder="1" applyAlignment="1">
      <alignment horizontal="center"/>
    </xf>
    <xf numFmtId="3" fontId="5" fillId="0" borderId="17" xfId="16" applyNumberFormat="1" applyBorder="1"/>
    <xf numFmtId="3" fontId="5" fillId="0" borderId="7" xfId="16" applyNumberFormat="1" applyBorder="1"/>
    <xf numFmtId="3" fontId="5" fillId="0" borderId="12" xfId="16" applyNumberFormat="1" applyBorder="1"/>
    <xf numFmtId="3" fontId="5" fillId="0" borderId="39" xfId="16" applyNumberFormat="1" applyBorder="1"/>
    <xf numFmtId="3" fontId="5" fillId="0" borderId="0" xfId="16" applyNumberFormat="1" applyAlignment="1">
      <alignment horizontal="left"/>
    </xf>
    <xf numFmtId="0" fontId="5" fillId="0" borderId="24" xfId="16" applyBorder="1" applyAlignment="1">
      <alignment horizontal="center"/>
    </xf>
    <xf numFmtId="3" fontId="5" fillId="0" borderId="21" xfId="16" applyNumberFormat="1" applyBorder="1" applyAlignment="1">
      <alignment horizontal="center"/>
    </xf>
    <xf numFmtId="3" fontId="5" fillId="0" borderId="24" xfId="16" applyNumberFormat="1" applyBorder="1"/>
    <xf numFmtId="3" fontId="5" fillId="0" borderId="27" xfId="16" applyNumberFormat="1" applyBorder="1"/>
    <xf numFmtId="3" fontId="5" fillId="0" borderId="42" xfId="16" applyNumberFormat="1" applyBorder="1"/>
    <xf numFmtId="0" fontId="5" fillId="0" borderId="35" xfId="16" applyBorder="1"/>
    <xf numFmtId="3" fontId="5" fillId="0" borderId="34" xfId="16" applyNumberFormat="1" applyBorder="1"/>
    <xf numFmtId="0" fontId="5" fillId="0" borderId="14" xfId="16" applyBorder="1"/>
    <xf numFmtId="0" fontId="53" fillId="0" borderId="7" xfId="16" quotePrefix="1" applyFont="1" applyBorder="1" applyAlignment="1">
      <alignment horizontal="left"/>
    </xf>
    <xf numFmtId="3" fontId="5" fillId="0" borderId="25" xfId="16" applyNumberFormat="1" applyBorder="1"/>
    <xf numFmtId="0" fontId="5" fillId="0" borderId="26" xfId="16" quotePrefix="1" applyBorder="1" applyAlignment="1">
      <alignment horizontal="center"/>
    </xf>
    <xf numFmtId="0" fontId="5" fillId="0" borderId="3" xfId="16" quotePrefix="1" applyBorder="1" applyAlignment="1">
      <alignment horizontal="center"/>
    </xf>
    <xf numFmtId="0" fontId="5" fillId="0" borderId="3" xfId="16" applyBorder="1" applyAlignment="1">
      <alignment horizontal="center"/>
    </xf>
    <xf numFmtId="2" fontId="59" fillId="4" borderId="0" xfId="16" applyNumberFormat="1" applyFont="1" applyFill="1"/>
    <xf numFmtId="0" fontId="59" fillId="4" borderId="0" xfId="16" applyFont="1" applyFill="1"/>
    <xf numFmtId="2" fontId="59" fillId="0" borderId="0" xfId="16" applyNumberFormat="1" applyFont="1"/>
    <xf numFmtId="3" fontId="59" fillId="0" borderId="0" xfId="16" applyNumberFormat="1" applyFont="1"/>
    <xf numFmtId="0" fontId="59" fillId="0" borderId="0" xfId="16" quotePrefix="1" applyFont="1" applyAlignment="1">
      <alignment horizontal="left"/>
    </xf>
    <xf numFmtId="3" fontId="5" fillId="0" borderId="40" xfId="16" applyNumberFormat="1" applyBorder="1"/>
    <xf numFmtId="3" fontId="5" fillId="0" borderId="44" xfId="16" applyNumberFormat="1" applyBorder="1"/>
    <xf numFmtId="3" fontId="5" fillId="0" borderId="14" xfId="16" applyNumberFormat="1" applyBorder="1"/>
    <xf numFmtId="3" fontId="5" fillId="0" borderId="45" xfId="16" applyNumberFormat="1" applyBorder="1"/>
    <xf numFmtId="3" fontId="5" fillId="0" borderId="46" xfId="16" applyNumberFormat="1" applyBorder="1"/>
    <xf numFmtId="0" fontId="5" fillId="0" borderId="44" xfId="16" applyBorder="1"/>
    <xf numFmtId="3" fontId="5" fillId="0" borderId="47" xfId="16" applyNumberFormat="1" applyBorder="1"/>
    <xf numFmtId="0" fontId="5" fillId="0" borderId="21" xfId="16" applyBorder="1"/>
    <xf numFmtId="0" fontId="5" fillId="0" borderId="23" xfId="16" applyBorder="1"/>
    <xf numFmtId="0" fontId="5" fillId="0" borderId="25" xfId="16" applyBorder="1" applyAlignment="1">
      <alignment horizontal="center"/>
    </xf>
    <xf numFmtId="0" fontId="5" fillId="0" borderId="26" xfId="16" applyBorder="1" applyAlignment="1">
      <alignment horizontal="center"/>
    </xf>
    <xf numFmtId="0" fontId="5" fillId="0" borderId="25" xfId="16" applyBorder="1"/>
    <xf numFmtId="0" fontId="53" fillId="0" borderId="26" xfId="16" applyFont="1" applyBorder="1"/>
    <xf numFmtId="0" fontId="5" fillId="0" borderId="25" xfId="16" applyBorder="1" applyAlignment="1">
      <alignment horizontal="left"/>
    </xf>
    <xf numFmtId="0" fontId="5" fillId="0" borderId="21" xfId="16" applyBorder="1" applyAlignment="1">
      <alignment horizontal="left"/>
    </xf>
    <xf numFmtId="0" fontId="5" fillId="0" borderId="21" xfId="16" quotePrefix="1" applyBorder="1" applyAlignment="1">
      <alignment horizontal="left"/>
    </xf>
    <xf numFmtId="3" fontId="5" fillId="9" borderId="22" xfId="16" applyNumberFormat="1" applyFill="1" applyBorder="1"/>
    <xf numFmtId="0" fontId="53" fillId="0" borderId="4" xfId="16" applyFont="1" applyBorder="1" applyAlignment="1">
      <alignment horizontal="left"/>
    </xf>
    <xf numFmtId="0" fontId="5" fillId="0" borderId="3" xfId="16" applyBorder="1" applyAlignment="1">
      <alignment horizontal="left"/>
    </xf>
    <xf numFmtId="0" fontId="5" fillId="0" borderId="3" xfId="16" quotePrefix="1" applyBorder="1" applyAlignment="1">
      <alignment horizontal="left"/>
    </xf>
    <xf numFmtId="9" fontId="0" fillId="0" borderId="0" xfId="17" applyFont="1"/>
    <xf numFmtId="3" fontId="5" fillId="0" borderId="0" xfId="16" quotePrefix="1" applyNumberFormat="1" applyAlignment="1">
      <alignment horizontal="left"/>
    </xf>
    <xf numFmtId="17" fontId="5" fillId="0" borderId="0" xfId="16" quotePrefix="1" applyNumberFormat="1" applyAlignment="1">
      <alignment horizontal="left"/>
    </xf>
    <xf numFmtId="3" fontId="5" fillId="0" borderId="49" xfId="16" applyNumberFormat="1" applyBorder="1"/>
    <xf numFmtId="3" fontId="5" fillId="0" borderId="50" xfId="16" applyNumberFormat="1" applyBorder="1"/>
    <xf numFmtId="1" fontId="5" fillId="0" borderId="0" xfId="16" applyNumberFormat="1"/>
    <xf numFmtId="0" fontId="5" fillId="0" borderId="26" xfId="16" applyBorder="1" applyAlignment="1">
      <alignment horizontal="left"/>
    </xf>
    <xf numFmtId="9" fontId="0" fillId="9" borderId="22" xfId="17" applyFont="1" applyFill="1" applyBorder="1"/>
    <xf numFmtId="0" fontId="5" fillId="0" borderId="1" xfId="16" applyBorder="1"/>
    <xf numFmtId="0" fontId="5" fillId="4" borderId="0" xfId="16" applyFill="1"/>
    <xf numFmtId="0" fontId="5" fillId="4" borderId="17" xfId="16" applyFill="1" applyBorder="1"/>
    <xf numFmtId="0" fontId="5" fillId="10" borderId="0" xfId="16" applyFill="1"/>
    <xf numFmtId="0" fontId="5" fillId="10" borderId="1" xfId="16" applyFill="1" applyBorder="1"/>
    <xf numFmtId="0" fontId="5" fillId="10" borderId="2" xfId="16" applyFill="1" applyBorder="1"/>
    <xf numFmtId="3" fontId="5" fillId="10" borderId="0" xfId="16" applyNumberFormat="1" applyFill="1"/>
    <xf numFmtId="3" fontId="5" fillId="0" borderId="1" xfId="16" applyNumberFormat="1" applyBorder="1"/>
    <xf numFmtId="3" fontId="5" fillId="0" borderId="37" xfId="16" applyNumberFormat="1" applyBorder="1"/>
    <xf numFmtId="3" fontId="5" fillId="0" borderId="36" xfId="16" applyNumberFormat="1" applyBorder="1"/>
    <xf numFmtId="3" fontId="5" fillId="10" borderId="2" xfId="16" applyNumberFormat="1" applyFill="1" applyBorder="1"/>
    <xf numFmtId="0" fontId="5" fillId="0" borderId="1" xfId="16" quotePrefix="1" applyBorder="1" applyAlignment="1">
      <alignment horizontal="left"/>
    </xf>
    <xf numFmtId="3" fontId="5" fillId="10" borderId="1" xfId="16" applyNumberFormat="1" applyFill="1" applyBorder="1"/>
    <xf numFmtId="2" fontId="5" fillId="0" borderId="24" xfId="16" quotePrefix="1" applyNumberFormat="1" applyBorder="1" applyAlignment="1">
      <alignment horizontal="center"/>
    </xf>
    <xf numFmtId="0" fontId="5" fillId="4" borderId="0" xfId="16" quotePrefix="1" applyFill="1" applyAlignment="1">
      <alignment horizontal="left"/>
    </xf>
    <xf numFmtId="0" fontId="5" fillId="11" borderId="0" xfId="16" applyFill="1"/>
    <xf numFmtId="0" fontId="5" fillId="11" borderId="2" xfId="16" applyFill="1" applyBorder="1"/>
    <xf numFmtId="3" fontId="5" fillId="11" borderId="0" xfId="16" applyNumberFormat="1" applyFill="1"/>
    <xf numFmtId="3" fontId="59" fillId="11" borderId="0" xfId="16" applyNumberFormat="1" applyFont="1" applyFill="1"/>
    <xf numFmtId="0" fontId="59" fillId="11" borderId="0" xfId="16" applyFont="1" applyFill="1"/>
    <xf numFmtId="0" fontId="5" fillId="11" borderId="1" xfId="16" applyFill="1" applyBorder="1"/>
    <xf numFmtId="3" fontId="5" fillId="0" borderId="35" xfId="16" applyNumberFormat="1" applyBorder="1"/>
    <xf numFmtId="3" fontId="5" fillId="0" borderId="28" xfId="16" applyNumberFormat="1" applyBorder="1"/>
    <xf numFmtId="3" fontId="5" fillId="0" borderId="29" xfId="16" applyNumberFormat="1" applyBorder="1"/>
    <xf numFmtId="3" fontId="5" fillId="0" borderId="27" xfId="16" quotePrefix="1" applyNumberFormat="1" applyBorder="1" applyAlignment="1">
      <alignment horizontal="left"/>
    </xf>
    <xf numFmtId="3" fontId="5" fillId="0" borderId="43" xfId="16" applyNumberFormat="1" applyBorder="1"/>
    <xf numFmtId="1" fontId="5" fillId="11" borderId="0" xfId="16" applyNumberFormat="1" applyFill="1"/>
    <xf numFmtId="3" fontId="5" fillId="0" borderId="28" xfId="16" quotePrefix="1" applyNumberFormat="1" applyBorder="1" applyAlignment="1">
      <alignment horizontal="left"/>
    </xf>
    <xf numFmtId="3" fontId="5" fillId="0" borderId="24" xfId="16" quotePrefix="1" applyNumberFormat="1" applyBorder="1" applyAlignment="1">
      <alignment horizontal="left"/>
    </xf>
    <xf numFmtId="0" fontId="5" fillId="0" borderId="5" xfId="16" applyBorder="1"/>
    <xf numFmtId="3" fontId="5" fillId="0" borderId="5" xfId="16" applyNumberFormat="1" applyBorder="1"/>
    <xf numFmtId="3" fontId="5" fillId="11" borderId="1" xfId="16" applyNumberFormat="1" applyFill="1" applyBorder="1"/>
    <xf numFmtId="0" fontId="5" fillId="0" borderId="52" xfId="16" applyBorder="1"/>
    <xf numFmtId="0" fontId="5" fillId="0" borderId="53" xfId="16" applyBorder="1"/>
    <xf numFmtId="3" fontId="5" fillId="0" borderId="53" xfId="16" applyNumberFormat="1" applyBorder="1"/>
    <xf numFmtId="3" fontId="5" fillId="0" borderId="54" xfId="16" applyNumberFormat="1" applyBorder="1"/>
    <xf numFmtId="0" fontId="61" fillId="0" borderId="4" xfId="16" quotePrefix="1" applyFont="1" applyBorder="1" applyAlignment="1">
      <alignment horizontal="left"/>
    </xf>
    <xf numFmtId="0" fontId="61" fillId="0" borderId="4" xfId="16" applyFont="1" applyBorder="1"/>
    <xf numFmtId="3" fontId="5" fillId="0" borderId="55" xfId="16" applyNumberFormat="1" applyBorder="1"/>
    <xf numFmtId="3" fontId="5" fillId="0" borderId="23" xfId="16" applyNumberFormat="1" applyBorder="1"/>
    <xf numFmtId="0" fontId="59" fillId="0" borderId="31" xfId="16" applyFont="1" applyBorder="1" applyAlignment="1">
      <alignment vertical="center" wrapText="1"/>
    </xf>
    <xf numFmtId="0" fontId="59" fillId="0" borderId="25" xfId="16" applyFont="1" applyBorder="1" applyAlignment="1">
      <alignment horizontal="right" vertical="center" wrapText="1"/>
    </xf>
    <xf numFmtId="0" fontId="59" fillId="0" borderId="2" xfId="16" applyFont="1" applyBorder="1" applyAlignment="1">
      <alignment horizontal="right" vertical="center" wrapText="1"/>
    </xf>
    <xf numFmtId="0" fontId="59" fillId="0" borderId="24" xfId="16" applyFont="1" applyBorder="1" applyAlignment="1">
      <alignment horizontal="right" vertical="center" wrapText="1"/>
    </xf>
    <xf numFmtId="0" fontId="53" fillId="0" borderId="0" xfId="16" applyFont="1" applyAlignment="1">
      <alignment horizontal="left"/>
    </xf>
    <xf numFmtId="0" fontId="5" fillId="0" borderId="12" xfId="16" applyBorder="1" applyAlignment="1">
      <alignment vertical="center" wrapText="1"/>
    </xf>
    <xf numFmtId="0" fontId="59" fillId="0" borderId="12" xfId="16" applyFont="1" applyBorder="1" applyAlignment="1">
      <alignment vertical="center" wrapText="1"/>
    </xf>
    <xf numFmtId="0" fontId="59" fillId="0" borderId="11" xfId="16" applyFont="1" applyBorder="1" applyAlignment="1">
      <alignment vertical="center" wrapText="1"/>
    </xf>
    <xf numFmtId="3" fontId="5" fillId="0" borderId="12" xfId="16" applyNumberFormat="1" applyBorder="1" applyAlignment="1">
      <alignment vertical="center" wrapText="1"/>
    </xf>
    <xf numFmtId="3" fontId="5" fillId="0" borderId="11" xfId="16" applyNumberFormat="1" applyBorder="1" applyAlignment="1">
      <alignment vertical="center" wrapText="1"/>
    </xf>
    <xf numFmtId="3" fontId="5" fillId="0" borderId="12" xfId="16" applyNumberFormat="1" applyBorder="1" applyAlignment="1">
      <alignment horizontal="right" vertical="center" wrapText="1"/>
    </xf>
    <xf numFmtId="0" fontId="59" fillId="0" borderId="11" xfId="16" applyFont="1" applyBorder="1" applyAlignment="1">
      <alignment horizontal="right" vertical="center" wrapText="1"/>
    </xf>
    <xf numFmtId="0" fontId="5" fillId="0" borderId="13" xfId="16" applyBorder="1" applyAlignment="1">
      <alignment vertical="center" wrapText="1"/>
    </xf>
    <xf numFmtId="3" fontId="5" fillId="0" borderId="13" xfId="16" applyNumberFormat="1" applyBorder="1" applyAlignment="1">
      <alignment vertical="center" wrapText="1"/>
    </xf>
    <xf numFmtId="3" fontId="5" fillId="0" borderId="11" xfId="16" applyNumberFormat="1" applyBorder="1" applyAlignment="1">
      <alignment horizontal="right" vertical="center" wrapText="1"/>
    </xf>
    <xf numFmtId="3" fontId="60" fillId="9" borderId="0" xfId="16" applyNumberFormat="1" applyFont="1" applyFill="1"/>
    <xf numFmtId="3" fontId="53" fillId="9" borderId="0" xfId="16" applyNumberFormat="1" applyFont="1" applyFill="1"/>
    <xf numFmtId="3" fontId="5" fillId="9" borderId="24" xfId="16" applyNumberFormat="1" applyFill="1" applyBorder="1"/>
    <xf numFmtId="3" fontId="53" fillId="0" borderId="0" xfId="16" applyNumberFormat="1" applyFont="1"/>
    <xf numFmtId="9" fontId="5" fillId="11" borderId="0" xfId="16" applyNumberFormat="1" applyFill="1"/>
    <xf numFmtId="0" fontId="10" fillId="0" borderId="0" xfId="18" applyFont="1"/>
    <xf numFmtId="3" fontId="10" fillId="0" borderId="0" xfId="18" applyNumberFormat="1" applyFont="1"/>
    <xf numFmtId="3" fontId="10" fillId="0" borderId="0" xfId="18" applyNumberFormat="1" applyFont="1" applyAlignment="1">
      <alignment horizontal="left"/>
    </xf>
    <xf numFmtId="0" fontId="12" fillId="0" borderId="0" xfId="18" applyFont="1"/>
    <xf numFmtId="3" fontId="10" fillId="0" borderId="0" xfId="18" applyNumberFormat="1" applyFont="1" applyAlignment="1">
      <alignment horizontal="right"/>
    </xf>
    <xf numFmtId="167" fontId="10" fillId="0" borderId="0" xfId="18" applyNumberFormat="1" applyFont="1" applyAlignment="1">
      <alignment horizontal="right"/>
    </xf>
    <xf numFmtId="3" fontId="43" fillId="0" borderId="0" xfId="18" applyNumberFormat="1" applyFont="1"/>
    <xf numFmtId="3" fontId="10" fillId="0" borderId="0" xfId="18" applyNumberFormat="1" applyFont="1" applyAlignment="1">
      <alignment horizontal="center"/>
    </xf>
    <xf numFmtId="0" fontId="15" fillId="0" borderId="0" xfId="18" applyFont="1"/>
    <xf numFmtId="0" fontId="10" fillId="0" borderId="0" xfId="18" quotePrefix="1" applyFont="1"/>
    <xf numFmtId="0" fontId="10" fillId="0" borderId="5" xfId="18" quotePrefix="1" applyFont="1" applyBorder="1"/>
    <xf numFmtId="0" fontId="10" fillId="0" borderId="5" xfId="18" applyFont="1" applyBorder="1"/>
    <xf numFmtId="3" fontId="10" fillId="0" borderId="5" xfId="18" applyNumberFormat="1" applyFont="1" applyBorder="1"/>
    <xf numFmtId="3" fontId="10" fillId="0" borderId="5" xfId="18" applyNumberFormat="1" applyFont="1" applyBorder="1" applyAlignment="1">
      <alignment horizontal="right"/>
    </xf>
    <xf numFmtId="3" fontId="15" fillId="0" borderId="0" xfId="18" applyNumberFormat="1" applyFont="1"/>
    <xf numFmtId="3" fontId="10" fillId="0" borderId="5" xfId="18" quotePrefix="1" applyNumberFormat="1" applyFont="1" applyBorder="1"/>
    <xf numFmtId="167" fontId="10" fillId="0" borderId="5" xfId="18" applyNumberFormat="1" applyFont="1" applyBorder="1" applyAlignment="1">
      <alignment horizontal="right"/>
    </xf>
    <xf numFmtId="2" fontId="5" fillId="0" borderId="1" xfId="16" applyNumberFormat="1" applyBorder="1"/>
    <xf numFmtId="3" fontId="5" fillId="0" borderId="0" xfId="16" applyNumberFormat="1" applyAlignment="1">
      <alignment horizontal="center"/>
    </xf>
    <xf numFmtId="3" fontId="5" fillId="0" borderId="0" xfId="16" applyNumberFormat="1" applyAlignment="1">
      <alignment horizontal="right"/>
    </xf>
    <xf numFmtId="3" fontId="5" fillId="11" borderId="2" xfId="16" applyNumberFormat="1" applyFill="1" applyBorder="1"/>
    <xf numFmtId="3" fontId="5" fillId="0" borderId="1" xfId="16" quotePrefix="1" applyNumberFormat="1" applyBorder="1" applyAlignment="1">
      <alignment horizontal="left"/>
    </xf>
    <xf numFmtId="3" fontId="5" fillId="0" borderId="17" xfId="16" applyNumberFormat="1" applyBorder="1" applyAlignment="1">
      <alignment horizontal="center"/>
    </xf>
    <xf numFmtId="3" fontId="5" fillId="0" borderId="51" xfId="16" applyNumberFormat="1" applyBorder="1"/>
    <xf numFmtId="3" fontId="5" fillId="0" borderId="48" xfId="16" applyNumberFormat="1" applyBorder="1"/>
    <xf numFmtId="9" fontId="0" fillId="11" borderId="0" xfId="17" applyFont="1" applyFill="1"/>
    <xf numFmtId="0" fontId="5" fillId="11" borderId="0" xfId="16" applyFill="1" applyAlignment="1">
      <alignment horizontal="left"/>
    </xf>
    <xf numFmtId="0" fontId="53" fillId="0" borderId="1" xfId="16" applyFont="1" applyBorder="1"/>
    <xf numFmtId="0" fontId="53" fillId="0" borderId="44" xfId="16" applyFont="1" applyBorder="1"/>
    <xf numFmtId="0" fontId="61" fillId="0" borderId="14" xfId="16" quotePrefix="1" applyFont="1" applyBorder="1" applyAlignment="1">
      <alignment horizontal="left"/>
    </xf>
    <xf numFmtId="0" fontId="61" fillId="0" borderId="14" xfId="16" applyFont="1" applyBorder="1"/>
    <xf numFmtId="0" fontId="5" fillId="0" borderId="14" xfId="16" quotePrefix="1" applyBorder="1" applyAlignment="1">
      <alignment horizontal="left"/>
    </xf>
    <xf numFmtId="0" fontId="5" fillId="0" borderId="44" xfId="16" quotePrefix="1" applyBorder="1" applyAlignment="1">
      <alignment horizontal="left"/>
    </xf>
    <xf numFmtId="0" fontId="5" fillId="0" borderId="46" xfId="16" applyBorder="1"/>
    <xf numFmtId="0" fontId="5" fillId="0" borderId="0" xfId="16" quotePrefix="1" applyAlignment="1">
      <alignment horizontal="right"/>
    </xf>
    <xf numFmtId="0" fontId="5" fillId="9" borderId="24" xfId="16" applyFill="1" applyBorder="1" applyAlignment="1">
      <alignment horizontal="center"/>
    </xf>
    <xf numFmtId="0" fontId="5" fillId="9" borderId="22" xfId="16" applyFill="1" applyBorder="1" applyAlignment="1">
      <alignment horizontal="center"/>
    </xf>
    <xf numFmtId="0" fontId="60" fillId="0" borderId="23" xfId="16" applyFont="1" applyBorder="1" applyAlignment="1">
      <alignment horizontal="center"/>
    </xf>
    <xf numFmtId="0" fontId="53" fillId="0" borderId="22" xfId="16" applyFont="1" applyBorder="1" applyAlignment="1">
      <alignment horizontal="center"/>
    </xf>
    <xf numFmtId="3" fontId="5" fillId="0" borderId="17" xfId="16" applyNumberFormat="1" applyBorder="1" applyAlignment="1">
      <alignment horizontal="left"/>
    </xf>
    <xf numFmtId="3" fontId="5" fillId="0" borderId="21" xfId="16" quotePrefix="1" applyNumberFormat="1" applyBorder="1" applyAlignment="1">
      <alignment horizontal="left"/>
    </xf>
    <xf numFmtId="3" fontId="5" fillId="0" borderId="21" xfId="16" applyNumberFormat="1" applyBorder="1" applyAlignment="1">
      <alignment horizontal="left"/>
    </xf>
    <xf numFmtId="3" fontId="5" fillId="0" borderId="25" xfId="16" applyNumberFormat="1" applyBorder="1" applyAlignment="1">
      <alignment horizontal="left"/>
    </xf>
    <xf numFmtId="3" fontId="53" fillId="0" borderId="1" xfId="16" applyNumberFormat="1" applyFont="1" applyBorder="1"/>
    <xf numFmtId="4" fontId="53" fillId="0" borderId="1" xfId="16" applyNumberFormat="1" applyFont="1" applyBorder="1"/>
    <xf numFmtId="0" fontId="8" fillId="0" borderId="0" xfId="18"/>
    <xf numFmtId="3" fontId="21" fillId="0" borderId="0" xfId="18" applyNumberFormat="1" applyFont="1"/>
    <xf numFmtId="0" fontId="21" fillId="0" borderId="0" xfId="18" applyFont="1"/>
    <xf numFmtId="3" fontId="21" fillId="0" borderId="0" xfId="18" quotePrefix="1" applyNumberFormat="1" applyFont="1" applyAlignment="1">
      <alignment horizontal="left"/>
    </xf>
    <xf numFmtId="0" fontId="20" fillId="0" borderId="0" xfId="18" applyFont="1"/>
    <xf numFmtId="0" fontId="21" fillId="0" borderId="0" xfId="18" quotePrefix="1" applyFont="1" applyAlignment="1">
      <alignment horizontal="left"/>
    </xf>
    <xf numFmtId="0" fontId="21" fillId="6" borderId="13" xfId="18" applyFont="1" applyFill="1" applyBorder="1" applyAlignment="1">
      <alignment horizontal="center" vertical="top" wrapText="1"/>
    </xf>
    <xf numFmtId="3" fontId="21" fillId="0" borderId="5" xfId="18" applyNumberFormat="1" applyFont="1" applyBorder="1"/>
    <xf numFmtId="0" fontId="21" fillId="0" borderId="5" xfId="18" applyFont="1" applyBorder="1"/>
    <xf numFmtId="3" fontId="21" fillId="0" borderId="0" xfId="18" applyNumberFormat="1" applyFont="1" applyAlignment="1">
      <alignment horizontal="right"/>
    </xf>
    <xf numFmtId="3" fontId="21" fillId="0" borderId="1" xfId="18" applyNumberFormat="1" applyFont="1" applyBorder="1" applyAlignment="1">
      <alignment horizontal="right"/>
    </xf>
    <xf numFmtId="0" fontId="21" fillId="0" borderId="1" xfId="18" applyFont="1" applyBorder="1"/>
    <xf numFmtId="0" fontId="21" fillId="0" borderId="13" xfId="18" applyFont="1" applyBorder="1"/>
    <xf numFmtId="3" fontId="21" fillId="0" borderId="11" xfId="18" applyNumberFormat="1" applyFont="1" applyBorder="1"/>
    <xf numFmtId="3" fontId="21" fillId="0" borderId="13" xfId="18" applyNumberFormat="1" applyFont="1" applyBorder="1"/>
    <xf numFmtId="0" fontId="21" fillId="0" borderId="19" xfId="18" applyFont="1" applyBorder="1"/>
    <xf numFmtId="3" fontId="21" fillId="0" borderId="8" xfId="18" applyNumberFormat="1" applyFont="1" applyBorder="1"/>
    <xf numFmtId="3" fontId="21" fillId="0" borderId="14" xfId="18" applyNumberFormat="1" applyFont="1" applyBorder="1"/>
    <xf numFmtId="3" fontId="21" fillId="0" borderId="12" xfId="18" applyNumberFormat="1" applyFont="1" applyBorder="1"/>
    <xf numFmtId="0" fontId="21" fillId="0" borderId="14" xfId="18" applyFont="1" applyBorder="1"/>
    <xf numFmtId="0" fontId="21" fillId="0" borderId="7" xfId="18" applyFont="1" applyBorder="1"/>
    <xf numFmtId="0" fontId="21" fillId="0" borderId="12" xfId="18" applyFont="1" applyBorder="1"/>
    <xf numFmtId="3" fontId="21" fillId="0" borderId="7" xfId="18" applyNumberFormat="1" applyFont="1" applyBorder="1"/>
    <xf numFmtId="0" fontId="21" fillId="0" borderId="10" xfId="18" applyFont="1" applyBorder="1"/>
    <xf numFmtId="0" fontId="21" fillId="0" borderId="18" xfId="18" applyFont="1" applyBorder="1"/>
    <xf numFmtId="3" fontId="21" fillId="0" borderId="18" xfId="18" applyNumberFormat="1" applyFont="1" applyBorder="1"/>
    <xf numFmtId="3" fontId="21" fillId="4" borderId="1" xfId="18" applyNumberFormat="1" applyFont="1" applyFill="1" applyBorder="1" applyProtection="1">
      <protection locked="0"/>
    </xf>
    <xf numFmtId="3" fontId="21" fillId="4" borderId="11" xfId="18" applyNumberFormat="1" applyFont="1" applyFill="1" applyBorder="1" applyProtection="1">
      <protection locked="0"/>
    </xf>
    <xf numFmtId="3" fontId="21" fillId="4" borderId="12" xfId="18" applyNumberFormat="1" applyFont="1" applyFill="1" applyBorder="1" applyProtection="1">
      <protection locked="0"/>
    </xf>
    <xf numFmtId="3" fontId="21" fillId="0" borderId="1" xfId="18" applyNumberFormat="1" applyFont="1" applyBorder="1"/>
    <xf numFmtId="0" fontId="21" fillId="0" borderId="18" xfId="18" quotePrefix="1" applyFont="1" applyBorder="1" applyAlignment="1">
      <alignment horizontal="left"/>
    </xf>
    <xf numFmtId="0" fontId="21" fillId="0" borderId="14" xfId="18" quotePrefix="1" applyFont="1" applyBorder="1" applyAlignment="1">
      <alignment horizontal="left"/>
    </xf>
    <xf numFmtId="0" fontId="41" fillId="0" borderId="14" xfId="18" applyFont="1" applyBorder="1"/>
    <xf numFmtId="3" fontId="21" fillId="0" borderId="10" xfId="18" applyNumberFormat="1" applyFont="1" applyBorder="1"/>
    <xf numFmtId="3" fontId="21" fillId="0" borderId="12" xfId="18" applyNumberFormat="1" applyFont="1" applyBorder="1" applyAlignment="1">
      <alignment horizontal="center"/>
    </xf>
    <xf numFmtId="3" fontId="21" fillId="0" borderId="9" xfId="18" applyNumberFormat="1" applyFont="1" applyBorder="1" applyAlignment="1">
      <alignment horizontal="center"/>
    </xf>
    <xf numFmtId="3" fontId="21" fillId="0" borderId="9" xfId="18" applyNumberFormat="1" applyFont="1" applyBorder="1"/>
    <xf numFmtId="3" fontId="21" fillId="4" borderId="9" xfId="18" applyNumberFormat="1" applyFont="1" applyFill="1" applyBorder="1" applyProtection="1">
      <protection locked="0"/>
    </xf>
    <xf numFmtId="3" fontId="21" fillId="0" borderId="7" xfId="18" applyNumberFormat="1" applyFont="1" applyBorder="1" applyAlignment="1">
      <alignment horizontal="center"/>
    </xf>
    <xf numFmtId="3" fontId="21" fillId="0" borderId="0" xfId="18" applyNumberFormat="1" applyFont="1" applyAlignment="1">
      <alignment horizontal="center"/>
    </xf>
    <xf numFmtId="0" fontId="21" fillId="0" borderId="16" xfId="18" applyFont="1" applyBorder="1"/>
    <xf numFmtId="0" fontId="21" fillId="0" borderId="15" xfId="18" applyFont="1" applyBorder="1"/>
    <xf numFmtId="3" fontId="10" fillId="0" borderId="13" xfId="19" applyNumberFormat="1" applyFont="1" applyBorder="1" applyAlignment="1">
      <alignment horizontal="center"/>
    </xf>
    <xf numFmtId="0" fontId="10" fillId="0" borderId="12" xfId="19" applyFont="1" applyBorder="1" applyAlignment="1">
      <alignment horizontal="center"/>
    </xf>
    <xf numFmtId="0" fontId="21" fillId="6" borderId="11" xfId="18" applyFont="1" applyFill="1" applyBorder="1" applyAlignment="1">
      <alignment horizontal="center"/>
    </xf>
    <xf numFmtId="0" fontId="10" fillId="6" borderId="12" xfId="19" applyFont="1" applyFill="1" applyBorder="1" applyAlignment="1">
      <alignment horizontal="center"/>
    </xf>
    <xf numFmtId="0" fontId="10" fillId="6" borderId="14" xfId="19" applyFont="1" applyFill="1" applyBorder="1" applyAlignment="1">
      <alignment horizontal="center"/>
    </xf>
    <xf numFmtId="0" fontId="10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/>
    </xf>
    <xf numFmtId="0" fontId="10" fillId="6" borderId="9" xfId="19" quotePrefix="1" applyFont="1" applyFill="1" applyBorder="1" applyAlignment="1">
      <alignment horizontal="center"/>
    </xf>
    <xf numFmtId="0" fontId="10" fillId="6" borderId="9" xfId="19" applyFont="1" applyFill="1" applyBorder="1" applyAlignment="1">
      <alignment horizontal="center"/>
    </xf>
    <xf numFmtId="0" fontId="41" fillId="0" borderId="0" xfId="18" applyFont="1"/>
    <xf numFmtId="164" fontId="21" fillId="0" borderId="0" xfId="18" applyNumberFormat="1" applyFont="1"/>
    <xf numFmtId="0" fontId="21" fillId="0" borderId="9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3" xfId="5" applyFont="1" applyBorder="1" applyAlignment="1">
      <alignment horizontal="center" vertical="top" wrapText="1"/>
    </xf>
    <xf numFmtId="0" fontId="10" fillId="0" borderId="13" xfId="5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4" fillId="0" borderId="0" xfId="16" applyFont="1"/>
    <xf numFmtId="16" fontId="5" fillId="0" borderId="0" xfId="16" applyNumberFormat="1" applyAlignment="1">
      <alignment horizontal="left"/>
    </xf>
    <xf numFmtId="0" fontId="5" fillId="0" borderId="18" xfId="16" applyBorder="1"/>
    <xf numFmtId="3" fontId="5" fillId="0" borderId="18" xfId="16" applyNumberFormat="1" applyBorder="1"/>
    <xf numFmtId="3" fontId="5" fillId="0" borderId="11" xfId="16" applyNumberFormat="1" applyBorder="1"/>
    <xf numFmtId="0" fontId="3" fillId="0" borderId="44" xfId="16" quotePrefix="1" applyFont="1" applyBorder="1" applyAlignment="1">
      <alignment horizontal="left"/>
    </xf>
    <xf numFmtId="0" fontId="2" fillId="0" borderId="1" xfId="16" quotePrefix="1" applyFont="1" applyBorder="1" applyAlignment="1">
      <alignment horizontal="left"/>
    </xf>
    <xf numFmtId="3" fontId="21" fillId="0" borderId="0" xfId="1" applyNumberFormat="1" applyFont="1" applyBorder="1" applyAlignment="1">
      <alignment horizontal="center"/>
    </xf>
    <xf numFmtId="3" fontId="21" fillId="0" borderId="0" xfId="1" applyNumberFormat="1" applyFont="1" applyAlignment="1">
      <alignment horizontal="left"/>
    </xf>
    <xf numFmtId="3" fontId="5" fillId="0" borderId="23" xfId="16" applyNumberFormat="1" applyBorder="1" applyAlignment="1">
      <alignment horizontal="center"/>
    </xf>
    <xf numFmtId="3" fontId="5" fillId="0" borderId="21" xfId="16" applyNumberFormat="1" applyBorder="1" applyAlignment="1">
      <alignment horizontal="center"/>
    </xf>
    <xf numFmtId="0" fontId="5" fillId="0" borderId="3" xfId="16" applyBorder="1" applyAlignment="1">
      <alignment horizontal="center"/>
    </xf>
    <xf numFmtId="0" fontId="5" fillId="0" borderId="29" xfId="16" applyBorder="1" applyAlignment="1">
      <alignment horizontal="center"/>
    </xf>
    <xf numFmtId="0" fontId="5" fillId="0" borderId="3" xfId="16" quotePrefix="1" applyBorder="1" applyAlignment="1">
      <alignment horizontal="center"/>
    </xf>
    <xf numFmtId="0" fontId="5" fillId="0" borderId="26" xfId="16" applyBorder="1" applyAlignment="1">
      <alignment horizontal="center"/>
    </xf>
    <xf numFmtId="0" fontId="5" fillId="0" borderId="25" xfId="16" applyBorder="1" applyAlignment="1">
      <alignment horizontal="center"/>
    </xf>
    <xf numFmtId="0" fontId="5" fillId="0" borderId="26" xfId="16" quotePrefix="1" applyBorder="1" applyAlignment="1">
      <alignment horizontal="center"/>
    </xf>
    <xf numFmtId="0" fontId="5" fillId="0" borderId="25" xfId="16" quotePrefix="1" applyBorder="1" applyAlignment="1">
      <alignment horizontal="center"/>
    </xf>
    <xf numFmtId="0" fontId="53" fillId="0" borderId="3" xfId="16" applyFont="1" applyBorder="1" applyAlignment="1">
      <alignment horizontal="center"/>
    </xf>
    <xf numFmtId="0" fontId="53" fillId="0" borderId="29" xfId="16" applyFont="1" applyBorder="1" applyAlignment="1">
      <alignment horizontal="center"/>
    </xf>
    <xf numFmtId="0" fontId="53" fillId="0" borderId="35" xfId="16" applyFont="1" applyBorder="1" applyAlignment="1">
      <alignment horizontal="center"/>
    </xf>
    <xf numFmtId="0" fontId="53" fillId="0" borderId="23" xfId="16" applyFont="1" applyBorder="1" applyAlignment="1">
      <alignment horizontal="center"/>
    </xf>
    <xf numFmtId="0" fontId="53" fillId="0" borderId="21" xfId="16" applyFont="1" applyBorder="1" applyAlignment="1">
      <alignment horizontal="center"/>
    </xf>
    <xf numFmtId="0" fontId="5" fillId="9" borderId="3" xfId="16" applyFill="1" applyBorder="1" applyAlignment="1">
      <alignment horizontal="center"/>
    </xf>
    <xf numFmtId="0" fontId="5" fillId="9" borderId="29" xfId="16" applyFill="1" applyBorder="1" applyAlignment="1">
      <alignment horizontal="center"/>
    </xf>
    <xf numFmtId="0" fontId="5" fillId="9" borderId="35" xfId="16" applyFill="1" applyBorder="1" applyAlignment="1">
      <alignment horizontal="center"/>
    </xf>
    <xf numFmtId="0" fontId="5" fillId="9" borderId="26" xfId="16" applyFill="1" applyBorder="1" applyAlignment="1">
      <alignment horizontal="center"/>
    </xf>
    <xf numFmtId="0" fontId="5" fillId="9" borderId="25" xfId="16" applyFill="1" applyBorder="1" applyAlignment="1">
      <alignment horizontal="center"/>
    </xf>
    <xf numFmtId="0" fontId="5" fillId="9" borderId="2" xfId="16" applyFill="1" applyBorder="1" applyAlignment="1">
      <alignment horizontal="center"/>
    </xf>
    <xf numFmtId="0" fontId="53" fillId="0" borderId="17" xfId="16" applyFont="1" applyBorder="1" applyAlignment="1">
      <alignment horizontal="center"/>
    </xf>
    <xf numFmtId="0" fontId="53" fillId="0" borderId="0" xfId="16" applyFont="1" applyAlignment="1">
      <alignment horizontal="center"/>
    </xf>
    <xf numFmtId="0" fontId="5" fillId="9" borderId="23" xfId="16" applyFill="1" applyBorder="1" applyAlignment="1">
      <alignment horizontal="center"/>
    </xf>
    <xf numFmtId="0" fontId="5" fillId="9" borderId="21" xfId="16" applyFill="1" applyBorder="1" applyAlignment="1">
      <alignment horizontal="center"/>
    </xf>
    <xf numFmtId="3" fontId="5" fillId="9" borderId="23" xfId="16" applyNumberFormat="1" applyFill="1" applyBorder="1" applyAlignment="1">
      <alignment horizontal="center"/>
    </xf>
    <xf numFmtId="3" fontId="5" fillId="9" borderId="17" xfId="16" applyNumberFormat="1" applyFill="1" applyBorder="1" applyAlignment="1">
      <alignment horizontal="center"/>
    </xf>
    <xf numFmtId="3" fontId="5" fillId="9" borderId="21" xfId="16" applyNumberFormat="1" applyFill="1" applyBorder="1" applyAlignment="1">
      <alignment horizontal="center"/>
    </xf>
    <xf numFmtId="0" fontId="5" fillId="0" borderId="4" xfId="16" applyBorder="1" applyAlignment="1">
      <alignment horizontal="right"/>
    </xf>
    <xf numFmtId="0" fontId="5" fillId="0" borderId="34" xfId="16" applyBorder="1" applyAlignment="1">
      <alignment horizontal="right"/>
    </xf>
    <xf numFmtId="0" fontId="5" fillId="0" borderId="0" xfId="16" applyAlignment="1">
      <alignment horizontal="center"/>
    </xf>
    <xf numFmtId="0" fontId="53" fillId="0" borderId="23" xfId="16" applyFont="1" applyBorder="1" applyAlignment="1">
      <alignment horizontal="right"/>
    </xf>
    <xf numFmtId="0" fontId="53" fillId="0" borderId="21" xfId="16" applyFont="1" applyBorder="1" applyAlignment="1">
      <alignment horizontal="right"/>
    </xf>
    <xf numFmtId="0" fontId="53" fillId="0" borderId="23" xfId="16" quotePrefix="1" applyFont="1" applyBorder="1" applyAlignment="1">
      <alignment horizontal="right"/>
    </xf>
    <xf numFmtId="0" fontId="53" fillId="0" borderId="21" xfId="16" quotePrefix="1" applyFont="1" applyBorder="1" applyAlignment="1">
      <alignment horizontal="right"/>
    </xf>
    <xf numFmtId="0" fontId="53" fillId="0" borderId="0" xfId="16" quotePrefix="1" applyFont="1" applyAlignment="1">
      <alignment horizontal="center"/>
    </xf>
    <xf numFmtId="0" fontId="5" fillId="0" borderId="3" xfId="16" applyBorder="1" applyAlignment="1">
      <alignment horizontal="right"/>
    </xf>
    <xf numFmtId="0" fontId="5" fillId="0" borderId="29" xfId="16" applyBorder="1" applyAlignment="1">
      <alignment horizontal="right"/>
    </xf>
    <xf numFmtId="0" fontId="5" fillId="0" borderId="21" xfId="16" applyBorder="1" applyAlignment="1">
      <alignment horizontal="center"/>
    </xf>
    <xf numFmtId="0" fontId="5" fillId="0" borderId="0" xfId="16" quotePrefix="1" applyAlignment="1">
      <alignment horizontal="center"/>
    </xf>
    <xf numFmtId="0" fontId="5" fillId="0" borderId="23" xfId="16" applyBorder="1" applyAlignment="1">
      <alignment horizontal="center"/>
    </xf>
    <xf numFmtId="0" fontId="5" fillId="0" borderId="17" xfId="16" applyBorder="1" applyAlignment="1">
      <alignment horizontal="center"/>
    </xf>
    <xf numFmtId="0" fontId="5" fillId="0" borderId="29" xfId="16" quotePrefix="1" applyBorder="1" applyAlignment="1">
      <alignment horizontal="center"/>
    </xf>
    <xf numFmtId="3" fontId="5" fillId="0" borderId="3" xfId="16" applyNumberFormat="1" applyBorder="1" applyAlignment="1">
      <alignment horizontal="right"/>
    </xf>
    <xf numFmtId="3" fontId="5" fillId="0" borderId="29" xfId="16" applyNumberFormat="1" applyBorder="1" applyAlignment="1">
      <alignment horizontal="right"/>
    </xf>
    <xf numFmtId="3" fontId="5" fillId="0" borderId="4" xfId="16" applyNumberFormat="1" applyBorder="1" applyAlignment="1">
      <alignment horizontal="right"/>
    </xf>
    <xf numFmtId="3" fontId="5" fillId="0" borderId="34" xfId="16" applyNumberFormat="1" applyBorder="1" applyAlignment="1">
      <alignment horizontal="right"/>
    </xf>
    <xf numFmtId="3" fontId="53" fillId="0" borderId="26" xfId="16" applyNumberFormat="1" applyFont="1" applyBorder="1" applyAlignment="1">
      <alignment horizontal="right"/>
    </xf>
    <xf numFmtId="3" fontId="53" fillId="0" borderId="25" xfId="16" applyNumberFormat="1" applyFont="1" applyBorder="1" applyAlignment="1">
      <alignment horizontal="right"/>
    </xf>
    <xf numFmtId="3" fontId="5" fillId="0" borderId="26" xfId="16" applyNumberFormat="1" applyBorder="1" applyAlignment="1">
      <alignment horizontal="right"/>
    </xf>
    <xf numFmtId="3" fontId="5" fillId="0" borderId="25" xfId="16" applyNumberFormat="1" applyBorder="1" applyAlignment="1">
      <alignment horizontal="right"/>
    </xf>
    <xf numFmtId="3" fontId="5" fillId="0" borderId="26" xfId="16" applyNumberFormat="1" applyBorder="1"/>
    <xf numFmtId="3" fontId="5" fillId="0" borderId="25" xfId="16" applyNumberFormat="1" applyBorder="1"/>
    <xf numFmtId="3" fontId="53" fillId="0" borderId="4" xfId="16" applyNumberFormat="1" applyFont="1" applyBorder="1" applyAlignment="1">
      <alignment horizontal="right"/>
    </xf>
    <xf numFmtId="3" fontId="53" fillId="0" borderId="34" xfId="16" applyNumberFormat="1" applyFont="1" applyBorder="1" applyAlignment="1">
      <alignment horizontal="right"/>
    </xf>
    <xf numFmtId="3" fontId="5" fillId="0" borderId="23" xfId="16" applyNumberFormat="1" applyBorder="1" applyAlignment="1">
      <alignment horizontal="right"/>
    </xf>
    <xf numFmtId="3" fontId="5" fillId="0" borderId="21" xfId="16" applyNumberFormat="1" applyBorder="1" applyAlignment="1">
      <alignment horizontal="right"/>
    </xf>
    <xf numFmtId="0" fontId="57" fillId="0" borderId="0" xfId="16" applyFont="1" applyAlignment="1">
      <alignment horizontal="center"/>
    </xf>
    <xf numFmtId="0" fontId="53" fillId="0" borderId="13" xfId="16" applyFont="1" applyBorder="1" applyAlignment="1">
      <alignment horizontal="center" vertical="center" wrapText="1"/>
    </xf>
    <xf numFmtId="3" fontId="5" fillId="0" borderId="17" xfId="16" applyNumberFormat="1" applyBorder="1" applyAlignment="1">
      <alignment horizontal="center"/>
    </xf>
    <xf numFmtId="3" fontId="10" fillId="0" borderId="0" xfId="11" applyNumberFormat="1" applyFont="1" applyAlignment="1">
      <alignment horizontal="center"/>
    </xf>
    <xf numFmtId="3" fontId="10" fillId="0" borderId="19" xfId="11" applyNumberFormat="1" applyFont="1" applyBorder="1" applyAlignment="1">
      <alignment horizontal="center"/>
    </xf>
    <xf numFmtId="3" fontId="10" fillId="0" borderId="5" xfId="11" applyNumberFormat="1" applyFont="1" applyBorder="1" applyAlignment="1">
      <alignment horizontal="center"/>
    </xf>
    <xf numFmtId="3" fontId="10" fillId="0" borderId="20" xfId="11" applyNumberFormat="1" applyFont="1" applyBorder="1" applyAlignment="1">
      <alignment horizontal="center"/>
    </xf>
    <xf numFmtId="3" fontId="5" fillId="9" borderId="3" xfId="16" applyNumberFormat="1" applyFill="1" applyBorder="1" applyAlignment="1">
      <alignment horizontal="center"/>
    </xf>
    <xf numFmtId="3" fontId="5" fillId="9" borderId="29" xfId="16" applyNumberFormat="1" applyFill="1" applyBorder="1" applyAlignment="1">
      <alignment horizontal="center"/>
    </xf>
    <xf numFmtId="3" fontId="5" fillId="9" borderId="35" xfId="16" applyNumberFormat="1" applyFill="1" applyBorder="1" applyAlignment="1">
      <alignment horizontal="center"/>
    </xf>
    <xf numFmtId="3" fontId="5" fillId="9" borderId="26" xfId="16" applyNumberFormat="1" applyFill="1" applyBorder="1" applyAlignment="1">
      <alignment horizontal="center"/>
    </xf>
    <xf numFmtId="3" fontId="5" fillId="9" borderId="25" xfId="16" applyNumberFormat="1" applyFill="1" applyBorder="1" applyAlignment="1">
      <alignment horizontal="center"/>
    </xf>
    <xf numFmtId="3" fontId="5" fillId="9" borderId="2" xfId="16" applyNumberFormat="1" applyFill="1" applyBorder="1" applyAlignment="1">
      <alignment horizontal="center"/>
    </xf>
    <xf numFmtId="3" fontId="53" fillId="0" borderId="23" xfId="16" applyNumberFormat="1" applyFont="1" applyBorder="1" applyAlignment="1">
      <alignment horizontal="center"/>
    </xf>
    <xf numFmtId="3" fontId="53" fillId="0" borderId="21" xfId="16" applyNumberFormat="1" applyFont="1" applyBorder="1" applyAlignment="1">
      <alignment horizontal="center"/>
    </xf>
    <xf numFmtId="3" fontId="53" fillId="0" borderId="17" xfId="16" applyNumberFormat="1" applyFont="1" applyBorder="1" applyAlignment="1">
      <alignment horizontal="center"/>
    </xf>
    <xf numFmtId="0" fontId="53" fillId="0" borderId="3" xfId="16" quotePrefix="1" applyFont="1" applyBorder="1" applyAlignment="1">
      <alignment horizontal="center"/>
    </xf>
    <xf numFmtId="3" fontId="5" fillId="0" borderId="35" xfId="16" applyNumberFormat="1" applyBorder="1" applyAlignment="1">
      <alignment horizontal="right"/>
    </xf>
    <xf numFmtId="3" fontId="5" fillId="0" borderId="3" xfId="16" applyNumberFormat="1" applyBorder="1" applyAlignment="1">
      <alignment horizontal="center"/>
    </xf>
    <xf numFmtId="3" fontId="5" fillId="0" borderId="29" xfId="16" applyNumberFormat="1" applyBorder="1" applyAlignment="1">
      <alignment horizontal="center"/>
    </xf>
    <xf numFmtId="3" fontId="5" fillId="0" borderId="0" xfId="16" applyNumberFormat="1" applyAlignment="1">
      <alignment horizontal="right"/>
    </xf>
    <xf numFmtId="3" fontId="5" fillId="0" borderId="4" xfId="16" applyNumberFormat="1" applyBorder="1" applyAlignment="1">
      <alignment horizontal="center"/>
    </xf>
    <xf numFmtId="3" fontId="5" fillId="0" borderId="34" xfId="16" applyNumberFormat="1" applyBorder="1" applyAlignment="1">
      <alignment horizontal="center"/>
    </xf>
    <xf numFmtId="3" fontId="53" fillId="0" borderId="2" xfId="16" applyNumberFormat="1" applyFont="1" applyBorder="1" applyAlignment="1">
      <alignment horizontal="right"/>
    </xf>
    <xf numFmtId="3" fontId="53" fillId="0" borderId="26" xfId="16" applyNumberFormat="1" applyFont="1" applyBorder="1" applyAlignment="1">
      <alignment horizontal="center"/>
    </xf>
    <xf numFmtId="3" fontId="53" fillId="0" borderId="25" xfId="16" applyNumberFormat="1" applyFont="1" applyBorder="1" applyAlignment="1">
      <alignment horizontal="center"/>
    </xf>
    <xf numFmtId="3" fontId="5" fillId="0" borderId="23" xfId="16" applyNumberFormat="1" applyBorder="1"/>
    <xf numFmtId="3" fontId="5" fillId="0" borderId="21" xfId="16" applyNumberFormat="1" applyBorder="1"/>
    <xf numFmtId="3" fontId="5" fillId="0" borderId="0" xfId="16" applyNumberFormat="1" applyAlignment="1">
      <alignment horizontal="center"/>
    </xf>
    <xf numFmtId="0" fontId="57" fillId="0" borderId="2" xfId="16" applyFont="1" applyBorder="1" applyAlignment="1">
      <alignment horizontal="center"/>
    </xf>
    <xf numFmtId="0" fontId="5" fillId="0" borderId="2" xfId="16" applyBorder="1" applyAlignment="1">
      <alignment horizontal="center"/>
    </xf>
    <xf numFmtId="0" fontId="53" fillId="0" borderId="32" xfId="16" applyFont="1" applyBorder="1" applyAlignment="1">
      <alignment horizontal="center" vertical="center" wrapText="1"/>
    </xf>
    <xf numFmtId="0" fontId="53" fillId="0" borderId="17" xfId="16" applyFont="1" applyBorder="1" applyAlignment="1">
      <alignment horizontal="center" vertical="center" wrapText="1"/>
    </xf>
    <xf numFmtId="0" fontId="53" fillId="0" borderId="23" xfId="16" applyFont="1" applyBorder="1" applyAlignment="1">
      <alignment horizontal="center" vertical="center" wrapText="1"/>
    </xf>
    <xf numFmtId="0" fontId="53" fillId="0" borderId="21" xfId="16" applyFont="1" applyBorder="1" applyAlignment="1">
      <alignment horizontal="center" vertical="center" wrapText="1"/>
    </xf>
    <xf numFmtId="3" fontId="21" fillId="0" borderId="19" xfId="18" applyNumberFormat="1" applyFont="1" applyBorder="1" applyAlignment="1">
      <alignment horizontal="center"/>
    </xf>
    <xf numFmtId="3" fontId="21" fillId="0" borderId="5" xfId="18" applyNumberFormat="1" applyFont="1" applyBorder="1" applyAlignment="1">
      <alignment horizontal="center"/>
    </xf>
    <xf numFmtId="0" fontId="10" fillId="0" borderId="19" xfId="10" applyFont="1" applyBorder="1" applyAlignment="1">
      <alignment horizontal="center"/>
    </xf>
    <xf numFmtId="0" fontId="10" fillId="0" borderId="5" xfId="10" applyFont="1" applyBorder="1" applyAlignment="1">
      <alignment horizontal="center"/>
    </xf>
    <xf numFmtId="0" fontId="10" fillId="0" borderId="20" xfId="10" applyFont="1" applyBorder="1" applyAlignment="1">
      <alignment horizontal="center"/>
    </xf>
    <xf numFmtId="3" fontId="10" fillId="0" borderId="19" xfId="10" applyNumberFormat="1" applyFont="1" applyBorder="1" applyAlignment="1">
      <alignment horizontal="center"/>
    </xf>
    <xf numFmtId="3" fontId="10" fillId="0" borderId="5" xfId="10" applyNumberFormat="1" applyFont="1" applyBorder="1" applyAlignment="1">
      <alignment horizontal="center"/>
    </xf>
    <xf numFmtId="3" fontId="10" fillId="0" borderId="19" xfId="5" applyNumberFormat="1" applyFont="1" applyBorder="1" applyAlignment="1">
      <alignment horizontal="center"/>
    </xf>
    <xf numFmtId="3" fontId="10" fillId="0" borderId="5" xfId="5" applyNumberFormat="1" applyFont="1" applyBorder="1" applyAlignment="1">
      <alignment horizontal="center"/>
    </xf>
    <xf numFmtId="3" fontId="10" fillId="0" borderId="20" xfId="5" applyNumberFormat="1" applyFont="1" applyBorder="1" applyAlignment="1">
      <alignment horizontal="center"/>
    </xf>
    <xf numFmtId="0" fontId="17" fillId="0" borderId="19" xfId="3" applyFont="1" applyBorder="1" applyAlignment="1">
      <alignment horizontal="center"/>
    </xf>
    <xf numFmtId="0" fontId="17" fillId="0" borderId="5" xfId="3" applyFont="1" applyBorder="1" applyAlignment="1">
      <alignment horizontal="center"/>
    </xf>
    <xf numFmtId="0" fontId="17" fillId="0" borderId="20" xfId="3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27" fillId="0" borderId="0" xfId="0" applyFont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5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3" fontId="27" fillId="0" borderId="0" xfId="5" applyNumberFormat="1" applyFont="1" applyAlignment="1">
      <alignment horizontal="center"/>
    </xf>
    <xf numFmtId="3" fontId="27" fillId="0" borderId="5" xfId="5" applyNumberFormat="1" applyFont="1" applyBorder="1" applyAlignment="1">
      <alignment horizontal="center"/>
    </xf>
    <xf numFmtId="3" fontId="27" fillId="0" borderId="20" xfId="5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" fillId="0" borderId="0" xfId="16" applyFont="1"/>
    <xf numFmtId="0" fontId="1" fillId="0" borderId="2" xfId="16" quotePrefix="1" applyFont="1" applyBorder="1" applyAlignment="1">
      <alignment horizontal="left"/>
    </xf>
  </cellXfs>
  <cellStyles count="20">
    <cellStyle name="Komma" xfId="1" builtinId="3"/>
    <cellStyle name="Normal" xfId="0" builtinId="0"/>
    <cellStyle name="Normal 2" xfId="3" xr:uid="{00000000-0005-0000-0000-000002000000}"/>
    <cellStyle name="Normal 2 2" xfId="18" xr:uid="{00000000-0005-0000-0000-000003000000}"/>
    <cellStyle name="Normal 3" xfId="5" xr:uid="{00000000-0005-0000-0000-000004000000}"/>
    <cellStyle name="Normal 4" xfId="7" xr:uid="{00000000-0005-0000-0000-000005000000}"/>
    <cellStyle name="Normal 5" xfId="9" xr:uid="{00000000-0005-0000-0000-000006000000}"/>
    <cellStyle name="Normal 5 2" xfId="19" xr:uid="{00000000-0005-0000-0000-000007000000}"/>
    <cellStyle name="Normal 6" xfId="14" xr:uid="{00000000-0005-0000-0000-000008000000}"/>
    <cellStyle name="Normal 6 2" xfId="15" xr:uid="{00000000-0005-0000-0000-000009000000}"/>
    <cellStyle name="Normal 7" xfId="16" xr:uid="{00000000-0005-0000-0000-00000A000000}"/>
    <cellStyle name="Normal_L_5-5" xfId="2" xr:uid="{00000000-0005-0000-0000-00000B000000}"/>
    <cellStyle name="Normal_L_6-6" xfId="10" xr:uid="{00000000-0005-0000-0000-00000C000000}"/>
    <cellStyle name="Normal_L_6-7" xfId="11" xr:uid="{00000000-0005-0000-0000-00000D000000}"/>
    <cellStyle name="Prosent" xfId="4" builtinId="5"/>
    <cellStyle name="Prosent 2" xfId="13" xr:uid="{00000000-0005-0000-0000-00000F000000}"/>
    <cellStyle name="Prosent 3" xfId="17" xr:uid="{00000000-0005-0000-0000-000010000000}"/>
    <cellStyle name="Tusenskille 2" xfId="6" xr:uid="{00000000-0005-0000-0000-000011000000}"/>
    <cellStyle name="Valuta 2" xfId="8" xr:uid="{00000000-0005-0000-0000-000012000000}"/>
    <cellStyle name="Valuta_L_6-7" xfId="12" xr:uid="{00000000-0005-0000-0000-00001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b-NO"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Dekningspunktdiagram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'Oppgave 2.4'!#REF!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24-4128-B397-03C8EDA454B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'Oppgave 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'Oppgave 2.4'!#REF!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624-4128-B397-03C8EDA45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380008"/>
        <c:axId val="551382360"/>
      </c:scatterChart>
      <c:valAx>
        <c:axId val="55138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nb-NO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Mengde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b-NO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51382360"/>
        <c:crosses val="autoZero"/>
        <c:crossBetween val="midCat"/>
      </c:valAx>
      <c:valAx>
        <c:axId val="551382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b-NO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Kroner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b-NO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51380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b-NO"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56</xdr:row>
      <xdr:rowOff>0</xdr:rowOff>
    </xdr:from>
    <xdr:to>
      <xdr:col>8</xdr:col>
      <xdr:colOff>542925</xdr:colOff>
      <xdr:row>56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11077575"/>
          <a:ext cx="2162175" cy="0"/>
        </a:xfrm>
        <a:prstGeom prst="rect">
          <a:avLst/>
        </a:prstGeom>
        <a:solidFill>
          <a:srgbClr val="FFFFFF"/>
        </a:solidFill>
        <a:ln w="317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Kommenteres</a:t>
          </a:r>
        </a:p>
      </xdr:txBody>
    </xdr:sp>
    <xdr:clientData/>
  </xdr:twoCellAnchor>
  <xdr:twoCellAnchor>
    <xdr:from>
      <xdr:col>6</xdr:col>
      <xdr:colOff>142875</xdr:colOff>
      <xdr:row>81</xdr:row>
      <xdr:rowOff>114299</xdr:rowOff>
    </xdr:from>
    <xdr:to>
      <xdr:col>7</xdr:col>
      <xdr:colOff>66675</xdr:colOff>
      <xdr:row>81</xdr:row>
      <xdr:rowOff>123824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 bwMode="auto">
        <a:xfrm rot="10800000" flipV="1">
          <a:off x="5219700" y="16192499"/>
          <a:ext cx="904875" cy="95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93</xdr:row>
      <xdr:rowOff>95250</xdr:rowOff>
    </xdr:from>
    <xdr:to>
      <xdr:col>5</xdr:col>
      <xdr:colOff>647700</xdr:colOff>
      <xdr:row>93</xdr:row>
      <xdr:rowOff>95250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4381500" y="163639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47625</xdr:colOff>
      <xdr:row>87</xdr:row>
      <xdr:rowOff>114300</xdr:rowOff>
    </xdr:from>
    <xdr:to>
      <xdr:col>5</xdr:col>
      <xdr:colOff>628650</xdr:colOff>
      <xdr:row>87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4400550" y="153543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71</xdr:row>
      <xdr:rowOff>95250</xdr:rowOff>
    </xdr:from>
    <xdr:to>
      <xdr:col>5</xdr:col>
      <xdr:colOff>647700</xdr:colOff>
      <xdr:row>71</xdr:row>
      <xdr:rowOff>95250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 flipH="1">
          <a:off x="6019800" y="167735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47625</xdr:colOff>
      <xdr:row>64</xdr:row>
      <xdr:rowOff>114300</xdr:rowOff>
    </xdr:from>
    <xdr:to>
      <xdr:col>5</xdr:col>
      <xdr:colOff>628650</xdr:colOff>
      <xdr:row>64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6038850" y="153924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71</xdr:row>
      <xdr:rowOff>95250</xdr:rowOff>
    </xdr:from>
    <xdr:to>
      <xdr:col>7</xdr:col>
      <xdr:colOff>742950</xdr:colOff>
      <xdr:row>71</xdr:row>
      <xdr:rowOff>95250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>
          <a:off x="7048500" y="167354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65</xdr:row>
      <xdr:rowOff>114300</xdr:rowOff>
    </xdr:from>
    <xdr:to>
      <xdr:col>7</xdr:col>
      <xdr:colOff>657225</xdr:colOff>
      <xdr:row>65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7096125" y="155543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91</xdr:row>
      <xdr:rowOff>95250</xdr:rowOff>
    </xdr:from>
    <xdr:to>
      <xdr:col>7</xdr:col>
      <xdr:colOff>714375</xdr:colOff>
      <xdr:row>91</xdr:row>
      <xdr:rowOff>95250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 flipH="1">
          <a:off x="6267450" y="252698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85</xdr:row>
      <xdr:rowOff>114300</xdr:rowOff>
    </xdr:from>
    <xdr:to>
      <xdr:col>7</xdr:col>
      <xdr:colOff>657225</xdr:colOff>
      <xdr:row>85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 flipH="1">
          <a:off x="6315075" y="240887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47625</xdr:colOff>
      <xdr:row>90</xdr:row>
      <xdr:rowOff>0</xdr:rowOff>
    </xdr:from>
    <xdr:to>
      <xdr:col>9</xdr:col>
      <xdr:colOff>76200</xdr:colOff>
      <xdr:row>90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65</xdr:row>
      <xdr:rowOff>95250</xdr:rowOff>
    </xdr:from>
    <xdr:to>
      <xdr:col>6</xdr:col>
      <xdr:colOff>685800</xdr:colOff>
      <xdr:row>65</xdr:row>
      <xdr:rowOff>95250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 flipH="1">
          <a:off x="5629275" y="151542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59</xdr:row>
      <xdr:rowOff>114300</xdr:rowOff>
    </xdr:from>
    <xdr:to>
      <xdr:col>6</xdr:col>
      <xdr:colOff>657225</xdr:colOff>
      <xdr:row>59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5676900" y="139731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52</xdr:row>
      <xdr:rowOff>114300</xdr:rowOff>
    </xdr:from>
    <xdr:to>
      <xdr:col>7</xdr:col>
      <xdr:colOff>666750</xdr:colOff>
      <xdr:row>52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7658100" y="128301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28575</xdr:colOff>
      <xdr:row>71</xdr:row>
      <xdr:rowOff>95250</xdr:rowOff>
    </xdr:from>
    <xdr:to>
      <xdr:col>7</xdr:col>
      <xdr:colOff>685800</xdr:colOff>
      <xdr:row>71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7296150" y="170116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65</xdr:row>
      <xdr:rowOff>114300</xdr:rowOff>
    </xdr:from>
    <xdr:to>
      <xdr:col>7</xdr:col>
      <xdr:colOff>657225</xdr:colOff>
      <xdr:row>65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7343775" y="158305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H33"/>
  <sheetViews>
    <sheetView topLeftCell="B9" zoomScaleNormal="100" workbookViewId="0">
      <selection activeCell="G9" sqref="G9"/>
    </sheetView>
  </sheetViews>
  <sheetFormatPr baseColWidth="10" defaultColWidth="9.109375" defaultRowHeight="15" x14ac:dyDescent="0.25"/>
  <cols>
    <col min="1" max="1" width="1.33203125" style="485" hidden="1" customWidth="1"/>
    <col min="2" max="2" width="2.88671875" style="485" customWidth="1"/>
    <col min="3" max="3" width="24.6640625" style="485" customWidth="1"/>
    <col min="4" max="8" width="13.88671875" style="485" customWidth="1"/>
    <col min="9" max="256" width="9.109375" style="485"/>
    <col min="257" max="257" width="1.33203125" style="485" customWidth="1"/>
    <col min="258" max="258" width="0" style="485" hidden="1" customWidth="1"/>
    <col min="259" max="259" width="20.88671875" style="485" customWidth="1"/>
    <col min="260" max="260" width="16.33203125" style="485" customWidth="1"/>
    <col min="261" max="261" width="13" style="485" customWidth="1"/>
    <col min="262" max="262" width="16.88671875" style="485" customWidth="1"/>
    <col min="263" max="263" width="19.33203125" style="485" customWidth="1"/>
    <col min="264" max="264" width="19.109375" style="485" customWidth="1"/>
    <col min="265" max="512" width="9.109375" style="485"/>
    <col min="513" max="513" width="1.33203125" style="485" customWidth="1"/>
    <col min="514" max="514" width="0" style="485" hidden="1" customWidth="1"/>
    <col min="515" max="515" width="20.88671875" style="485" customWidth="1"/>
    <col min="516" max="516" width="16.33203125" style="485" customWidth="1"/>
    <col min="517" max="517" width="13" style="485" customWidth="1"/>
    <col min="518" max="518" width="16.88671875" style="485" customWidth="1"/>
    <col min="519" max="519" width="19.33203125" style="485" customWidth="1"/>
    <col min="520" max="520" width="19.109375" style="485" customWidth="1"/>
    <col min="521" max="768" width="9.109375" style="485"/>
    <col min="769" max="769" width="1.33203125" style="485" customWidth="1"/>
    <col min="770" max="770" width="0" style="485" hidden="1" customWidth="1"/>
    <col min="771" max="771" width="20.88671875" style="485" customWidth="1"/>
    <col min="772" max="772" width="16.33203125" style="485" customWidth="1"/>
    <col min="773" max="773" width="13" style="485" customWidth="1"/>
    <col min="774" max="774" width="16.88671875" style="485" customWidth="1"/>
    <col min="775" max="775" width="19.33203125" style="485" customWidth="1"/>
    <col min="776" max="776" width="19.109375" style="485" customWidth="1"/>
    <col min="777" max="1024" width="9.109375" style="485"/>
    <col min="1025" max="1025" width="1.33203125" style="485" customWidth="1"/>
    <col min="1026" max="1026" width="0" style="485" hidden="1" customWidth="1"/>
    <col min="1027" max="1027" width="20.88671875" style="485" customWidth="1"/>
    <col min="1028" max="1028" width="16.33203125" style="485" customWidth="1"/>
    <col min="1029" max="1029" width="13" style="485" customWidth="1"/>
    <col min="1030" max="1030" width="16.88671875" style="485" customWidth="1"/>
    <col min="1031" max="1031" width="19.33203125" style="485" customWidth="1"/>
    <col min="1032" max="1032" width="19.109375" style="485" customWidth="1"/>
    <col min="1033" max="1280" width="9.109375" style="485"/>
    <col min="1281" max="1281" width="1.33203125" style="485" customWidth="1"/>
    <col min="1282" max="1282" width="0" style="485" hidden="1" customWidth="1"/>
    <col min="1283" max="1283" width="20.88671875" style="485" customWidth="1"/>
    <col min="1284" max="1284" width="16.33203125" style="485" customWidth="1"/>
    <col min="1285" max="1285" width="13" style="485" customWidth="1"/>
    <col min="1286" max="1286" width="16.88671875" style="485" customWidth="1"/>
    <col min="1287" max="1287" width="19.33203125" style="485" customWidth="1"/>
    <col min="1288" max="1288" width="19.109375" style="485" customWidth="1"/>
    <col min="1289" max="1536" width="9.109375" style="485"/>
    <col min="1537" max="1537" width="1.33203125" style="485" customWidth="1"/>
    <col min="1538" max="1538" width="0" style="485" hidden="1" customWidth="1"/>
    <col min="1539" max="1539" width="20.88671875" style="485" customWidth="1"/>
    <col min="1540" max="1540" width="16.33203125" style="485" customWidth="1"/>
    <col min="1541" max="1541" width="13" style="485" customWidth="1"/>
    <col min="1542" max="1542" width="16.88671875" style="485" customWidth="1"/>
    <col min="1543" max="1543" width="19.33203125" style="485" customWidth="1"/>
    <col min="1544" max="1544" width="19.109375" style="485" customWidth="1"/>
    <col min="1545" max="1792" width="9.109375" style="485"/>
    <col min="1793" max="1793" width="1.33203125" style="485" customWidth="1"/>
    <col min="1794" max="1794" width="0" style="485" hidden="1" customWidth="1"/>
    <col min="1795" max="1795" width="20.88671875" style="485" customWidth="1"/>
    <col min="1796" max="1796" width="16.33203125" style="485" customWidth="1"/>
    <col min="1797" max="1797" width="13" style="485" customWidth="1"/>
    <col min="1798" max="1798" width="16.88671875" style="485" customWidth="1"/>
    <col min="1799" max="1799" width="19.33203125" style="485" customWidth="1"/>
    <col min="1800" max="1800" width="19.109375" style="485" customWidth="1"/>
    <col min="1801" max="2048" width="9.109375" style="485"/>
    <col min="2049" max="2049" width="1.33203125" style="485" customWidth="1"/>
    <col min="2050" max="2050" width="0" style="485" hidden="1" customWidth="1"/>
    <col min="2051" max="2051" width="20.88671875" style="485" customWidth="1"/>
    <col min="2052" max="2052" width="16.33203125" style="485" customWidth="1"/>
    <col min="2053" max="2053" width="13" style="485" customWidth="1"/>
    <col min="2054" max="2054" width="16.88671875" style="485" customWidth="1"/>
    <col min="2055" max="2055" width="19.33203125" style="485" customWidth="1"/>
    <col min="2056" max="2056" width="19.109375" style="485" customWidth="1"/>
    <col min="2057" max="2304" width="9.109375" style="485"/>
    <col min="2305" max="2305" width="1.33203125" style="485" customWidth="1"/>
    <col min="2306" max="2306" width="0" style="485" hidden="1" customWidth="1"/>
    <col min="2307" max="2307" width="20.88671875" style="485" customWidth="1"/>
    <col min="2308" max="2308" width="16.33203125" style="485" customWidth="1"/>
    <col min="2309" max="2309" width="13" style="485" customWidth="1"/>
    <col min="2310" max="2310" width="16.88671875" style="485" customWidth="1"/>
    <col min="2311" max="2311" width="19.33203125" style="485" customWidth="1"/>
    <col min="2312" max="2312" width="19.109375" style="485" customWidth="1"/>
    <col min="2313" max="2560" width="9.109375" style="485"/>
    <col min="2561" max="2561" width="1.33203125" style="485" customWidth="1"/>
    <col min="2562" max="2562" width="0" style="485" hidden="1" customWidth="1"/>
    <col min="2563" max="2563" width="20.88671875" style="485" customWidth="1"/>
    <col min="2564" max="2564" width="16.33203125" style="485" customWidth="1"/>
    <col min="2565" max="2565" width="13" style="485" customWidth="1"/>
    <col min="2566" max="2566" width="16.88671875" style="485" customWidth="1"/>
    <col min="2567" max="2567" width="19.33203125" style="485" customWidth="1"/>
    <col min="2568" max="2568" width="19.109375" style="485" customWidth="1"/>
    <col min="2569" max="2816" width="9.109375" style="485"/>
    <col min="2817" max="2817" width="1.33203125" style="485" customWidth="1"/>
    <col min="2818" max="2818" width="0" style="485" hidden="1" customWidth="1"/>
    <col min="2819" max="2819" width="20.88671875" style="485" customWidth="1"/>
    <col min="2820" max="2820" width="16.33203125" style="485" customWidth="1"/>
    <col min="2821" max="2821" width="13" style="485" customWidth="1"/>
    <col min="2822" max="2822" width="16.88671875" style="485" customWidth="1"/>
    <col min="2823" max="2823" width="19.33203125" style="485" customWidth="1"/>
    <col min="2824" max="2824" width="19.109375" style="485" customWidth="1"/>
    <col min="2825" max="3072" width="9.109375" style="485"/>
    <col min="3073" max="3073" width="1.33203125" style="485" customWidth="1"/>
    <col min="3074" max="3074" width="0" style="485" hidden="1" customWidth="1"/>
    <col min="3075" max="3075" width="20.88671875" style="485" customWidth="1"/>
    <col min="3076" max="3076" width="16.33203125" style="485" customWidth="1"/>
    <col min="3077" max="3077" width="13" style="485" customWidth="1"/>
    <col min="3078" max="3078" width="16.88671875" style="485" customWidth="1"/>
    <col min="3079" max="3079" width="19.33203125" style="485" customWidth="1"/>
    <col min="3080" max="3080" width="19.109375" style="485" customWidth="1"/>
    <col min="3081" max="3328" width="9.109375" style="485"/>
    <col min="3329" max="3329" width="1.33203125" style="485" customWidth="1"/>
    <col min="3330" max="3330" width="0" style="485" hidden="1" customWidth="1"/>
    <col min="3331" max="3331" width="20.88671875" style="485" customWidth="1"/>
    <col min="3332" max="3332" width="16.33203125" style="485" customWidth="1"/>
    <col min="3333" max="3333" width="13" style="485" customWidth="1"/>
    <col min="3334" max="3334" width="16.88671875" style="485" customWidth="1"/>
    <col min="3335" max="3335" width="19.33203125" style="485" customWidth="1"/>
    <col min="3336" max="3336" width="19.109375" style="485" customWidth="1"/>
    <col min="3337" max="3584" width="9.109375" style="485"/>
    <col min="3585" max="3585" width="1.33203125" style="485" customWidth="1"/>
    <col min="3586" max="3586" width="0" style="485" hidden="1" customWidth="1"/>
    <col min="3587" max="3587" width="20.88671875" style="485" customWidth="1"/>
    <col min="3588" max="3588" width="16.33203125" style="485" customWidth="1"/>
    <col min="3589" max="3589" width="13" style="485" customWidth="1"/>
    <col min="3590" max="3590" width="16.88671875" style="485" customWidth="1"/>
    <col min="3591" max="3591" width="19.33203125" style="485" customWidth="1"/>
    <col min="3592" max="3592" width="19.109375" style="485" customWidth="1"/>
    <col min="3593" max="3840" width="9.109375" style="485"/>
    <col min="3841" max="3841" width="1.33203125" style="485" customWidth="1"/>
    <col min="3842" max="3842" width="0" style="485" hidden="1" customWidth="1"/>
    <col min="3843" max="3843" width="20.88671875" style="485" customWidth="1"/>
    <col min="3844" max="3844" width="16.33203125" style="485" customWidth="1"/>
    <col min="3845" max="3845" width="13" style="485" customWidth="1"/>
    <col min="3846" max="3846" width="16.88671875" style="485" customWidth="1"/>
    <col min="3847" max="3847" width="19.33203125" style="485" customWidth="1"/>
    <col min="3848" max="3848" width="19.109375" style="485" customWidth="1"/>
    <col min="3849" max="4096" width="9.109375" style="485"/>
    <col min="4097" max="4097" width="1.33203125" style="485" customWidth="1"/>
    <col min="4098" max="4098" width="0" style="485" hidden="1" customWidth="1"/>
    <col min="4099" max="4099" width="20.88671875" style="485" customWidth="1"/>
    <col min="4100" max="4100" width="16.33203125" style="485" customWidth="1"/>
    <col min="4101" max="4101" width="13" style="485" customWidth="1"/>
    <col min="4102" max="4102" width="16.88671875" style="485" customWidth="1"/>
    <col min="4103" max="4103" width="19.33203125" style="485" customWidth="1"/>
    <col min="4104" max="4104" width="19.109375" style="485" customWidth="1"/>
    <col min="4105" max="4352" width="9.109375" style="485"/>
    <col min="4353" max="4353" width="1.33203125" style="485" customWidth="1"/>
    <col min="4354" max="4354" width="0" style="485" hidden="1" customWidth="1"/>
    <col min="4355" max="4355" width="20.88671875" style="485" customWidth="1"/>
    <col min="4356" max="4356" width="16.33203125" style="485" customWidth="1"/>
    <col min="4357" max="4357" width="13" style="485" customWidth="1"/>
    <col min="4358" max="4358" width="16.88671875" style="485" customWidth="1"/>
    <col min="4359" max="4359" width="19.33203125" style="485" customWidth="1"/>
    <col min="4360" max="4360" width="19.109375" style="485" customWidth="1"/>
    <col min="4361" max="4608" width="9.109375" style="485"/>
    <col min="4609" max="4609" width="1.33203125" style="485" customWidth="1"/>
    <col min="4610" max="4610" width="0" style="485" hidden="1" customWidth="1"/>
    <col min="4611" max="4611" width="20.88671875" style="485" customWidth="1"/>
    <col min="4612" max="4612" width="16.33203125" style="485" customWidth="1"/>
    <col min="4613" max="4613" width="13" style="485" customWidth="1"/>
    <col min="4614" max="4614" width="16.88671875" style="485" customWidth="1"/>
    <col min="4615" max="4615" width="19.33203125" style="485" customWidth="1"/>
    <col min="4616" max="4616" width="19.109375" style="485" customWidth="1"/>
    <col min="4617" max="4864" width="9.109375" style="485"/>
    <col min="4865" max="4865" width="1.33203125" style="485" customWidth="1"/>
    <col min="4866" max="4866" width="0" style="485" hidden="1" customWidth="1"/>
    <col min="4867" max="4867" width="20.88671875" style="485" customWidth="1"/>
    <col min="4868" max="4868" width="16.33203125" style="485" customWidth="1"/>
    <col min="4869" max="4869" width="13" style="485" customWidth="1"/>
    <col min="4870" max="4870" width="16.88671875" style="485" customWidth="1"/>
    <col min="4871" max="4871" width="19.33203125" style="485" customWidth="1"/>
    <col min="4872" max="4872" width="19.109375" style="485" customWidth="1"/>
    <col min="4873" max="5120" width="9.109375" style="485"/>
    <col min="5121" max="5121" width="1.33203125" style="485" customWidth="1"/>
    <col min="5122" max="5122" width="0" style="485" hidden="1" customWidth="1"/>
    <col min="5123" max="5123" width="20.88671875" style="485" customWidth="1"/>
    <col min="5124" max="5124" width="16.33203125" style="485" customWidth="1"/>
    <col min="5125" max="5125" width="13" style="485" customWidth="1"/>
    <col min="5126" max="5126" width="16.88671875" style="485" customWidth="1"/>
    <col min="5127" max="5127" width="19.33203125" style="485" customWidth="1"/>
    <col min="5128" max="5128" width="19.109375" style="485" customWidth="1"/>
    <col min="5129" max="5376" width="9.109375" style="485"/>
    <col min="5377" max="5377" width="1.33203125" style="485" customWidth="1"/>
    <col min="5378" max="5378" width="0" style="485" hidden="1" customWidth="1"/>
    <col min="5379" max="5379" width="20.88671875" style="485" customWidth="1"/>
    <col min="5380" max="5380" width="16.33203125" style="485" customWidth="1"/>
    <col min="5381" max="5381" width="13" style="485" customWidth="1"/>
    <col min="5382" max="5382" width="16.88671875" style="485" customWidth="1"/>
    <col min="5383" max="5383" width="19.33203125" style="485" customWidth="1"/>
    <col min="5384" max="5384" width="19.109375" style="485" customWidth="1"/>
    <col min="5385" max="5632" width="9.109375" style="485"/>
    <col min="5633" max="5633" width="1.33203125" style="485" customWidth="1"/>
    <col min="5634" max="5634" width="0" style="485" hidden="1" customWidth="1"/>
    <col min="5635" max="5635" width="20.88671875" style="485" customWidth="1"/>
    <col min="5636" max="5636" width="16.33203125" style="485" customWidth="1"/>
    <col min="5637" max="5637" width="13" style="485" customWidth="1"/>
    <col min="5638" max="5638" width="16.88671875" style="485" customWidth="1"/>
    <col min="5639" max="5639" width="19.33203125" style="485" customWidth="1"/>
    <col min="5640" max="5640" width="19.109375" style="485" customWidth="1"/>
    <col min="5641" max="5888" width="9.109375" style="485"/>
    <col min="5889" max="5889" width="1.33203125" style="485" customWidth="1"/>
    <col min="5890" max="5890" width="0" style="485" hidden="1" customWidth="1"/>
    <col min="5891" max="5891" width="20.88671875" style="485" customWidth="1"/>
    <col min="5892" max="5892" width="16.33203125" style="485" customWidth="1"/>
    <col min="5893" max="5893" width="13" style="485" customWidth="1"/>
    <col min="5894" max="5894" width="16.88671875" style="485" customWidth="1"/>
    <col min="5895" max="5895" width="19.33203125" style="485" customWidth="1"/>
    <col min="5896" max="5896" width="19.109375" style="485" customWidth="1"/>
    <col min="5897" max="6144" width="9.109375" style="485"/>
    <col min="6145" max="6145" width="1.33203125" style="485" customWidth="1"/>
    <col min="6146" max="6146" width="0" style="485" hidden="1" customWidth="1"/>
    <col min="6147" max="6147" width="20.88671875" style="485" customWidth="1"/>
    <col min="6148" max="6148" width="16.33203125" style="485" customWidth="1"/>
    <col min="6149" max="6149" width="13" style="485" customWidth="1"/>
    <col min="6150" max="6150" width="16.88671875" style="485" customWidth="1"/>
    <col min="6151" max="6151" width="19.33203125" style="485" customWidth="1"/>
    <col min="6152" max="6152" width="19.109375" style="485" customWidth="1"/>
    <col min="6153" max="6400" width="9.109375" style="485"/>
    <col min="6401" max="6401" width="1.33203125" style="485" customWidth="1"/>
    <col min="6402" max="6402" width="0" style="485" hidden="1" customWidth="1"/>
    <col min="6403" max="6403" width="20.88671875" style="485" customWidth="1"/>
    <col min="6404" max="6404" width="16.33203125" style="485" customWidth="1"/>
    <col min="6405" max="6405" width="13" style="485" customWidth="1"/>
    <col min="6406" max="6406" width="16.88671875" style="485" customWidth="1"/>
    <col min="6407" max="6407" width="19.33203125" style="485" customWidth="1"/>
    <col min="6408" max="6408" width="19.109375" style="485" customWidth="1"/>
    <col min="6409" max="6656" width="9.109375" style="485"/>
    <col min="6657" max="6657" width="1.33203125" style="485" customWidth="1"/>
    <col min="6658" max="6658" width="0" style="485" hidden="1" customWidth="1"/>
    <col min="6659" max="6659" width="20.88671875" style="485" customWidth="1"/>
    <col min="6660" max="6660" width="16.33203125" style="485" customWidth="1"/>
    <col min="6661" max="6661" width="13" style="485" customWidth="1"/>
    <col min="6662" max="6662" width="16.88671875" style="485" customWidth="1"/>
    <col min="6663" max="6663" width="19.33203125" style="485" customWidth="1"/>
    <col min="6664" max="6664" width="19.109375" style="485" customWidth="1"/>
    <col min="6665" max="6912" width="9.109375" style="485"/>
    <col min="6913" max="6913" width="1.33203125" style="485" customWidth="1"/>
    <col min="6914" max="6914" width="0" style="485" hidden="1" customWidth="1"/>
    <col min="6915" max="6915" width="20.88671875" style="485" customWidth="1"/>
    <col min="6916" max="6916" width="16.33203125" style="485" customWidth="1"/>
    <col min="6917" max="6917" width="13" style="485" customWidth="1"/>
    <col min="6918" max="6918" width="16.88671875" style="485" customWidth="1"/>
    <col min="6919" max="6919" width="19.33203125" style="485" customWidth="1"/>
    <col min="6920" max="6920" width="19.109375" style="485" customWidth="1"/>
    <col min="6921" max="7168" width="9.109375" style="485"/>
    <col min="7169" max="7169" width="1.33203125" style="485" customWidth="1"/>
    <col min="7170" max="7170" width="0" style="485" hidden="1" customWidth="1"/>
    <col min="7171" max="7171" width="20.88671875" style="485" customWidth="1"/>
    <col min="7172" max="7172" width="16.33203125" style="485" customWidth="1"/>
    <col min="7173" max="7173" width="13" style="485" customWidth="1"/>
    <col min="7174" max="7174" width="16.88671875" style="485" customWidth="1"/>
    <col min="7175" max="7175" width="19.33203125" style="485" customWidth="1"/>
    <col min="7176" max="7176" width="19.109375" style="485" customWidth="1"/>
    <col min="7177" max="7424" width="9.109375" style="485"/>
    <col min="7425" max="7425" width="1.33203125" style="485" customWidth="1"/>
    <col min="7426" max="7426" width="0" style="485" hidden="1" customWidth="1"/>
    <col min="7427" max="7427" width="20.88671875" style="485" customWidth="1"/>
    <col min="7428" max="7428" width="16.33203125" style="485" customWidth="1"/>
    <col min="7429" max="7429" width="13" style="485" customWidth="1"/>
    <col min="7430" max="7430" width="16.88671875" style="485" customWidth="1"/>
    <col min="7431" max="7431" width="19.33203125" style="485" customWidth="1"/>
    <col min="7432" max="7432" width="19.109375" style="485" customWidth="1"/>
    <col min="7433" max="7680" width="9.109375" style="485"/>
    <col min="7681" max="7681" width="1.33203125" style="485" customWidth="1"/>
    <col min="7682" max="7682" width="0" style="485" hidden="1" customWidth="1"/>
    <col min="7683" max="7683" width="20.88671875" style="485" customWidth="1"/>
    <col min="7684" max="7684" width="16.33203125" style="485" customWidth="1"/>
    <col min="7685" max="7685" width="13" style="485" customWidth="1"/>
    <col min="7686" max="7686" width="16.88671875" style="485" customWidth="1"/>
    <col min="7687" max="7687" width="19.33203125" style="485" customWidth="1"/>
    <col min="7688" max="7688" width="19.109375" style="485" customWidth="1"/>
    <col min="7689" max="7936" width="9.109375" style="485"/>
    <col min="7937" max="7937" width="1.33203125" style="485" customWidth="1"/>
    <col min="7938" max="7938" width="0" style="485" hidden="1" customWidth="1"/>
    <col min="7939" max="7939" width="20.88671875" style="485" customWidth="1"/>
    <col min="7940" max="7940" width="16.33203125" style="485" customWidth="1"/>
    <col min="7941" max="7941" width="13" style="485" customWidth="1"/>
    <col min="7942" max="7942" width="16.88671875" style="485" customWidth="1"/>
    <col min="7943" max="7943" width="19.33203125" style="485" customWidth="1"/>
    <col min="7944" max="7944" width="19.109375" style="485" customWidth="1"/>
    <col min="7945" max="8192" width="9.109375" style="485"/>
    <col min="8193" max="8193" width="1.33203125" style="485" customWidth="1"/>
    <col min="8194" max="8194" width="0" style="485" hidden="1" customWidth="1"/>
    <col min="8195" max="8195" width="20.88671875" style="485" customWidth="1"/>
    <col min="8196" max="8196" width="16.33203125" style="485" customWidth="1"/>
    <col min="8197" max="8197" width="13" style="485" customWidth="1"/>
    <col min="8198" max="8198" width="16.88671875" style="485" customWidth="1"/>
    <col min="8199" max="8199" width="19.33203125" style="485" customWidth="1"/>
    <col min="8200" max="8200" width="19.109375" style="485" customWidth="1"/>
    <col min="8201" max="8448" width="9.109375" style="485"/>
    <col min="8449" max="8449" width="1.33203125" style="485" customWidth="1"/>
    <col min="8450" max="8450" width="0" style="485" hidden="1" customWidth="1"/>
    <col min="8451" max="8451" width="20.88671875" style="485" customWidth="1"/>
    <col min="8452" max="8452" width="16.33203125" style="485" customWidth="1"/>
    <col min="8453" max="8453" width="13" style="485" customWidth="1"/>
    <col min="8454" max="8454" width="16.88671875" style="485" customWidth="1"/>
    <col min="8455" max="8455" width="19.33203125" style="485" customWidth="1"/>
    <col min="8456" max="8456" width="19.109375" style="485" customWidth="1"/>
    <col min="8457" max="8704" width="9.109375" style="485"/>
    <col min="8705" max="8705" width="1.33203125" style="485" customWidth="1"/>
    <col min="8706" max="8706" width="0" style="485" hidden="1" customWidth="1"/>
    <col min="8707" max="8707" width="20.88671875" style="485" customWidth="1"/>
    <col min="8708" max="8708" width="16.33203125" style="485" customWidth="1"/>
    <col min="8709" max="8709" width="13" style="485" customWidth="1"/>
    <col min="8710" max="8710" width="16.88671875" style="485" customWidth="1"/>
    <col min="8711" max="8711" width="19.33203125" style="485" customWidth="1"/>
    <col min="8712" max="8712" width="19.109375" style="485" customWidth="1"/>
    <col min="8713" max="8960" width="9.109375" style="485"/>
    <col min="8961" max="8961" width="1.33203125" style="485" customWidth="1"/>
    <col min="8962" max="8962" width="0" style="485" hidden="1" customWidth="1"/>
    <col min="8963" max="8963" width="20.88671875" style="485" customWidth="1"/>
    <col min="8964" max="8964" width="16.33203125" style="485" customWidth="1"/>
    <col min="8965" max="8965" width="13" style="485" customWidth="1"/>
    <col min="8966" max="8966" width="16.88671875" style="485" customWidth="1"/>
    <col min="8967" max="8967" width="19.33203125" style="485" customWidth="1"/>
    <col min="8968" max="8968" width="19.109375" style="485" customWidth="1"/>
    <col min="8969" max="9216" width="9.109375" style="485"/>
    <col min="9217" max="9217" width="1.33203125" style="485" customWidth="1"/>
    <col min="9218" max="9218" width="0" style="485" hidden="1" customWidth="1"/>
    <col min="9219" max="9219" width="20.88671875" style="485" customWidth="1"/>
    <col min="9220" max="9220" width="16.33203125" style="485" customWidth="1"/>
    <col min="9221" max="9221" width="13" style="485" customWidth="1"/>
    <col min="9222" max="9222" width="16.88671875" style="485" customWidth="1"/>
    <col min="9223" max="9223" width="19.33203125" style="485" customWidth="1"/>
    <col min="9224" max="9224" width="19.109375" style="485" customWidth="1"/>
    <col min="9225" max="9472" width="9.109375" style="485"/>
    <col min="9473" max="9473" width="1.33203125" style="485" customWidth="1"/>
    <col min="9474" max="9474" width="0" style="485" hidden="1" customWidth="1"/>
    <col min="9475" max="9475" width="20.88671875" style="485" customWidth="1"/>
    <col min="9476" max="9476" width="16.33203125" style="485" customWidth="1"/>
    <col min="9477" max="9477" width="13" style="485" customWidth="1"/>
    <col min="9478" max="9478" width="16.88671875" style="485" customWidth="1"/>
    <col min="9479" max="9479" width="19.33203125" style="485" customWidth="1"/>
    <col min="9480" max="9480" width="19.109375" style="485" customWidth="1"/>
    <col min="9481" max="9728" width="9.109375" style="485"/>
    <col min="9729" max="9729" width="1.33203125" style="485" customWidth="1"/>
    <col min="9730" max="9730" width="0" style="485" hidden="1" customWidth="1"/>
    <col min="9731" max="9731" width="20.88671875" style="485" customWidth="1"/>
    <col min="9732" max="9732" width="16.33203125" style="485" customWidth="1"/>
    <col min="9733" max="9733" width="13" style="485" customWidth="1"/>
    <col min="9734" max="9734" width="16.88671875" style="485" customWidth="1"/>
    <col min="9735" max="9735" width="19.33203125" style="485" customWidth="1"/>
    <col min="9736" max="9736" width="19.109375" style="485" customWidth="1"/>
    <col min="9737" max="9984" width="9.109375" style="485"/>
    <col min="9985" max="9985" width="1.33203125" style="485" customWidth="1"/>
    <col min="9986" max="9986" width="0" style="485" hidden="1" customWidth="1"/>
    <col min="9987" max="9987" width="20.88671875" style="485" customWidth="1"/>
    <col min="9988" max="9988" width="16.33203125" style="485" customWidth="1"/>
    <col min="9989" max="9989" width="13" style="485" customWidth="1"/>
    <col min="9990" max="9990" width="16.88671875" style="485" customWidth="1"/>
    <col min="9991" max="9991" width="19.33203125" style="485" customWidth="1"/>
    <col min="9992" max="9992" width="19.109375" style="485" customWidth="1"/>
    <col min="9993" max="10240" width="9.109375" style="485"/>
    <col min="10241" max="10241" width="1.33203125" style="485" customWidth="1"/>
    <col min="10242" max="10242" width="0" style="485" hidden="1" customWidth="1"/>
    <col min="10243" max="10243" width="20.88671875" style="485" customWidth="1"/>
    <col min="10244" max="10244" width="16.33203125" style="485" customWidth="1"/>
    <col min="10245" max="10245" width="13" style="485" customWidth="1"/>
    <col min="10246" max="10246" width="16.88671875" style="485" customWidth="1"/>
    <col min="10247" max="10247" width="19.33203125" style="485" customWidth="1"/>
    <col min="10248" max="10248" width="19.109375" style="485" customWidth="1"/>
    <col min="10249" max="10496" width="9.109375" style="485"/>
    <col min="10497" max="10497" width="1.33203125" style="485" customWidth="1"/>
    <col min="10498" max="10498" width="0" style="485" hidden="1" customWidth="1"/>
    <col min="10499" max="10499" width="20.88671875" style="485" customWidth="1"/>
    <col min="10500" max="10500" width="16.33203125" style="485" customWidth="1"/>
    <col min="10501" max="10501" width="13" style="485" customWidth="1"/>
    <col min="10502" max="10502" width="16.88671875" style="485" customWidth="1"/>
    <col min="10503" max="10503" width="19.33203125" style="485" customWidth="1"/>
    <col min="10504" max="10504" width="19.109375" style="485" customWidth="1"/>
    <col min="10505" max="10752" width="9.109375" style="485"/>
    <col min="10753" max="10753" width="1.33203125" style="485" customWidth="1"/>
    <col min="10754" max="10754" width="0" style="485" hidden="1" customWidth="1"/>
    <col min="10755" max="10755" width="20.88671875" style="485" customWidth="1"/>
    <col min="10756" max="10756" width="16.33203125" style="485" customWidth="1"/>
    <col min="10757" max="10757" width="13" style="485" customWidth="1"/>
    <col min="10758" max="10758" width="16.88671875" style="485" customWidth="1"/>
    <col min="10759" max="10759" width="19.33203125" style="485" customWidth="1"/>
    <col min="10760" max="10760" width="19.109375" style="485" customWidth="1"/>
    <col min="10761" max="11008" width="9.109375" style="485"/>
    <col min="11009" max="11009" width="1.33203125" style="485" customWidth="1"/>
    <col min="11010" max="11010" width="0" style="485" hidden="1" customWidth="1"/>
    <col min="11011" max="11011" width="20.88671875" style="485" customWidth="1"/>
    <col min="11012" max="11012" width="16.33203125" style="485" customWidth="1"/>
    <col min="11013" max="11013" width="13" style="485" customWidth="1"/>
    <col min="11014" max="11014" width="16.88671875" style="485" customWidth="1"/>
    <col min="11015" max="11015" width="19.33203125" style="485" customWidth="1"/>
    <col min="11016" max="11016" width="19.109375" style="485" customWidth="1"/>
    <col min="11017" max="11264" width="9.109375" style="485"/>
    <col min="11265" max="11265" width="1.33203125" style="485" customWidth="1"/>
    <col min="11266" max="11266" width="0" style="485" hidden="1" customWidth="1"/>
    <col min="11267" max="11267" width="20.88671875" style="485" customWidth="1"/>
    <col min="11268" max="11268" width="16.33203125" style="485" customWidth="1"/>
    <col min="11269" max="11269" width="13" style="485" customWidth="1"/>
    <col min="11270" max="11270" width="16.88671875" style="485" customWidth="1"/>
    <col min="11271" max="11271" width="19.33203125" style="485" customWidth="1"/>
    <col min="11272" max="11272" width="19.109375" style="485" customWidth="1"/>
    <col min="11273" max="11520" width="9.109375" style="485"/>
    <col min="11521" max="11521" width="1.33203125" style="485" customWidth="1"/>
    <col min="11522" max="11522" width="0" style="485" hidden="1" customWidth="1"/>
    <col min="11523" max="11523" width="20.88671875" style="485" customWidth="1"/>
    <col min="11524" max="11524" width="16.33203125" style="485" customWidth="1"/>
    <col min="11525" max="11525" width="13" style="485" customWidth="1"/>
    <col min="11526" max="11526" width="16.88671875" style="485" customWidth="1"/>
    <col min="11527" max="11527" width="19.33203125" style="485" customWidth="1"/>
    <col min="11528" max="11528" width="19.109375" style="485" customWidth="1"/>
    <col min="11529" max="11776" width="9.109375" style="485"/>
    <col min="11777" max="11777" width="1.33203125" style="485" customWidth="1"/>
    <col min="11778" max="11778" width="0" style="485" hidden="1" customWidth="1"/>
    <col min="11779" max="11779" width="20.88671875" style="485" customWidth="1"/>
    <col min="11780" max="11780" width="16.33203125" style="485" customWidth="1"/>
    <col min="11781" max="11781" width="13" style="485" customWidth="1"/>
    <col min="11782" max="11782" width="16.88671875" style="485" customWidth="1"/>
    <col min="11783" max="11783" width="19.33203125" style="485" customWidth="1"/>
    <col min="11784" max="11784" width="19.109375" style="485" customWidth="1"/>
    <col min="11785" max="12032" width="9.109375" style="485"/>
    <col min="12033" max="12033" width="1.33203125" style="485" customWidth="1"/>
    <col min="12034" max="12034" width="0" style="485" hidden="1" customWidth="1"/>
    <col min="12035" max="12035" width="20.88671875" style="485" customWidth="1"/>
    <col min="12036" max="12036" width="16.33203125" style="485" customWidth="1"/>
    <col min="12037" max="12037" width="13" style="485" customWidth="1"/>
    <col min="12038" max="12038" width="16.88671875" style="485" customWidth="1"/>
    <col min="12039" max="12039" width="19.33203125" style="485" customWidth="1"/>
    <col min="12040" max="12040" width="19.109375" style="485" customWidth="1"/>
    <col min="12041" max="12288" width="9.109375" style="485"/>
    <col min="12289" max="12289" width="1.33203125" style="485" customWidth="1"/>
    <col min="12290" max="12290" width="0" style="485" hidden="1" customWidth="1"/>
    <col min="12291" max="12291" width="20.88671875" style="485" customWidth="1"/>
    <col min="12292" max="12292" width="16.33203125" style="485" customWidth="1"/>
    <col min="12293" max="12293" width="13" style="485" customWidth="1"/>
    <col min="12294" max="12294" width="16.88671875" style="485" customWidth="1"/>
    <col min="12295" max="12295" width="19.33203125" style="485" customWidth="1"/>
    <col min="12296" max="12296" width="19.109375" style="485" customWidth="1"/>
    <col min="12297" max="12544" width="9.109375" style="485"/>
    <col min="12545" max="12545" width="1.33203125" style="485" customWidth="1"/>
    <col min="12546" max="12546" width="0" style="485" hidden="1" customWidth="1"/>
    <col min="12547" max="12547" width="20.88671875" style="485" customWidth="1"/>
    <col min="12548" max="12548" width="16.33203125" style="485" customWidth="1"/>
    <col min="12549" max="12549" width="13" style="485" customWidth="1"/>
    <col min="12550" max="12550" width="16.88671875" style="485" customWidth="1"/>
    <col min="12551" max="12551" width="19.33203125" style="485" customWidth="1"/>
    <col min="12552" max="12552" width="19.109375" style="485" customWidth="1"/>
    <col min="12553" max="12800" width="9.109375" style="485"/>
    <col min="12801" max="12801" width="1.33203125" style="485" customWidth="1"/>
    <col min="12802" max="12802" width="0" style="485" hidden="1" customWidth="1"/>
    <col min="12803" max="12803" width="20.88671875" style="485" customWidth="1"/>
    <col min="12804" max="12804" width="16.33203125" style="485" customWidth="1"/>
    <col min="12805" max="12805" width="13" style="485" customWidth="1"/>
    <col min="12806" max="12806" width="16.88671875" style="485" customWidth="1"/>
    <col min="12807" max="12807" width="19.33203125" style="485" customWidth="1"/>
    <col min="12808" max="12808" width="19.109375" style="485" customWidth="1"/>
    <col min="12809" max="13056" width="9.109375" style="485"/>
    <col min="13057" max="13057" width="1.33203125" style="485" customWidth="1"/>
    <col min="13058" max="13058" width="0" style="485" hidden="1" customWidth="1"/>
    <col min="13059" max="13059" width="20.88671875" style="485" customWidth="1"/>
    <col min="13060" max="13060" width="16.33203125" style="485" customWidth="1"/>
    <col min="13061" max="13061" width="13" style="485" customWidth="1"/>
    <col min="13062" max="13062" width="16.88671875" style="485" customWidth="1"/>
    <col min="13063" max="13063" width="19.33203125" style="485" customWidth="1"/>
    <col min="13064" max="13064" width="19.109375" style="485" customWidth="1"/>
    <col min="13065" max="13312" width="9.109375" style="485"/>
    <col min="13313" max="13313" width="1.33203125" style="485" customWidth="1"/>
    <col min="13314" max="13314" width="0" style="485" hidden="1" customWidth="1"/>
    <col min="13315" max="13315" width="20.88671875" style="485" customWidth="1"/>
    <col min="13316" max="13316" width="16.33203125" style="485" customWidth="1"/>
    <col min="13317" max="13317" width="13" style="485" customWidth="1"/>
    <col min="13318" max="13318" width="16.88671875" style="485" customWidth="1"/>
    <col min="13319" max="13319" width="19.33203125" style="485" customWidth="1"/>
    <col min="13320" max="13320" width="19.109375" style="485" customWidth="1"/>
    <col min="13321" max="13568" width="9.109375" style="485"/>
    <col min="13569" max="13569" width="1.33203125" style="485" customWidth="1"/>
    <col min="13570" max="13570" width="0" style="485" hidden="1" customWidth="1"/>
    <col min="13571" max="13571" width="20.88671875" style="485" customWidth="1"/>
    <col min="13572" max="13572" width="16.33203125" style="485" customWidth="1"/>
    <col min="13573" max="13573" width="13" style="485" customWidth="1"/>
    <col min="13574" max="13574" width="16.88671875" style="485" customWidth="1"/>
    <col min="13575" max="13575" width="19.33203125" style="485" customWidth="1"/>
    <col min="13576" max="13576" width="19.109375" style="485" customWidth="1"/>
    <col min="13577" max="13824" width="9.109375" style="485"/>
    <col min="13825" max="13825" width="1.33203125" style="485" customWidth="1"/>
    <col min="13826" max="13826" width="0" style="485" hidden="1" customWidth="1"/>
    <col min="13827" max="13827" width="20.88671875" style="485" customWidth="1"/>
    <col min="13828" max="13828" width="16.33203125" style="485" customWidth="1"/>
    <col min="13829" max="13829" width="13" style="485" customWidth="1"/>
    <col min="13830" max="13830" width="16.88671875" style="485" customWidth="1"/>
    <col min="13831" max="13831" width="19.33203125" style="485" customWidth="1"/>
    <col min="13832" max="13832" width="19.109375" style="485" customWidth="1"/>
    <col min="13833" max="14080" width="9.109375" style="485"/>
    <col min="14081" max="14081" width="1.33203125" style="485" customWidth="1"/>
    <col min="14082" max="14082" width="0" style="485" hidden="1" customWidth="1"/>
    <col min="14083" max="14083" width="20.88671875" style="485" customWidth="1"/>
    <col min="14084" max="14084" width="16.33203125" style="485" customWidth="1"/>
    <col min="14085" max="14085" width="13" style="485" customWidth="1"/>
    <col min="14086" max="14086" width="16.88671875" style="485" customWidth="1"/>
    <col min="14087" max="14087" width="19.33203125" style="485" customWidth="1"/>
    <col min="14088" max="14088" width="19.109375" style="485" customWidth="1"/>
    <col min="14089" max="14336" width="9.109375" style="485"/>
    <col min="14337" max="14337" width="1.33203125" style="485" customWidth="1"/>
    <col min="14338" max="14338" width="0" style="485" hidden="1" customWidth="1"/>
    <col min="14339" max="14339" width="20.88671875" style="485" customWidth="1"/>
    <col min="14340" max="14340" width="16.33203125" style="485" customWidth="1"/>
    <col min="14341" max="14341" width="13" style="485" customWidth="1"/>
    <col min="14342" max="14342" width="16.88671875" style="485" customWidth="1"/>
    <col min="14343" max="14343" width="19.33203125" style="485" customWidth="1"/>
    <col min="14344" max="14344" width="19.109375" style="485" customWidth="1"/>
    <col min="14345" max="14592" width="9.109375" style="485"/>
    <col min="14593" max="14593" width="1.33203125" style="485" customWidth="1"/>
    <col min="14594" max="14594" width="0" style="485" hidden="1" customWidth="1"/>
    <col min="14595" max="14595" width="20.88671875" style="485" customWidth="1"/>
    <col min="14596" max="14596" width="16.33203125" style="485" customWidth="1"/>
    <col min="14597" max="14597" width="13" style="485" customWidth="1"/>
    <col min="14598" max="14598" width="16.88671875" style="485" customWidth="1"/>
    <col min="14599" max="14599" width="19.33203125" style="485" customWidth="1"/>
    <col min="14600" max="14600" width="19.109375" style="485" customWidth="1"/>
    <col min="14601" max="14848" width="9.109375" style="485"/>
    <col min="14849" max="14849" width="1.33203125" style="485" customWidth="1"/>
    <col min="14850" max="14850" width="0" style="485" hidden="1" customWidth="1"/>
    <col min="14851" max="14851" width="20.88671875" style="485" customWidth="1"/>
    <col min="14852" max="14852" width="16.33203125" style="485" customWidth="1"/>
    <col min="14853" max="14853" width="13" style="485" customWidth="1"/>
    <col min="14854" max="14854" width="16.88671875" style="485" customWidth="1"/>
    <col min="14855" max="14855" width="19.33203125" style="485" customWidth="1"/>
    <col min="14856" max="14856" width="19.109375" style="485" customWidth="1"/>
    <col min="14857" max="15104" width="9.109375" style="485"/>
    <col min="15105" max="15105" width="1.33203125" style="485" customWidth="1"/>
    <col min="15106" max="15106" width="0" style="485" hidden="1" customWidth="1"/>
    <col min="15107" max="15107" width="20.88671875" style="485" customWidth="1"/>
    <col min="15108" max="15108" width="16.33203125" style="485" customWidth="1"/>
    <col min="15109" max="15109" width="13" style="485" customWidth="1"/>
    <col min="15110" max="15110" width="16.88671875" style="485" customWidth="1"/>
    <col min="15111" max="15111" width="19.33203125" style="485" customWidth="1"/>
    <col min="15112" max="15112" width="19.109375" style="485" customWidth="1"/>
    <col min="15113" max="15360" width="9.109375" style="485"/>
    <col min="15361" max="15361" width="1.33203125" style="485" customWidth="1"/>
    <col min="15362" max="15362" width="0" style="485" hidden="1" customWidth="1"/>
    <col min="15363" max="15363" width="20.88671875" style="485" customWidth="1"/>
    <col min="15364" max="15364" width="16.33203125" style="485" customWidth="1"/>
    <col min="15365" max="15365" width="13" style="485" customWidth="1"/>
    <col min="15366" max="15366" width="16.88671875" style="485" customWidth="1"/>
    <col min="15367" max="15367" width="19.33203125" style="485" customWidth="1"/>
    <col min="15368" max="15368" width="19.109375" style="485" customWidth="1"/>
    <col min="15369" max="15616" width="9.109375" style="485"/>
    <col min="15617" max="15617" width="1.33203125" style="485" customWidth="1"/>
    <col min="15618" max="15618" width="0" style="485" hidden="1" customWidth="1"/>
    <col min="15619" max="15619" width="20.88671875" style="485" customWidth="1"/>
    <col min="15620" max="15620" width="16.33203125" style="485" customWidth="1"/>
    <col min="15621" max="15621" width="13" style="485" customWidth="1"/>
    <col min="15622" max="15622" width="16.88671875" style="485" customWidth="1"/>
    <col min="15623" max="15623" width="19.33203125" style="485" customWidth="1"/>
    <col min="15624" max="15624" width="19.109375" style="485" customWidth="1"/>
    <col min="15625" max="15872" width="9.109375" style="485"/>
    <col min="15873" max="15873" width="1.33203125" style="485" customWidth="1"/>
    <col min="15874" max="15874" width="0" style="485" hidden="1" customWidth="1"/>
    <col min="15875" max="15875" width="20.88671875" style="485" customWidth="1"/>
    <col min="15876" max="15876" width="16.33203125" style="485" customWidth="1"/>
    <col min="15877" max="15877" width="13" style="485" customWidth="1"/>
    <col min="15878" max="15878" width="16.88671875" style="485" customWidth="1"/>
    <col min="15879" max="15879" width="19.33203125" style="485" customWidth="1"/>
    <col min="15880" max="15880" width="19.109375" style="485" customWidth="1"/>
    <col min="15881" max="16128" width="9.109375" style="485"/>
    <col min="16129" max="16129" width="1.33203125" style="485" customWidth="1"/>
    <col min="16130" max="16130" width="0" style="485" hidden="1" customWidth="1"/>
    <col min="16131" max="16131" width="20.88671875" style="485" customWidth="1"/>
    <col min="16132" max="16132" width="16.33203125" style="485" customWidth="1"/>
    <col min="16133" max="16133" width="13" style="485" customWidth="1"/>
    <col min="16134" max="16134" width="16.88671875" style="485" customWidth="1"/>
    <col min="16135" max="16135" width="19.33203125" style="485" customWidth="1"/>
    <col min="16136" max="16136" width="19.109375" style="485" customWidth="1"/>
    <col min="16137" max="16384" width="9.109375" style="485"/>
  </cols>
  <sheetData>
    <row r="1" spans="2:8" x14ac:dyDescent="0.25">
      <c r="B1" s="485" t="s">
        <v>468</v>
      </c>
      <c r="D1" s="575">
        <v>27062011</v>
      </c>
    </row>
    <row r="3" spans="2:8" ht="15.75" customHeight="1" x14ac:dyDescent="0.25">
      <c r="C3" s="485" t="s">
        <v>469</v>
      </c>
    </row>
    <row r="4" spans="2:8" ht="15.75" customHeight="1" x14ac:dyDescent="0.25">
      <c r="C4" s="486" t="s">
        <v>470</v>
      </c>
      <c r="D4" s="487">
        <v>525</v>
      </c>
    </row>
    <row r="5" spans="2:8" ht="15.75" customHeight="1" x14ac:dyDescent="0.25">
      <c r="C5" s="486" t="s">
        <v>471</v>
      </c>
      <c r="D5" s="487">
        <v>202.5</v>
      </c>
    </row>
    <row r="6" spans="2:8" ht="15.75" customHeight="1" x14ac:dyDescent="0.25">
      <c r="C6" s="486" t="s">
        <v>472</v>
      </c>
      <c r="D6" s="487">
        <v>150</v>
      </c>
    </row>
    <row r="7" spans="2:8" ht="15.75" customHeight="1" x14ac:dyDescent="0.25">
      <c r="C7" s="488" t="s">
        <v>282</v>
      </c>
      <c r="D7" s="489">
        <v>877.5</v>
      </c>
    </row>
    <row r="8" spans="2:8" ht="15.75" customHeight="1" x14ac:dyDescent="0.25">
      <c r="D8" s="490"/>
    </row>
    <row r="9" spans="2:8" ht="15.75" customHeight="1" x14ac:dyDescent="0.25">
      <c r="C9" s="486" t="s">
        <v>473</v>
      </c>
      <c r="D9" s="491">
        <v>1425</v>
      </c>
    </row>
    <row r="10" spans="2:8" ht="15.75" customHeight="1" x14ac:dyDescent="0.25">
      <c r="C10" s="486" t="s">
        <v>474</v>
      </c>
      <c r="D10" s="492">
        <v>3000000</v>
      </c>
    </row>
    <row r="11" spans="2:8" ht="15.75" customHeight="1" x14ac:dyDescent="0.25">
      <c r="C11" s="486" t="s">
        <v>475</v>
      </c>
      <c r="D11" s="492">
        <v>10500</v>
      </c>
    </row>
    <row r="12" spans="2:8" ht="15.75" customHeight="1" x14ac:dyDescent="0.25">
      <c r="C12" s="486" t="s">
        <v>476</v>
      </c>
      <c r="D12" s="492">
        <v>9750</v>
      </c>
    </row>
    <row r="16" spans="2:8" ht="30" x14ac:dyDescent="0.25">
      <c r="C16" s="498"/>
      <c r="D16" s="499" t="s">
        <v>199</v>
      </c>
      <c r="E16" s="499" t="s">
        <v>477</v>
      </c>
      <c r="F16" s="499" t="s">
        <v>376</v>
      </c>
      <c r="G16" s="499" t="s">
        <v>478</v>
      </c>
      <c r="H16" s="499" t="s">
        <v>479</v>
      </c>
    </row>
    <row r="17" spans="3:8" x14ac:dyDescent="0.25">
      <c r="C17" s="498" t="s">
        <v>480</v>
      </c>
      <c r="D17" s="558">
        <f>D12</f>
        <v>9750</v>
      </c>
      <c r="E17" s="569"/>
      <c r="F17" s="558">
        <f>D12</f>
        <v>9750</v>
      </c>
      <c r="G17" s="569"/>
      <c r="H17" s="559">
        <f>D11</f>
        <v>10500</v>
      </c>
    </row>
    <row r="18" spans="3:8" x14ac:dyDescent="0.25">
      <c r="C18" s="565"/>
      <c r="D18" s="504"/>
      <c r="E18" s="503"/>
      <c r="F18" s="504"/>
      <c r="G18" s="503"/>
      <c r="H18" s="560"/>
    </row>
    <row r="19" spans="3:8" x14ac:dyDescent="0.25">
      <c r="C19" s="566" t="s">
        <v>96</v>
      </c>
      <c r="D19" s="563">
        <v>13500000</v>
      </c>
      <c r="E19" s="570">
        <f>D19-F19</f>
        <v>-393750</v>
      </c>
      <c r="F19" s="563">
        <f>D12*D9</f>
        <v>13893750</v>
      </c>
      <c r="G19" s="570">
        <f>F19-H19</f>
        <v>-1068750</v>
      </c>
      <c r="H19" s="564">
        <f>D9*D11</f>
        <v>14962500</v>
      </c>
    </row>
    <row r="20" spans="3:8" x14ac:dyDescent="0.25">
      <c r="C20" s="567"/>
      <c r="D20" s="491"/>
      <c r="E20" s="506"/>
      <c r="F20" s="491"/>
      <c r="G20" s="506"/>
      <c r="H20" s="561"/>
    </row>
    <row r="21" spans="3:8" x14ac:dyDescent="0.25">
      <c r="C21" s="567" t="s">
        <v>470</v>
      </c>
      <c r="D21" s="491">
        <v>5030000</v>
      </c>
      <c r="E21" s="506">
        <f>F21-D21</f>
        <v>88750</v>
      </c>
      <c r="F21" s="491">
        <f>D12*D4</f>
        <v>5118750</v>
      </c>
      <c r="G21" s="506">
        <f t="shared" ref="G21:G26" si="0">H21-F21</f>
        <v>393750</v>
      </c>
      <c r="H21" s="561">
        <f>D4*D11</f>
        <v>5512500</v>
      </c>
    </row>
    <row r="22" spans="3:8" x14ac:dyDescent="0.25">
      <c r="C22" s="567" t="s">
        <v>471</v>
      </c>
      <c r="D22" s="491">
        <v>1780000</v>
      </c>
      <c r="E22" s="506">
        <f>F22-D22</f>
        <v>194375</v>
      </c>
      <c r="F22" s="491">
        <f>D12*D5</f>
        <v>1974375</v>
      </c>
      <c r="G22" s="506">
        <f t="shared" si="0"/>
        <v>151875</v>
      </c>
      <c r="H22" s="561">
        <f>D5*D11</f>
        <v>2126250</v>
      </c>
    </row>
    <row r="23" spans="3:8" x14ac:dyDescent="0.25">
      <c r="C23" s="568" t="s">
        <v>581</v>
      </c>
      <c r="D23" s="509">
        <v>1750000</v>
      </c>
      <c r="E23" s="508">
        <f>F23-D23</f>
        <v>-287500</v>
      </c>
      <c r="F23" s="509">
        <f>D6*D12</f>
        <v>1462500</v>
      </c>
      <c r="G23" s="508">
        <f t="shared" si="0"/>
        <v>112500</v>
      </c>
      <c r="H23" s="562">
        <f>D11*D6</f>
        <v>1575000</v>
      </c>
    </row>
    <row r="24" spans="3:8" x14ac:dyDescent="0.25">
      <c r="C24" s="494" t="s">
        <v>481</v>
      </c>
      <c r="D24" s="571">
        <f>SUM(D21:D23)</f>
        <v>8560000</v>
      </c>
      <c r="E24" s="495">
        <f>F24-D24</f>
        <v>-4375</v>
      </c>
      <c r="F24" s="571">
        <f>SUM(F21:F23)</f>
        <v>8555625</v>
      </c>
      <c r="G24" s="495">
        <f t="shared" si="0"/>
        <v>658125</v>
      </c>
      <c r="H24" s="572">
        <f>SUM(H21:H23)</f>
        <v>9213750</v>
      </c>
    </row>
    <row r="25" spans="3:8" x14ac:dyDescent="0.25">
      <c r="C25" s="567" t="s">
        <v>131</v>
      </c>
      <c r="D25" s="491">
        <f>D19-D24</f>
        <v>4940000</v>
      </c>
      <c r="E25" s="539">
        <f>D25-F25</f>
        <v>-398125</v>
      </c>
      <c r="F25" s="491">
        <f>F19-F24</f>
        <v>5338125</v>
      </c>
      <c r="G25" s="539">
        <f>F25-H25</f>
        <v>-410625</v>
      </c>
      <c r="H25" s="561">
        <f>H19-H24</f>
        <v>5748750</v>
      </c>
    </row>
    <row r="26" spans="3:8" x14ac:dyDescent="0.25">
      <c r="C26" s="568" t="s">
        <v>132</v>
      </c>
      <c r="D26" s="509">
        <v>3150000</v>
      </c>
      <c r="E26" s="508">
        <f>F26-D26</f>
        <v>-150000</v>
      </c>
      <c r="F26" s="509">
        <v>3000000</v>
      </c>
      <c r="G26" s="508">
        <f t="shared" si="0"/>
        <v>0</v>
      </c>
      <c r="H26" s="562">
        <v>3000000</v>
      </c>
    </row>
    <row r="27" spans="3:8" x14ac:dyDescent="0.25">
      <c r="C27" s="568" t="s">
        <v>133</v>
      </c>
      <c r="D27" s="509">
        <f>D25-D26</f>
        <v>1790000</v>
      </c>
      <c r="E27" s="508">
        <f>D27-F27</f>
        <v>-548125</v>
      </c>
      <c r="F27" s="509">
        <f>F25-F26</f>
        <v>2338125</v>
      </c>
      <c r="G27" s="508">
        <f>F27-H27</f>
        <v>-410625</v>
      </c>
      <c r="H27" s="562">
        <f>H25-H26</f>
        <v>2748750</v>
      </c>
    </row>
    <row r="28" spans="3:8" ht="15.6" x14ac:dyDescent="0.3">
      <c r="C28" s="496"/>
    </row>
    <row r="30" spans="3:8" x14ac:dyDescent="0.25">
      <c r="C30" s="485" t="s">
        <v>582</v>
      </c>
    </row>
    <row r="31" spans="3:8" x14ac:dyDescent="0.25">
      <c r="C31" s="485" t="s">
        <v>583</v>
      </c>
    </row>
    <row r="32" spans="3:8" x14ac:dyDescent="0.25">
      <c r="C32" s="485" t="s">
        <v>584</v>
      </c>
    </row>
    <row r="33" spans="3:3" x14ac:dyDescent="0.25">
      <c r="C33" s="485" t="s">
        <v>585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&amp;C&amp;A&amp;R&amp;P</oddHeader>
    <oddFooter>&amp;CLøsninger kapittel 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6"/>
  <sheetViews>
    <sheetView workbookViewId="0">
      <selection activeCell="A68" sqref="A68"/>
    </sheetView>
  </sheetViews>
  <sheetFormatPr baseColWidth="10" defaultColWidth="11.33203125" defaultRowHeight="14.4" x14ac:dyDescent="0.3"/>
  <cols>
    <col min="1" max="1" width="20.6640625" style="576" customWidth="1"/>
    <col min="2" max="2" width="18.6640625" style="576" customWidth="1"/>
    <col min="3" max="3" width="22.109375" style="576" customWidth="1"/>
    <col min="4" max="4" width="18.88671875" style="576" customWidth="1"/>
    <col min="5" max="5" width="15.109375" style="576" customWidth="1"/>
    <col min="6" max="6" width="14.6640625" style="576" customWidth="1"/>
    <col min="7" max="7" width="16.6640625" style="576" customWidth="1"/>
    <col min="8" max="16384" width="11.33203125" style="576"/>
  </cols>
  <sheetData>
    <row r="1" spans="1:4" x14ac:dyDescent="0.3">
      <c r="A1" s="576" t="s">
        <v>880</v>
      </c>
    </row>
    <row r="4" spans="1:4" x14ac:dyDescent="0.3">
      <c r="A4" s="576" t="s">
        <v>788</v>
      </c>
    </row>
    <row r="6" spans="1:4" x14ac:dyDescent="0.3">
      <c r="A6" s="576" t="s">
        <v>879</v>
      </c>
    </row>
    <row r="7" spans="1:4" x14ac:dyDescent="0.3">
      <c r="A7" s="576" t="s">
        <v>878</v>
      </c>
      <c r="C7" s="725">
        <v>100</v>
      </c>
      <c r="D7" s="576" t="s">
        <v>877</v>
      </c>
    </row>
    <row r="8" spans="1:4" x14ac:dyDescent="0.3">
      <c r="A8" s="577" t="s">
        <v>839</v>
      </c>
      <c r="C8" s="723">
        <v>20</v>
      </c>
      <c r="D8" s="576" t="s">
        <v>146</v>
      </c>
    </row>
    <row r="9" spans="1:4" x14ac:dyDescent="0.3">
      <c r="A9" s="576" t="s">
        <v>876</v>
      </c>
      <c r="C9" s="723">
        <v>16</v>
      </c>
      <c r="D9" s="576" t="s">
        <v>875</v>
      </c>
    </row>
    <row r="10" spans="1:4" x14ac:dyDescent="0.3">
      <c r="A10" s="576" t="s">
        <v>391</v>
      </c>
      <c r="C10" s="723">
        <v>350</v>
      </c>
      <c r="D10" s="576" t="s">
        <v>874</v>
      </c>
    </row>
    <row r="13" spans="1:4" x14ac:dyDescent="0.3">
      <c r="A13" s="576" t="s">
        <v>873</v>
      </c>
    </row>
    <row r="15" spans="1:4" x14ac:dyDescent="0.3">
      <c r="A15" s="576" t="s">
        <v>814</v>
      </c>
      <c r="C15" s="725">
        <v>2310000</v>
      </c>
      <c r="D15" s="577" t="s">
        <v>872</v>
      </c>
    </row>
    <row r="16" spans="1:4" x14ac:dyDescent="0.3">
      <c r="A16" s="577" t="s">
        <v>782</v>
      </c>
      <c r="C16" s="725">
        <v>22000</v>
      </c>
      <c r="D16" s="576" t="s">
        <v>871</v>
      </c>
    </row>
    <row r="17" spans="1:3" x14ac:dyDescent="0.3">
      <c r="A17" s="576" t="s">
        <v>870</v>
      </c>
      <c r="C17" s="725">
        <v>1000</v>
      </c>
    </row>
    <row r="18" spans="1:3" x14ac:dyDescent="0.3">
      <c r="A18" s="576" t="s">
        <v>812</v>
      </c>
      <c r="C18" s="725">
        <v>6500000</v>
      </c>
    </row>
    <row r="19" spans="1:3" x14ac:dyDescent="0.3">
      <c r="A19" s="576" t="s">
        <v>869</v>
      </c>
      <c r="C19" s="725">
        <v>22000</v>
      </c>
    </row>
    <row r="21" spans="1:3" ht="21" x14ac:dyDescent="0.4">
      <c r="A21" s="605" t="s">
        <v>763</v>
      </c>
    </row>
    <row r="22" spans="1:3" x14ac:dyDescent="0.3">
      <c r="A22" s="576" t="s">
        <v>868</v>
      </c>
      <c r="C22" s="598">
        <f>C17*C8</f>
        <v>20000</v>
      </c>
    </row>
    <row r="23" spans="1:3" x14ac:dyDescent="0.3">
      <c r="C23" s="598"/>
    </row>
    <row r="24" spans="1:3" x14ac:dyDescent="0.3">
      <c r="A24" s="576" t="s">
        <v>750</v>
      </c>
      <c r="C24" s="598">
        <f>C17*C9</f>
        <v>16000</v>
      </c>
    </row>
    <row r="26" spans="1:3" ht="21" x14ac:dyDescent="0.4">
      <c r="A26" s="605" t="s">
        <v>751</v>
      </c>
    </row>
    <row r="28" spans="1:3" x14ac:dyDescent="0.3">
      <c r="A28" s="576" t="s">
        <v>867</v>
      </c>
      <c r="C28" s="576">
        <f>C15/C16</f>
        <v>105</v>
      </c>
    </row>
    <row r="31" spans="1:3" ht="21" x14ac:dyDescent="0.4">
      <c r="A31" s="605" t="s">
        <v>744</v>
      </c>
    </row>
    <row r="32" spans="1:3" ht="15" thickBot="1" x14ac:dyDescent="0.35"/>
    <row r="33" spans="1:6" x14ac:dyDescent="0.3">
      <c r="A33" s="594" t="s">
        <v>81</v>
      </c>
    </row>
    <row r="34" spans="1:6" ht="15" thickBot="1" x14ac:dyDescent="0.35">
      <c r="A34" s="595"/>
    </row>
    <row r="35" spans="1:6" x14ac:dyDescent="0.3">
      <c r="A35" s="583" t="s">
        <v>679</v>
      </c>
      <c r="B35" s="584" t="s">
        <v>735</v>
      </c>
      <c r="C35" s="583" t="s">
        <v>734</v>
      </c>
      <c r="D35" s="584" t="s">
        <v>141</v>
      </c>
      <c r="E35" s="584" t="s">
        <v>140</v>
      </c>
      <c r="F35" s="584" t="s">
        <v>733</v>
      </c>
    </row>
    <row r="36" spans="1:6" ht="15" thickBot="1" x14ac:dyDescent="0.35">
      <c r="A36" s="581" t="s">
        <v>754</v>
      </c>
      <c r="B36" s="581" t="s">
        <v>771</v>
      </c>
      <c r="C36" s="581" t="s">
        <v>770</v>
      </c>
      <c r="D36" s="721" t="s">
        <v>766</v>
      </c>
      <c r="E36" s="581" t="s">
        <v>262</v>
      </c>
      <c r="F36" s="581" t="s">
        <v>729</v>
      </c>
    </row>
    <row r="37" spans="1:6" ht="15" thickBot="1" x14ac:dyDescent="0.35">
      <c r="A37" s="590">
        <f>C22*C7</f>
        <v>2000000</v>
      </c>
      <c r="B37" s="589">
        <f>C7*C16</f>
        <v>2200000</v>
      </c>
      <c r="C37" s="589">
        <f>C15</f>
        <v>2310000</v>
      </c>
      <c r="D37" s="589">
        <f>A37-B37</f>
        <v>-200000</v>
      </c>
      <c r="E37" s="589">
        <f>B37-C37</f>
        <v>-110000</v>
      </c>
      <c r="F37" s="589">
        <f>A37-C37</f>
        <v>-310000</v>
      </c>
    </row>
    <row r="40" spans="1:6" x14ac:dyDescent="0.3">
      <c r="A40" s="576" t="s">
        <v>866</v>
      </c>
      <c r="B40" s="577" t="s">
        <v>865</v>
      </c>
    </row>
    <row r="41" spans="1:6" x14ac:dyDescent="0.3">
      <c r="B41" s="576" t="s">
        <v>864</v>
      </c>
    </row>
    <row r="42" spans="1:6" x14ac:dyDescent="0.3">
      <c r="B42" s="576" t="s">
        <v>863</v>
      </c>
    </row>
    <row r="43" spans="1:6" x14ac:dyDescent="0.3">
      <c r="B43" s="576" t="s">
        <v>862</v>
      </c>
    </row>
    <row r="48" spans="1:6" ht="21" x14ac:dyDescent="0.4">
      <c r="A48" s="605" t="s">
        <v>742</v>
      </c>
    </row>
    <row r="50" spans="1:6" x14ac:dyDescent="0.3">
      <c r="A50" s="576" t="s">
        <v>861</v>
      </c>
      <c r="B50" s="602">
        <f>C18/C19</f>
        <v>295.45454545454544</v>
      </c>
    </row>
    <row r="53" spans="1:6" ht="21" x14ac:dyDescent="0.4">
      <c r="A53" s="605" t="s">
        <v>860</v>
      </c>
    </row>
    <row r="55" spans="1:6" ht="15" thickBot="1" x14ac:dyDescent="0.35"/>
    <row r="56" spans="1:6" x14ac:dyDescent="0.3">
      <c r="A56" s="594" t="s">
        <v>406</v>
      </c>
    </row>
    <row r="57" spans="1:6" ht="15" thickBot="1" x14ac:dyDescent="0.35">
      <c r="A57" s="591" t="s">
        <v>842</v>
      </c>
    </row>
    <row r="58" spans="1:6" x14ac:dyDescent="0.3">
      <c r="A58" s="583" t="s">
        <v>679</v>
      </c>
      <c r="B58" s="584" t="s">
        <v>735</v>
      </c>
      <c r="C58" s="583" t="s">
        <v>734</v>
      </c>
      <c r="D58" s="584" t="s">
        <v>79</v>
      </c>
      <c r="E58" s="584" t="s">
        <v>769</v>
      </c>
      <c r="F58" s="584" t="s">
        <v>733</v>
      </c>
    </row>
    <row r="59" spans="1:6" ht="15" thickBot="1" x14ac:dyDescent="0.35">
      <c r="A59" s="581" t="s">
        <v>768</v>
      </c>
      <c r="B59" s="581" t="s">
        <v>767</v>
      </c>
      <c r="C59" s="581" t="s">
        <v>730</v>
      </c>
      <c r="D59" s="721" t="s">
        <v>766</v>
      </c>
      <c r="E59" s="581" t="s">
        <v>262</v>
      </c>
      <c r="F59" s="581" t="s">
        <v>729</v>
      </c>
    </row>
    <row r="60" spans="1:6" ht="15" thickBot="1" x14ac:dyDescent="0.35">
      <c r="A60" s="590">
        <f>C24*C10</f>
        <v>5600000</v>
      </c>
      <c r="B60" s="589">
        <f>C10*C19</f>
        <v>7700000</v>
      </c>
      <c r="C60" s="589">
        <f>C18</f>
        <v>6500000</v>
      </c>
      <c r="D60" s="589">
        <f>A60-B60</f>
        <v>-2100000</v>
      </c>
      <c r="E60" s="589">
        <f>B60-C60</f>
        <v>1200000</v>
      </c>
      <c r="F60" s="589">
        <f>A60-C60</f>
        <v>-900000</v>
      </c>
    </row>
    <row r="63" spans="1:6" x14ac:dyDescent="0.3">
      <c r="A63" s="576" t="s">
        <v>859</v>
      </c>
      <c r="B63" s="576" t="s">
        <v>858</v>
      </c>
    </row>
    <row r="64" spans="1:6" x14ac:dyDescent="0.3">
      <c r="B64" s="576" t="s">
        <v>857</v>
      </c>
    </row>
    <row r="65" spans="1:3" x14ac:dyDescent="0.3">
      <c r="B65" s="576" t="s">
        <v>856</v>
      </c>
    </row>
    <row r="66" spans="1:3" x14ac:dyDescent="0.3">
      <c r="B66" s="576" t="s">
        <v>855</v>
      </c>
    </row>
    <row r="70" spans="1:3" ht="21" x14ac:dyDescent="0.4">
      <c r="A70" s="605" t="s">
        <v>854</v>
      </c>
    </row>
    <row r="71" spans="1:3" x14ac:dyDescent="0.3">
      <c r="A71" s="576" t="s">
        <v>853</v>
      </c>
    </row>
    <row r="73" spans="1:3" ht="21" x14ac:dyDescent="0.4">
      <c r="A73" s="605" t="s">
        <v>852</v>
      </c>
    </row>
    <row r="75" spans="1:3" x14ac:dyDescent="0.3">
      <c r="A75" s="576" t="s">
        <v>851</v>
      </c>
      <c r="C75" s="725">
        <v>1200</v>
      </c>
    </row>
    <row r="77" spans="1:3" x14ac:dyDescent="0.3">
      <c r="A77" s="576" t="s">
        <v>850</v>
      </c>
      <c r="B77" s="598">
        <f>C75*C8</f>
        <v>24000</v>
      </c>
    </row>
    <row r="78" spans="1:3" x14ac:dyDescent="0.3">
      <c r="A78" s="576" t="s">
        <v>849</v>
      </c>
      <c r="B78" s="598">
        <f>C75*C9</f>
        <v>19200</v>
      </c>
    </row>
    <row r="80" spans="1:3" ht="21" x14ac:dyDescent="0.4">
      <c r="A80" s="605" t="s">
        <v>848</v>
      </c>
    </row>
    <row r="82" spans="1:6" x14ac:dyDescent="0.3">
      <c r="A82" s="576" t="s">
        <v>825</v>
      </c>
      <c r="B82" s="725">
        <v>2400000</v>
      </c>
    </row>
    <row r="83" spans="1:6" x14ac:dyDescent="0.3">
      <c r="A83" s="576" t="s">
        <v>847</v>
      </c>
      <c r="B83" s="725">
        <v>23000</v>
      </c>
    </row>
    <row r="85" spans="1:6" ht="15" thickBot="1" x14ac:dyDescent="0.35"/>
    <row r="86" spans="1:6" x14ac:dyDescent="0.3">
      <c r="A86" s="594" t="s">
        <v>81</v>
      </c>
    </row>
    <row r="87" spans="1:6" ht="15" thickBot="1" x14ac:dyDescent="0.35">
      <c r="A87" s="595"/>
    </row>
    <row r="88" spans="1:6" x14ac:dyDescent="0.3">
      <c r="A88" s="583" t="s">
        <v>679</v>
      </c>
      <c r="B88" s="584" t="s">
        <v>735</v>
      </c>
      <c r="C88" s="583" t="s">
        <v>734</v>
      </c>
      <c r="D88" s="584" t="s">
        <v>141</v>
      </c>
      <c r="E88" s="584" t="s">
        <v>140</v>
      </c>
      <c r="F88" s="584" t="s">
        <v>733</v>
      </c>
    </row>
    <row r="89" spans="1:6" ht="15" thickBot="1" x14ac:dyDescent="0.35">
      <c r="A89" s="581" t="s">
        <v>754</v>
      </c>
      <c r="B89" s="581" t="s">
        <v>771</v>
      </c>
      <c r="C89" s="581" t="s">
        <v>770</v>
      </c>
      <c r="D89" s="721" t="s">
        <v>766</v>
      </c>
      <c r="E89" s="581" t="s">
        <v>262</v>
      </c>
      <c r="F89" s="581" t="s">
        <v>729</v>
      </c>
    </row>
    <row r="90" spans="1:6" ht="15" thickBot="1" x14ac:dyDescent="0.35">
      <c r="A90" s="590">
        <f>B77*C7</f>
        <v>2400000</v>
      </c>
      <c r="B90" s="589">
        <f>C7*B83</f>
        <v>2300000</v>
      </c>
      <c r="C90" s="589">
        <f>B82</f>
        <v>2400000</v>
      </c>
      <c r="D90" s="589">
        <f>A90-B90</f>
        <v>100000</v>
      </c>
      <c r="E90" s="589">
        <f>B90-C90</f>
        <v>-100000</v>
      </c>
      <c r="F90" s="589">
        <f>A90-C90</f>
        <v>0</v>
      </c>
    </row>
    <row r="92" spans="1:6" x14ac:dyDescent="0.3">
      <c r="A92" s="576" t="s">
        <v>846</v>
      </c>
    </row>
    <row r="93" spans="1:6" x14ac:dyDescent="0.3">
      <c r="A93" s="576" t="s">
        <v>845</v>
      </c>
    </row>
    <row r="96" spans="1:6" ht="21" x14ac:dyDescent="0.4">
      <c r="A96" s="605" t="s">
        <v>844</v>
      </c>
    </row>
    <row r="98" spans="1:6" x14ac:dyDescent="0.3">
      <c r="A98" s="577" t="s">
        <v>812</v>
      </c>
      <c r="B98" s="598">
        <v>6700000</v>
      </c>
    </row>
    <row r="99" spans="1:6" x14ac:dyDescent="0.3">
      <c r="A99" s="576" t="s">
        <v>843</v>
      </c>
      <c r="B99" s="598">
        <v>18800</v>
      </c>
    </row>
    <row r="101" spans="1:6" ht="15" thickBot="1" x14ac:dyDescent="0.35"/>
    <row r="102" spans="1:6" x14ac:dyDescent="0.3">
      <c r="A102" s="594" t="s">
        <v>406</v>
      </c>
    </row>
    <row r="103" spans="1:6" ht="15" thickBot="1" x14ac:dyDescent="0.35">
      <c r="A103" s="591" t="s">
        <v>842</v>
      </c>
    </row>
    <row r="104" spans="1:6" x14ac:dyDescent="0.3">
      <c r="A104" s="583" t="s">
        <v>679</v>
      </c>
      <c r="B104" s="584" t="s">
        <v>735</v>
      </c>
      <c r="C104" s="583" t="s">
        <v>734</v>
      </c>
      <c r="D104" s="584" t="s">
        <v>79</v>
      </c>
      <c r="E104" s="584" t="s">
        <v>769</v>
      </c>
      <c r="F104" s="584" t="s">
        <v>733</v>
      </c>
    </row>
    <row r="105" spans="1:6" ht="15" thickBot="1" x14ac:dyDescent="0.35">
      <c r="A105" s="581" t="s">
        <v>768</v>
      </c>
      <c r="B105" s="581" t="s">
        <v>767</v>
      </c>
      <c r="C105" s="581" t="s">
        <v>730</v>
      </c>
      <c r="D105" s="721" t="s">
        <v>766</v>
      </c>
      <c r="E105" s="581" t="s">
        <v>262</v>
      </c>
      <c r="F105" s="581" t="s">
        <v>729</v>
      </c>
    </row>
    <row r="106" spans="1:6" ht="15" thickBot="1" x14ac:dyDescent="0.35">
      <c r="A106" s="590">
        <f>B78*C10</f>
        <v>6720000</v>
      </c>
      <c r="B106" s="589">
        <f>C10*B99</f>
        <v>6580000</v>
      </c>
      <c r="C106" s="589">
        <f>B98</f>
        <v>6700000</v>
      </c>
      <c r="D106" s="589">
        <f>A106-B106</f>
        <v>140000</v>
      </c>
      <c r="E106" s="589">
        <f>B106-C106</f>
        <v>-120000</v>
      </c>
      <c r="F106" s="589">
        <f>A106-C106</f>
        <v>20000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pageSetUpPr fitToPage="1"/>
  </sheetPr>
  <dimension ref="A1:K30"/>
  <sheetViews>
    <sheetView showGridLines="0" workbookViewId="0">
      <selection activeCell="G28" sqref="G28"/>
    </sheetView>
  </sheetViews>
  <sheetFormatPr baseColWidth="10" defaultColWidth="9.109375" defaultRowHeight="15.6" x14ac:dyDescent="0.3"/>
  <cols>
    <col min="1" max="1" width="5.33203125" style="1" customWidth="1"/>
    <col min="2" max="2" width="9.88671875" style="1" customWidth="1"/>
    <col min="3" max="7" width="17.88671875" style="1" customWidth="1"/>
    <col min="8" max="8" width="20.88671875" style="1" customWidth="1"/>
    <col min="9" max="12" width="9.109375" style="1"/>
    <col min="13" max="13" width="15.88671875" style="1" bestFit="1" customWidth="1"/>
    <col min="14" max="14" width="20.33203125" style="1" customWidth="1"/>
    <col min="15" max="15" width="13.88671875" style="1" customWidth="1"/>
    <col min="16" max="16" width="15.88671875" style="1" customWidth="1"/>
    <col min="17" max="17" width="25.33203125" style="1" customWidth="1"/>
    <col min="18" max="16384" width="9.109375" style="1"/>
  </cols>
  <sheetData>
    <row r="1" spans="1:11" x14ac:dyDescent="0.3">
      <c r="A1" s="1" t="s">
        <v>189</v>
      </c>
      <c r="C1" s="1" t="s">
        <v>527</v>
      </c>
      <c r="E1" s="2">
        <v>4000</v>
      </c>
    </row>
    <row r="2" spans="1:11" x14ac:dyDescent="0.3">
      <c r="B2" s="6" t="s">
        <v>151</v>
      </c>
      <c r="C2" s="7" t="s">
        <v>73</v>
      </c>
      <c r="E2" s="2">
        <v>282000</v>
      </c>
    </row>
    <row r="3" spans="1:11" x14ac:dyDescent="0.3">
      <c r="B3" s="5" t="s">
        <v>74</v>
      </c>
      <c r="C3" s="1" t="s">
        <v>528</v>
      </c>
      <c r="E3" s="2">
        <v>6000</v>
      </c>
    </row>
    <row r="4" spans="1:11" x14ac:dyDescent="0.3">
      <c r="B4" s="6" t="s">
        <v>75</v>
      </c>
      <c r="C4" s="26" t="s">
        <v>76</v>
      </c>
      <c r="D4" s="26"/>
      <c r="E4" s="8">
        <f>E1+E2-E3</f>
        <v>280000</v>
      </c>
    </row>
    <row r="7" spans="1:11" ht="18" x14ac:dyDescent="0.4">
      <c r="A7" s="1" t="s">
        <v>191</v>
      </c>
      <c r="B7" s="7" t="s">
        <v>77</v>
      </c>
      <c r="E7" s="4">
        <f>E4/1000</f>
        <v>280</v>
      </c>
    </row>
    <row r="10" spans="1:11" x14ac:dyDescent="0.3">
      <c r="B10" s="11"/>
      <c r="D10" s="7"/>
    </row>
    <row r="11" spans="1:11" x14ac:dyDescent="0.3">
      <c r="B11" s="17" t="s">
        <v>214</v>
      </c>
      <c r="D11" s="9"/>
      <c r="E11" s="9"/>
      <c r="F11" s="9"/>
      <c r="G11" s="9"/>
      <c r="H11" s="9"/>
      <c r="K11" s="3"/>
    </row>
    <row r="12" spans="1:11" x14ac:dyDescent="0.3">
      <c r="C12" s="13" t="s">
        <v>526</v>
      </c>
      <c r="D12" s="13" t="s">
        <v>719</v>
      </c>
      <c r="E12" s="21" t="s">
        <v>83</v>
      </c>
      <c r="F12" s="21" t="s">
        <v>79</v>
      </c>
      <c r="G12" s="13" t="s">
        <v>78</v>
      </c>
    </row>
    <row r="13" spans="1:11" x14ac:dyDescent="0.3">
      <c r="C13" s="15" t="s">
        <v>586</v>
      </c>
      <c r="D13" s="15" t="s">
        <v>591</v>
      </c>
      <c r="E13" s="15" t="s">
        <v>588</v>
      </c>
      <c r="F13" s="15" t="s">
        <v>589</v>
      </c>
      <c r="G13" s="15" t="s">
        <v>590</v>
      </c>
    </row>
    <row r="14" spans="1:11" x14ac:dyDescent="0.3">
      <c r="C14" s="16" t="s">
        <v>215</v>
      </c>
      <c r="D14" s="16" t="s">
        <v>216</v>
      </c>
      <c r="E14" s="16" t="s">
        <v>217</v>
      </c>
      <c r="F14" s="16"/>
      <c r="G14" s="16"/>
    </row>
    <row r="15" spans="1:11" s="12" customFormat="1" x14ac:dyDescent="0.3">
      <c r="C15" s="24">
        <f>D22</f>
        <v>269500</v>
      </c>
      <c r="D15" s="24">
        <f>D20</f>
        <v>275000</v>
      </c>
      <c r="E15" s="24">
        <f>E4</f>
        <v>280000</v>
      </c>
      <c r="F15" s="24">
        <f>C15-D15</f>
        <v>-5500</v>
      </c>
      <c r="G15" s="24">
        <f>D15-E15</f>
        <v>-5000</v>
      </c>
    </row>
    <row r="16" spans="1:11" x14ac:dyDescent="0.3">
      <c r="C16" s="25"/>
      <c r="D16" s="25"/>
      <c r="E16" s="25"/>
      <c r="F16" s="25"/>
      <c r="G16" s="25"/>
    </row>
    <row r="18" spans="1:6" ht="18" x14ac:dyDescent="0.4">
      <c r="B18" s="1" t="s">
        <v>80</v>
      </c>
    </row>
    <row r="20" spans="1:6" ht="18" x14ac:dyDescent="0.4">
      <c r="B20" s="1" t="s">
        <v>721</v>
      </c>
      <c r="D20" s="2">
        <f>1000*275</f>
        <v>275000</v>
      </c>
    </row>
    <row r="22" spans="1:6" ht="18" x14ac:dyDescent="0.4">
      <c r="B22" s="1" t="s">
        <v>86</v>
      </c>
      <c r="D22" s="2">
        <f>980*275</f>
        <v>269500</v>
      </c>
    </row>
    <row r="25" spans="1:6" x14ac:dyDescent="0.3">
      <c r="A25" s="9"/>
      <c r="E25" s="9"/>
      <c r="F25" s="2"/>
    </row>
    <row r="26" spans="1:6" x14ac:dyDescent="0.3">
      <c r="A26" s="9"/>
      <c r="E26" s="9"/>
      <c r="F26" s="2"/>
    </row>
    <row r="27" spans="1:6" x14ac:dyDescent="0.3">
      <c r="A27" s="9"/>
      <c r="E27" s="9"/>
      <c r="F27" s="2"/>
    </row>
    <row r="28" spans="1:6" x14ac:dyDescent="0.3">
      <c r="A28" s="9"/>
      <c r="F28" s="2"/>
    </row>
    <row r="29" spans="1:6" x14ac:dyDescent="0.3">
      <c r="A29" s="9"/>
      <c r="F29" s="2"/>
    </row>
    <row r="30" spans="1:6" x14ac:dyDescent="0.3">
      <c r="A30" s="9"/>
      <c r="F30" s="2"/>
    </row>
  </sheetData>
  <phoneticPr fontId="9" type="noConversion"/>
  <printOptions gridLinesSet="0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&amp;A&amp;RSide &amp;P</oddHeader>
    <oddFooter>&amp;CLøsning kapittel 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8"/>
  <sheetViews>
    <sheetView workbookViewId="0">
      <selection activeCell="I16" sqref="I16"/>
    </sheetView>
  </sheetViews>
  <sheetFormatPr baseColWidth="10" defaultColWidth="11.33203125" defaultRowHeight="14.4" x14ac:dyDescent="0.3"/>
  <cols>
    <col min="1" max="1" width="25.88671875" style="576" customWidth="1"/>
    <col min="2" max="6" width="11.33203125" style="576"/>
    <col min="7" max="8" width="14.6640625" style="576" customWidth="1"/>
    <col min="9" max="9" width="16.109375" style="576" customWidth="1"/>
    <col min="10" max="10" width="14.109375" style="576" customWidth="1"/>
    <col min="11" max="16384" width="11.33203125" style="576"/>
  </cols>
  <sheetData>
    <row r="1" spans="1:9" x14ac:dyDescent="0.3">
      <c r="A1" s="576" t="s">
        <v>920</v>
      </c>
      <c r="D1" s="637"/>
    </row>
    <row r="2" spans="1:9" x14ac:dyDescent="0.3">
      <c r="A2" s="623" t="s">
        <v>919</v>
      </c>
    </row>
    <row r="4" spans="1:9" x14ac:dyDescent="0.3">
      <c r="A4" s="622" t="s">
        <v>918</v>
      </c>
      <c r="C4" s="623" t="s">
        <v>839</v>
      </c>
    </row>
    <row r="5" spans="1:9" ht="15" thickBot="1" x14ac:dyDescent="0.35">
      <c r="A5" s="622" t="s">
        <v>917</v>
      </c>
      <c r="C5" s="641" t="s">
        <v>916</v>
      </c>
      <c r="D5" s="640" t="s">
        <v>915</v>
      </c>
      <c r="G5" s="623"/>
    </row>
    <row r="6" spans="1:9" ht="16.8" thickBot="1" x14ac:dyDescent="0.35">
      <c r="A6" s="639" t="s">
        <v>914</v>
      </c>
      <c r="B6" s="634">
        <v>1200</v>
      </c>
      <c r="C6" s="634">
        <v>3</v>
      </c>
      <c r="D6" s="634">
        <v>6</v>
      </c>
      <c r="E6" s="594" t="s">
        <v>912</v>
      </c>
      <c r="I6" s="633"/>
    </row>
    <row r="7" spans="1:9" ht="16.8" thickBot="1" x14ac:dyDescent="0.35">
      <c r="A7" s="639" t="s">
        <v>913</v>
      </c>
      <c r="B7" s="634">
        <v>1650</v>
      </c>
      <c r="C7" s="634">
        <v>2</v>
      </c>
      <c r="D7" s="634">
        <v>4</v>
      </c>
      <c r="E7" s="638" t="s">
        <v>912</v>
      </c>
      <c r="I7" s="637"/>
    </row>
    <row r="8" spans="1:9" ht="15" thickBot="1" x14ac:dyDescent="0.35">
      <c r="A8" s="636" t="s">
        <v>911</v>
      </c>
      <c r="B8" s="635">
        <v>400</v>
      </c>
      <c r="C8" s="634">
        <v>5</v>
      </c>
      <c r="D8" s="634">
        <v>7</v>
      </c>
      <c r="E8" s="595" t="s">
        <v>447</v>
      </c>
      <c r="I8" s="633"/>
    </row>
    <row r="9" spans="1:9" ht="18.600000000000001" customHeight="1" x14ac:dyDescent="0.3"/>
    <row r="10" spans="1:9" x14ac:dyDescent="0.3">
      <c r="A10" s="623" t="s">
        <v>910</v>
      </c>
    </row>
    <row r="11" spans="1:9" ht="17.7" customHeight="1" x14ac:dyDescent="0.3"/>
    <row r="13" spans="1:9" ht="15" thickBot="1" x14ac:dyDescent="0.35"/>
    <row r="14" spans="1:9" ht="15" thickBot="1" x14ac:dyDescent="0.35">
      <c r="A14" s="627" t="s">
        <v>909</v>
      </c>
      <c r="B14" s="891" t="s">
        <v>908</v>
      </c>
      <c r="C14" s="892"/>
      <c r="D14" s="893" t="s">
        <v>907</v>
      </c>
      <c r="E14" s="893"/>
      <c r="F14" s="894" t="s">
        <v>114</v>
      </c>
      <c r="G14" s="895"/>
    </row>
    <row r="15" spans="1:9" x14ac:dyDescent="0.3">
      <c r="A15" s="632" t="str">
        <f>C5</f>
        <v>Skrog 1</v>
      </c>
      <c r="B15" s="896">
        <v>120</v>
      </c>
      <c r="C15" s="897"/>
      <c r="D15" s="896">
        <v>120</v>
      </c>
      <c r="E15" s="897"/>
      <c r="F15" s="898">
        <v>120</v>
      </c>
      <c r="G15" s="897"/>
    </row>
    <row r="16" spans="1:9" ht="15" thickBot="1" x14ac:dyDescent="0.35">
      <c r="A16" s="631" t="str">
        <f>D5</f>
        <v>Skrog 2</v>
      </c>
      <c r="B16" s="899">
        <v>170</v>
      </c>
      <c r="C16" s="900"/>
      <c r="D16" s="899">
        <v>170</v>
      </c>
      <c r="E16" s="900"/>
      <c r="F16" s="901">
        <v>170</v>
      </c>
      <c r="G16" s="900"/>
    </row>
    <row r="17" spans="1:10" ht="15" thickBot="1" x14ac:dyDescent="0.35"/>
    <row r="18" spans="1:10" ht="16.8" thickBot="1" x14ac:dyDescent="0.35">
      <c r="A18" s="630" t="s">
        <v>906</v>
      </c>
      <c r="B18" s="603"/>
      <c r="C18" s="894" t="s">
        <v>905</v>
      </c>
      <c r="D18" s="895"/>
      <c r="E18" s="894" t="s">
        <v>904</v>
      </c>
      <c r="F18" s="902"/>
      <c r="G18" s="895"/>
    </row>
    <row r="19" spans="1:10" ht="15" thickBot="1" x14ac:dyDescent="0.35">
      <c r="A19" s="629" t="s">
        <v>889</v>
      </c>
      <c r="B19" s="628"/>
      <c r="C19" s="904">
        <v>1050</v>
      </c>
      <c r="D19" s="905"/>
      <c r="E19" s="906">
        <v>1332000</v>
      </c>
      <c r="F19" s="907"/>
      <c r="G19" s="908"/>
    </row>
    <row r="20" spans="1:10" ht="15" thickBot="1" x14ac:dyDescent="0.35">
      <c r="A20" s="629" t="s">
        <v>888</v>
      </c>
      <c r="B20" s="628"/>
      <c r="C20" s="904">
        <v>935</v>
      </c>
      <c r="D20" s="905"/>
      <c r="E20" s="906">
        <v>1485000</v>
      </c>
      <c r="F20" s="907"/>
      <c r="G20" s="908"/>
    </row>
    <row r="21" spans="1:10" ht="15" thickBot="1" x14ac:dyDescent="0.35">
      <c r="A21" s="629" t="s">
        <v>90</v>
      </c>
      <c r="B21" s="628"/>
      <c r="C21" s="906">
        <v>1436</v>
      </c>
      <c r="D21" s="908"/>
      <c r="E21" s="906">
        <v>592000</v>
      </c>
      <c r="F21" s="907"/>
      <c r="G21" s="908"/>
    </row>
    <row r="25" spans="1:10" x14ac:dyDescent="0.3">
      <c r="A25" s="623" t="s">
        <v>903</v>
      </c>
    </row>
    <row r="27" spans="1:10" ht="15" thickBot="1" x14ac:dyDescent="0.35">
      <c r="A27" s="623" t="s">
        <v>902</v>
      </c>
    </row>
    <row r="28" spans="1:10" ht="15" thickBot="1" x14ac:dyDescent="0.35">
      <c r="A28" s="622" t="s">
        <v>901</v>
      </c>
      <c r="C28" s="912" t="str">
        <f>C5</f>
        <v>Skrog 1</v>
      </c>
      <c r="D28" s="913"/>
      <c r="E28" s="912" t="str">
        <f>D5</f>
        <v>Skrog 2</v>
      </c>
      <c r="F28" s="913"/>
      <c r="G28" s="903"/>
      <c r="H28" s="903"/>
      <c r="I28" s="903"/>
      <c r="J28" s="903"/>
    </row>
    <row r="29" spans="1:10" ht="15" thickBot="1" x14ac:dyDescent="0.35">
      <c r="A29" s="627"/>
      <c r="B29" s="626"/>
      <c r="C29" s="914" t="s">
        <v>900</v>
      </c>
      <c r="D29" s="915"/>
      <c r="E29" s="914" t="s">
        <v>900</v>
      </c>
      <c r="F29" s="913"/>
      <c r="G29" s="916"/>
      <c r="H29" s="903"/>
      <c r="I29" s="916"/>
      <c r="J29" s="903"/>
    </row>
    <row r="30" spans="1:10" x14ac:dyDescent="0.3">
      <c r="A30" s="625" t="s">
        <v>889</v>
      </c>
      <c r="B30" s="624"/>
      <c r="C30" s="917">
        <f>B6*C6</f>
        <v>3600</v>
      </c>
      <c r="D30" s="918"/>
      <c r="E30" s="917">
        <f>B6*D6</f>
        <v>7200</v>
      </c>
      <c r="F30" s="918"/>
      <c r="G30" s="911"/>
      <c r="H30" s="911"/>
      <c r="I30" s="911"/>
      <c r="J30" s="911"/>
    </row>
    <row r="31" spans="1:10" x14ac:dyDescent="0.3">
      <c r="A31" s="625" t="s">
        <v>888</v>
      </c>
      <c r="B31" s="624"/>
      <c r="C31" s="909">
        <f>B7*C7</f>
        <v>3300</v>
      </c>
      <c r="D31" s="910"/>
      <c r="E31" s="909">
        <f>B7*D7</f>
        <v>6600</v>
      </c>
      <c r="F31" s="910"/>
      <c r="G31" s="911"/>
      <c r="H31" s="911"/>
      <c r="I31" s="911"/>
      <c r="J31" s="911"/>
    </row>
    <row r="32" spans="1:10" x14ac:dyDescent="0.3">
      <c r="A32" s="625" t="s">
        <v>90</v>
      </c>
      <c r="B32" s="624"/>
      <c r="C32" s="909">
        <f>B8*C8</f>
        <v>2000</v>
      </c>
      <c r="D32" s="910"/>
      <c r="E32" s="909">
        <f>B8*D8</f>
        <v>2800</v>
      </c>
      <c r="F32" s="910"/>
      <c r="G32" s="911"/>
      <c r="H32" s="911"/>
      <c r="I32" s="911"/>
      <c r="J32" s="911"/>
    </row>
    <row r="36" spans="1:10" x14ac:dyDescent="0.3">
      <c r="A36" s="622" t="s">
        <v>899</v>
      </c>
      <c r="C36" s="586" t="s">
        <v>515</v>
      </c>
    </row>
    <row r="37" spans="1:10" x14ac:dyDescent="0.3">
      <c r="A37" s="577" t="s">
        <v>893</v>
      </c>
      <c r="B37" s="576">
        <f>B15</f>
        <v>120</v>
      </c>
      <c r="C37" s="576">
        <f>C6*B37</f>
        <v>360</v>
      </c>
      <c r="D37" s="576" t="str">
        <f>C28</f>
        <v>Skrog 1</v>
      </c>
    </row>
    <row r="38" spans="1:10" x14ac:dyDescent="0.3">
      <c r="A38" s="577" t="s">
        <v>893</v>
      </c>
      <c r="B38" s="576">
        <f>B16</f>
        <v>170</v>
      </c>
      <c r="C38" s="576">
        <f>D6*B38</f>
        <v>1020</v>
      </c>
      <c r="D38" s="576" t="str">
        <f>E28</f>
        <v>Skrog 2</v>
      </c>
    </row>
    <row r="39" spans="1:10" x14ac:dyDescent="0.3">
      <c r="A39" s="576" t="s">
        <v>899</v>
      </c>
      <c r="C39" s="623">
        <f>C37+C38</f>
        <v>1380</v>
      </c>
    </row>
    <row r="41" spans="1:10" ht="15" thickBot="1" x14ac:dyDescent="0.35"/>
    <row r="42" spans="1:10" x14ac:dyDescent="0.3">
      <c r="A42" s="585" t="s">
        <v>81</v>
      </c>
      <c r="B42" s="884" t="s">
        <v>679</v>
      </c>
      <c r="C42" s="885"/>
      <c r="D42" s="886" t="s">
        <v>755</v>
      </c>
      <c r="E42" s="885"/>
      <c r="F42" s="886" t="s">
        <v>734</v>
      </c>
      <c r="G42" s="885"/>
      <c r="H42" s="584" t="s">
        <v>141</v>
      </c>
      <c r="I42" s="584" t="s">
        <v>140</v>
      </c>
      <c r="J42" s="583" t="s">
        <v>733</v>
      </c>
    </row>
    <row r="43" spans="1:10" ht="15" thickBot="1" x14ac:dyDescent="0.35">
      <c r="A43" s="587" t="s">
        <v>898</v>
      </c>
      <c r="B43" s="889" t="s">
        <v>754</v>
      </c>
      <c r="C43" s="888"/>
      <c r="D43" s="889" t="s">
        <v>753</v>
      </c>
      <c r="E43" s="888"/>
      <c r="F43" s="887"/>
      <c r="G43" s="888"/>
      <c r="H43" s="581" t="s">
        <v>261</v>
      </c>
      <c r="I43" s="581" t="s">
        <v>262</v>
      </c>
      <c r="J43" s="581" t="s">
        <v>729</v>
      </c>
    </row>
    <row r="44" spans="1:10" ht="15" thickBot="1" x14ac:dyDescent="0.35">
      <c r="A44" s="595"/>
      <c r="B44" s="882">
        <f>C39*B6</f>
        <v>1656000</v>
      </c>
      <c r="C44" s="883"/>
      <c r="D44" s="882">
        <f>C19*B6</f>
        <v>1260000</v>
      </c>
      <c r="E44" s="883"/>
      <c r="F44" s="882">
        <f>E19</f>
        <v>1332000</v>
      </c>
      <c r="G44" s="919"/>
      <c r="H44" s="579">
        <f>B44-D44</f>
        <v>396000</v>
      </c>
      <c r="I44" s="579">
        <f>D44-F44</f>
        <v>-72000</v>
      </c>
      <c r="J44" s="578">
        <f>B44-F44</f>
        <v>324000</v>
      </c>
    </row>
    <row r="46" spans="1:10" x14ac:dyDescent="0.3">
      <c r="A46" s="622" t="s">
        <v>897</v>
      </c>
      <c r="C46" s="586" t="s">
        <v>515</v>
      </c>
    </row>
    <row r="47" spans="1:10" x14ac:dyDescent="0.3">
      <c r="A47" s="577" t="s">
        <v>893</v>
      </c>
      <c r="B47" s="576">
        <v>120</v>
      </c>
      <c r="C47" s="576">
        <f>B47*C7</f>
        <v>240</v>
      </c>
      <c r="D47" s="576" t="str">
        <f>C28</f>
        <v>Skrog 1</v>
      </c>
    </row>
    <row r="48" spans="1:10" x14ac:dyDescent="0.3">
      <c r="A48" s="577" t="s">
        <v>893</v>
      </c>
      <c r="B48" s="576">
        <f>D16</f>
        <v>170</v>
      </c>
      <c r="C48" s="576">
        <f>B48*D7</f>
        <v>680</v>
      </c>
      <c r="D48" s="576" t="str">
        <f>E28</f>
        <v>Skrog 2</v>
      </c>
    </row>
    <row r="49" spans="1:10" x14ac:dyDescent="0.3">
      <c r="A49" s="577" t="s">
        <v>897</v>
      </c>
      <c r="C49" s="623">
        <f>SUM(C47:C48)</f>
        <v>920</v>
      </c>
    </row>
    <row r="51" spans="1:10" ht="15" thickBot="1" x14ac:dyDescent="0.35"/>
    <row r="52" spans="1:10" x14ac:dyDescent="0.3">
      <c r="A52" s="585" t="s">
        <v>81</v>
      </c>
      <c r="B52" s="884" t="s">
        <v>679</v>
      </c>
      <c r="C52" s="885"/>
      <c r="D52" s="886" t="s">
        <v>735</v>
      </c>
      <c r="E52" s="885"/>
      <c r="F52" s="886" t="s">
        <v>734</v>
      </c>
      <c r="G52" s="885"/>
      <c r="H52" s="584" t="s">
        <v>141</v>
      </c>
      <c r="I52" s="584" t="s">
        <v>140</v>
      </c>
      <c r="J52" s="583" t="s">
        <v>733</v>
      </c>
    </row>
    <row r="53" spans="1:10" ht="15" thickBot="1" x14ac:dyDescent="0.35">
      <c r="A53" s="587" t="s">
        <v>896</v>
      </c>
      <c r="B53" s="889" t="s">
        <v>895</v>
      </c>
      <c r="C53" s="888"/>
      <c r="D53" s="889" t="s">
        <v>894</v>
      </c>
      <c r="E53" s="888"/>
      <c r="F53" s="889" t="s">
        <v>770</v>
      </c>
      <c r="G53" s="888"/>
      <c r="H53" s="581" t="s">
        <v>261</v>
      </c>
      <c r="I53" s="581" t="s">
        <v>262</v>
      </c>
      <c r="J53" s="581" t="s">
        <v>729</v>
      </c>
    </row>
    <row r="54" spans="1:10" ht="15" thickBot="1" x14ac:dyDescent="0.35">
      <c r="A54" s="595"/>
      <c r="B54" s="882">
        <f>C49*B7</f>
        <v>1518000</v>
      </c>
      <c r="C54" s="883"/>
      <c r="D54" s="882">
        <f>C20*B7</f>
        <v>1542750</v>
      </c>
      <c r="E54" s="883"/>
      <c r="F54" s="882">
        <f>E20</f>
        <v>1485000</v>
      </c>
      <c r="G54" s="883"/>
      <c r="H54" s="579">
        <f>B54-D54</f>
        <v>-24750</v>
      </c>
      <c r="I54" s="579">
        <f>D54-F54</f>
        <v>57750</v>
      </c>
      <c r="J54" s="578">
        <f>B54-F54</f>
        <v>33000</v>
      </c>
    </row>
    <row r="56" spans="1:10" x14ac:dyDescent="0.3">
      <c r="A56" s="622" t="s">
        <v>892</v>
      </c>
      <c r="C56" s="586" t="s">
        <v>512</v>
      </c>
    </row>
    <row r="57" spans="1:10" x14ac:dyDescent="0.3">
      <c r="A57" s="577" t="s">
        <v>893</v>
      </c>
      <c r="B57" s="576">
        <f>B47</f>
        <v>120</v>
      </c>
      <c r="C57" s="576">
        <f>B57*C8</f>
        <v>600</v>
      </c>
      <c r="D57" s="576" t="str">
        <f>C28</f>
        <v>Skrog 1</v>
      </c>
    </row>
    <row r="58" spans="1:10" x14ac:dyDescent="0.3">
      <c r="A58" s="577" t="s">
        <v>893</v>
      </c>
      <c r="B58" s="576">
        <f>B48</f>
        <v>170</v>
      </c>
      <c r="C58" s="576">
        <f>B58*D8</f>
        <v>1190</v>
      </c>
      <c r="D58" s="576" t="str">
        <f>E28</f>
        <v>Skrog 2</v>
      </c>
    </row>
    <row r="59" spans="1:10" x14ac:dyDescent="0.3">
      <c r="A59" s="576" t="s">
        <v>884</v>
      </c>
      <c r="B59" s="576">
        <f>B15-D15</f>
        <v>0</v>
      </c>
      <c r="C59" s="576">
        <f>B59*I8*C8</f>
        <v>0</v>
      </c>
    </row>
    <row r="60" spans="1:10" x14ac:dyDescent="0.3">
      <c r="A60" s="576" t="s">
        <v>892</v>
      </c>
      <c r="C60" s="623">
        <f>SUM(C57:C59)</f>
        <v>1790</v>
      </c>
    </row>
    <row r="62" spans="1:10" ht="15" thickBot="1" x14ac:dyDescent="0.35">
      <c r="A62" s="577"/>
    </row>
    <row r="63" spans="1:10" x14ac:dyDescent="0.3">
      <c r="A63" s="585" t="s">
        <v>736</v>
      </c>
      <c r="B63" s="884" t="s">
        <v>679</v>
      </c>
      <c r="C63" s="885"/>
      <c r="D63" s="886" t="s">
        <v>735</v>
      </c>
      <c r="E63" s="885"/>
      <c r="F63" s="886" t="s">
        <v>734</v>
      </c>
      <c r="G63" s="885"/>
      <c r="H63" s="584" t="s">
        <v>79</v>
      </c>
      <c r="I63" s="584" t="s">
        <v>78</v>
      </c>
      <c r="J63" s="583" t="s">
        <v>733</v>
      </c>
    </row>
    <row r="64" spans="1:10" ht="15" thickBot="1" x14ac:dyDescent="0.35">
      <c r="A64" s="587"/>
      <c r="B64" s="887" t="s">
        <v>732</v>
      </c>
      <c r="C64" s="888"/>
      <c r="D64" s="889" t="s">
        <v>731</v>
      </c>
      <c r="E64" s="890"/>
      <c r="F64" s="889" t="s">
        <v>730</v>
      </c>
      <c r="G64" s="888"/>
      <c r="H64" s="581" t="s">
        <v>261</v>
      </c>
      <c r="I64" s="581" t="s">
        <v>262</v>
      </c>
      <c r="J64" s="581" t="s">
        <v>729</v>
      </c>
    </row>
    <row r="65" spans="1:10" ht="15" thickBot="1" x14ac:dyDescent="0.35">
      <c r="A65" s="595"/>
      <c r="B65" s="882">
        <f>C60*B8</f>
        <v>716000</v>
      </c>
      <c r="C65" s="883"/>
      <c r="D65" s="882">
        <f>C21*B8</f>
        <v>574400</v>
      </c>
      <c r="E65" s="883"/>
      <c r="F65" s="882">
        <f>E21</f>
        <v>592000</v>
      </c>
      <c r="G65" s="883"/>
      <c r="H65" s="579">
        <f>B65-D65</f>
        <v>141600</v>
      </c>
      <c r="I65" s="579">
        <f>D65-F65</f>
        <v>-17600</v>
      </c>
      <c r="J65" s="578">
        <f>B65-F65</f>
        <v>124000</v>
      </c>
    </row>
    <row r="68" spans="1:10" x14ac:dyDescent="0.3">
      <c r="A68" s="622"/>
      <c r="B68" s="911"/>
      <c r="C68" s="911"/>
      <c r="D68" s="920"/>
      <c r="E68" s="911"/>
      <c r="F68" s="920"/>
      <c r="G68" s="911"/>
      <c r="H68" s="621"/>
      <c r="I68" s="621"/>
      <c r="J68" s="620"/>
    </row>
  </sheetData>
  <mergeCells count="67">
    <mergeCell ref="F65:G65"/>
    <mergeCell ref="B68:C68"/>
    <mergeCell ref="D68:E68"/>
    <mergeCell ref="F68:G68"/>
    <mergeCell ref="B64:C64"/>
    <mergeCell ref="D64:E64"/>
    <mergeCell ref="F64:G64"/>
    <mergeCell ref="B65:C65"/>
    <mergeCell ref="D65:E65"/>
    <mergeCell ref="B63:C63"/>
    <mergeCell ref="D63:E63"/>
    <mergeCell ref="F63:G63"/>
    <mergeCell ref="B52:C52"/>
    <mergeCell ref="D52:E52"/>
    <mergeCell ref="F52:G52"/>
    <mergeCell ref="B53:C53"/>
    <mergeCell ref="D53:E53"/>
    <mergeCell ref="F53:G53"/>
    <mergeCell ref="B44:C44"/>
    <mergeCell ref="D44:E44"/>
    <mergeCell ref="F44:G44"/>
    <mergeCell ref="B54:C54"/>
    <mergeCell ref="D54:E54"/>
    <mergeCell ref="F54:G54"/>
    <mergeCell ref="B42:C42"/>
    <mergeCell ref="D42:E42"/>
    <mergeCell ref="F42:G42"/>
    <mergeCell ref="B43:C43"/>
    <mergeCell ref="D43:E43"/>
    <mergeCell ref="F43:G43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I31:J31"/>
    <mergeCell ref="I30:J30"/>
    <mergeCell ref="I28:J28"/>
    <mergeCell ref="C19:D19"/>
    <mergeCell ref="E19:G19"/>
    <mergeCell ref="C31:D31"/>
    <mergeCell ref="E31:F31"/>
    <mergeCell ref="G31:H31"/>
    <mergeCell ref="C20:D20"/>
    <mergeCell ref="E20:G20"/>
    <mergeCell ref="C21:D21"/>
    <mergeCell ref="E21:G21"/>
    <mergeCell ref="G30:H30"/>
    <mergeCell ref="C28:D28"/>
    <mergeCell ref="E28:F28"/>
    <mergeCell ref="G28:H28"/>
    <mergeCell ref="B16:C16"/>
    <mergeCell ref="D16:E16"/>
    <mergeCell ref="F16:G16"/>
    <mergeCell ref="C18:D18"/>
    <mergeCell ref="E18:G18"/>
    <mergeCell ref="B14:C14"/>
    <mergeCell ref="D14:E14"/>
    <mergeCell ref="F14:G14"/>
    <mergeCell ref="B15:C15"/>
    <mergeCell ref="D15:E15"/>
    <mergeCell ref="F15:G1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3"/>
  <sheetViews>
    <sheetView workbookViewId="0">
      <selection activeCell="E11" sqref="E11"/>
    </sheetView>
  </sheetViews>
  <sheetFormatPr baseColWidth="10" defaultColWidth="11.33203125" defaultRowHeight="14.4" x14ac:dyDescent="0.3"/>
  <cols>
    <col min="1" max="1" width="23" style="576" customWidth="1"/>
    <col min="2" max="2" width="18" style="576" customWidth="1"/>
    <col min="3" max="3" width="20.6640625" style="576" customWidth="1"/>
    <col min="4" max="4" width="21.88671875" style="576" customWidth="1"/>
    <col min="5" max="5" width="15.88671875" style="576" customWidth="1"/>
    <col min="6" max="6" width="14.88671875" style="576" customWidth="1"/>
    <col min="7" max="16384" width="11.33203125" style="576"/>
  </cols>
  <sheetData>
    <row r="1" spans="1:4" x14ac:dyDescent="0.3">
      <c r="A1" s="596" t="s">
        <v>930</v>
      </c>
    </row>
    <row r="2" spans="1:4" x14ac:dyDescent="0.3">
      <c r="A2" s="576" t="s">
        <v>763</v>
      </c>
    </row>
    <row r="3" spans="1:4" x14ac:dyDescent="0.3">
      <c r="B3" s="586" t="s">
        <v>929</v>
      </c>
      <c r="C3" s="586" t="s">
        <v>928</v>
      </c>
      <c r="D3" s="586" t="s">
        <v>794</v>
      </c>
    </row>
    <row r="4" spans="1:4" x14ac:dyDescent="0.3">
      <c r="A4" s="577" t="s">
        <v>821</v>
      </c>
      <c r="B4" s="723">
        <v>2</v>
      </c>
      <c r="C4" s="723">
        <v>50</v>
      </c>
      <c r="D4" s="576">
        <f>B4*C4</f>
        <v>100</v>
      </c>
    </row>
    <row r="5" spans="1:4" x14ac:dyDescent="0.3">
      <c r="A5" s="576" t="s">
        <v>90</v>
      </c>
      <c r="B5" s="723">
        <v>3</v>
      </c>
      <c r="C5" s="723">
        <v>300</v>
      </c>
      <c r="D5" s="576">
        <f>B5*C5</f>
        <v>900</v>
      </c>
    </row>
    <row r="6" spans="1:4" x14ac:dyDescent="0.3">
      <c r="A6" s="576" t="s">
        <v>927</v>
      </c>
      <c r="B6" s="723">
        <f>B5</f>
        <v>3</v>
      </c>
      <c r="C6" s="723">
        <v>30</v>
      </c>
      <c r="D6" s="576">
        <f>B6*C6</f>
        <v>90</v>
      </c>
    </row>
    <row r="7" spans="1:4" x14ac:dyDescent="0.3">
      <c r="A7" s="577" t="s">
        <v>926</v>
      </c>
      <c r="B7" s="723">
        <f>B6</f>
        <v>3</v>
      </c>
      <c r="C7" s="723">
        <v>20</v>
      </c>
      <c r="D7" s="576">
        <f>B7*C7</f>
        <v>60</v>
      </c>
    </row>
    <row r="8" spans="1:4" x14ac:dyDescent="0.3">
      <c r="A8" s="576" t="s">
        <v>93</v>
      </c>
      <c r="D8" s="576">
        <f>SUM(D4:D7)</f>
        <v>1150</v>
      </c>
    </row>
    <row r="9" spans="1:4" ht="15" thickBot="1" x14ac:dyDescent="0.35">
      <c r="A9" s="597" t="s">
        <v>818</v>
      </c>
      <c r="B9" s="724">
        <v>1</v>
      </c>
      <c r="C9" s="724">
        <v>100</v>
      </c>
      <c r="D9" s="597">
        <f>B9*C9</f>
        <v>100</v>
      </c>
    </row>
    <row r="10" spans="1:4" ht="15" thickBot="1" x14ac:dyDescent="0.35">
      <c r="A10" s="603" t="s">
        <v>95</v>
      </c>
      <c r="B10" s="597"/>
      <c r="C10" s="597"/>
      <c r="D10" s="603">
        <f>SUM(D8:D9)</f>
        <v>1250</v>
      </c>
    </row>
    <row r="11" spans="1:4" x14ac:dyDescent="0.3">
      <c r="A11" s="576" t="s">
        <v>817</v>
      </c>
      <c r="C11" s="725">
        <v>3100</v>
      </c>
    </row>
    <row r="12" spans="1:4" x14ac:dyDescent="0.3">
      <c r="A12" s="576" t="s">
        <v>473</v>
      </c>
      <c r="C12" s="725">
        <v>1400</v>
      </c>
    </row>
    <row r="14" spans="1:4" x14ac:dyDescent="0.3">
      <c r="A14" s="576" t="s">
        <v>816</v>
      </c>
      <c r="C14" s="576">
        <f>C11*B4</f>
        <v>6200</v>
      </c>
    </row>
    <row r="15" spans="1:4" x14ac:dyDescent="0.3">
      <c r="A15" s="576" t="s">
        <v>815</v>
      </c>
      <c r="C15" s="576">
        <f>C11*B5</f>
        <v>9300</v>
      </c>
    </row>
    <row r="20" spans="1:4" ht="15" thickBot="1" x14ac:dyDescent="0.35"/>
    <row r="21" spans="1:4" ht="15" thickBot="1" x14ac:dyDescent="0.35">
      <c r="A21" s="576" t="s">
        <v>751</v>
      </c>
      <c r="B21" s="921" t="s">
        <v>173</v>
      </c>
      <c r="C21" s="922"/>
      <c r="D21" s="919"/>
    </row>
    <row r="22" spans="1:4" ht="15" thickBot="1" x14ac:dyDescent="0.35">
      <c r="B22" s="656" t="s">
        <v>175</v>
      </c>
      <c r="C22" s="655" t="s">
        <v>176</v>
      </c>
      <c r="D22" s="654" t="s">
        <v>145</v>
      </c>
    </row>
    <row r="23" spans="1:4" x14ac:dyDescent="0.3">
      <c r="A23" s="576" t="s">
        <v>96</v>
      </c>
      <c r="B23" s="653">
        <f>C11</f>
        <v>3100</v>
      </c>
      <c r="C23" s="653">
        <f>C12</f>
        <v>1400</v>
      </c>
      <c r="D23" s="649">
        <f>C23*B23</f>
        <v>4340000</v>
      </c>
    </row>
    <row r="24" spans="1:4" x14ac:dyDescent="0.3">
      <c r="B24" s="651"/>
      <c r="C24" s="651"/>
      <c r="D24" s="648"/>
    </row>
    <row r="25" spans="1:4" x14ac:dyDescent="0.3">
      <c r="A25" s="576" t="s">
        <v>88</v>
      </c>
      <c r="B25" s="651">
        <f>C14</f>
        <v>6200</v>
      </c>
      <c r="C25" s="651">
        <f>C4</f>
        <v>50</v>
      </c>
      <c r="D25" s="648">
        <f>C25*B25</f>
        <v>310000</v>
      </c>
    </row>
    <row r="26" spans="1:4" x14ac:dyDescent="0.3">
      <c r="A26" s="576" t="s">
        <v>925</v>
      </c>
      <c r="B26" s="651">
        <f>C15</f>
        <v>9300</v>
      </c>
      <c r="C26" s="651">
        <f>C5</f>
        <v>300</v>
      </c>
      <c r="D26" s="648">
        <f>C26*B26</f>
        <v>2790000</v>
      </c>
    </row>
    <row r="27" spans="1:4" x14ac:dyDescent="0.3">
      <c r="A27" s="642" t="s">
        <v>924</v>
      </c>
      <c r="B27" s="651"/>
      <c r="C27" s="651"/>
      <c r="D27" s="648"/>
    </row>
    <row r="28" spans="1:4" x14ac:dyDescent="0.3">
      <c r="A28" s="576" t="s">
        <v>397</v>
      </c>
      <c r="B28" s="651">
        <f>C15</f>
        <v>9300</v>
      </c>
      <c r="C28" s="651">
        <f>C6</f>
        <v>30</v>
      </c>
      <c r="D28" s="648">
        <f>C28*B28</f>
        <v>279000</v>
      </c>
    </row>
    <row r="29" spans="1:4" ht="15" thickBot="1" x14ac:dyDescent="0.35">
      <c r="A29" s="652" t="s">
        <v>396</v>
      </c>
      <c r="B29" s="650">
        <f>B26</f>
        <v>9300</v>
      </c>
      <c r="C29" s="650">
        <f>C7</f>
        <v>20</v>
      </c>
      <c r="D29" s="645">
        <f>C29*B29</f>
        <v>186000</v>
      </c>
    </row>
    <row r="30" spans="1:4" x14ac:dyDescent="0.3">
      <c r="A30" s="576" t="s">
        <v>381</v>
      </c>
      <c r="B30" s="651"/>
      <c r="C30" s="651"/>
      <c r="D30" s="648">
        <f>SUM(D25:D29)</f>
        <v>3565000</v>
      </c>
    </row>
    <row r="31" spans="1:4" ht="15" thickBot="1" x14ac:dyDescent="0.35">
      <c r="A31" s="597" t="s">
        <v>884</v>
      </c>
      <c r="B31" s="650"/>
      <c r="C31" s="650"/>
      <c r="D31" s="645">
        <v>0</v>
      </c>
    </row>
    <row r="32" spans="1:4" x14ac:dyDescent="0.3">
      <c r="A32" s="576" t="s">
        <v>923</v>
      </c>
      <c r="B32" s="651"/>
      <c r="C32" s="651"/>
      <c r="D32" s="648"/>
    </row>
    <row r="33" spans="1:6" x14ac:dyDescent="0.3">
      <c r="A33" s="576" t="s">
        <v>922</v>
      </c>
      <c r="B33" s="651"/>
      <c r="C33" s="651"/>
      <c r="D33" s="648">
        <f>D30</f>
        <v>3565000</v>
      </c>
    </row>
    <row r="34" spans="1:6" ht="15" thickBot="1" x14ac:dyDescent="0.35">
      <c r="A34" s="597" t="s">
        <v>882</v>
      </c>
      <c r="B34" s="650"/>
      <c r="C34" s="645"/>
      <c r="D34" s="645">
        <v>0</v>
      </c>
      <c r="E34" s="577"/>
      <c r="F34" s="577"/>
    </row>
    <row r="35" spans="1:6" x14ac:dyDescent="0.3">
      <c r="A35" s="649"/>
      <c r="B35" s="649"/>
      <c r="C35" s="648"/>
      <c r="D35" s="576">
        <f>D33</f>
        <v>3565000</v>
      </c>
      <c r="E35" s="598"/>
      <c r="F35" s="598"/>
    </row>
    <row r="36" spans="1:6" ht="15" thickBot="1" x14ac:dyDescent="0.35">
      <c r="A36" s="647" t="s">
        <v>921</v>
      </c>
      <c r="B36" s="646">
        <f>B23</f>
        <v>3100</v>
      </c>
      <c r="C36" s="645">
        <f>C9</f>
        <v>100</v>
      </c>
      <c r="D36" s="597">
        <f>C36*B36</f>
        <v>310000</v>
      </c>
    </row>
    <row r="37" spans="1:6" ht="15" thickBot="1" x14ac:dyDescent="0.35">
      <c r="A37" s="644" t="s">
        <v>384</v>
      </c>
      <c r="B37" s="644"/>
      <c r="C37" s="644"/>
      <c r="D37" s="603">
        <f>SUM(D35:D36)</f>
        <v>3875000</v>
      </c>
    </row>
    <row r="38" spans="1:6" ht="15" thickBot="1" x14ac:dyDescent="0.35">
      <c r="A38" s="643" t="s">
        <v>385</v>
      </c>
      <c r="B38" s="643"/>
      <c r="C38" s="643"/>
      <c r="D38" s="600">
        <f>D23-D37</f>
        <v>465000</v>
      </c>
    </row>
    <row r="39" spans="1:6" ht="15" thickTop="1" x14ac:dyDescent="0.3"/>
    <row r="42" spans="1:6" x14ac:dyDescent="0.3">
      <c r="E42" s="577"/>
      <c r="F42" s="577"/>
    </row>
    <row r="43" spans="1:6" x14ac:dyDescent="0.3">
      <c r="E43" s="598"/>
      <c r="F43" s="598"/>
    </row>
    <row r="75" spans="1:4" x14ac:dyDescent="0.3">
      <c r="A75" s="577"/>
    </row>
    <row r="79" spans="1:4" x14ac:dyDescent="0.3">
      <c r="B79" s="911"/>
      <c r="C79" s="911"/>
      <c r="D79" s="911"/>
    </row>
    <row r="80" spans="1:4" x14ac:dyDescent="0.3">
      <c r="B80" s="621"/>
      <c r="C80" s="621"/>
      <c r="D80" s="621"/>
    </row>
    <row r="81" spans="1:3" x14ac:dyDescent="0.3">
      <c r="B81" s="598"/>
      <c r="C81" s="598"/>
    </row>
    <row r="85" spans="1:3" x14ac:dyDescent="0.3">
      <c r="A85" s="642"/>
    </row>
    <row r="93" spans="1:3" x14ac:dyDescent="0.3">
      <c r="A93" s="577"/>
      <c r="B93" s="598"/>
    </row>
  </sheetData>
  <mergeCells count="2">
    <mergeCell ref="B21:D21"/>
    <mergeCell ref="B79:D7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5"/>
  <sheetViews>
    <sheetView topLeftCell="A41" zoomScale="90" zoomScaleNormal="90" workbookViewId="0">
      <selection activeCell="J50" sqref="J50"/>
    </sheetView>
  </sheetViews>
  <sheetFormatPr baseColWidth="10" defaultColWidth="11.33203125" defaultRowHeight="14.4" x14ac:dyDescent="0.3"/>
  <cols>
    <col min="1" max="1" width="23" style="576" customWidth="1"/>
    <col min="2" max="2" width="18" style="576" customWidth="1"/>
    <col min="3" max="3" width="20.6640625" style="576" customWidth="1"/>
    <col min="4" max="4" width="21.88671875" style="576" customWidth="1"/>
    <col min="5" max="5" width="15.88671875" style="576" customWidth="1"/>
    <col min="6" max="6" width="14.88671875" style="576" customWidth="1"/>
    <col min="7" max="16384" width="11.33203125" style="576"/>
  </cols>
  <sheetData>
    <row r="1" spans="1:4" x14ac:dyDescent="0.3">
      <c r="A1" s="596" t="s">
        <v>938</v>
      </c>
    </row>
    <row r="2" spans="1:4" x14ac:dyDescent="0.3">
      <c r="A2" s="576" t="s">
        <v>763</v>
      </c>
    </row>
    <row r="3" spans="1:4" x14ac:dyDescent="0.3">
      <c r="B3" s="586" t="s">
        <v>929</v>
      </c>
      <c r="C3" s="586" t="s">
        <v>928</v>
      </c>
      <c r="D3" s="586" t="s">
        <v>794</v>
      </c>
    </row>
    <row r="4" spans="1:4" x14ac:dyDescent="0.3">
      <c r="A4" s="577" t="s">
        <v>821</v>
      </c>
      <c r="B4" s="711">
        <v>60</v>
      </c>
      <c r="C4" s="711">
        <v>12</v>
      </c>
      <c r="D4" s="598">
        <f>B4*C4</f>
        <v>720</v>
      </c>
    </row>
    <row r="5" spans="1:4" x14ac:dyDescent="0.3">
      <c r="A5" s="576" t="s">
        <v>90</v>
      </c>
      <c r="B5" s="711">
        <v>4</v>
      </c>
      <c r="C5" s="711">
        <v>240</v>
      </c>
      <c r="D5" s="598">
        <f>B5*C5</f>
        <v>960</v>
      </c>
    </row>
    <row r="6" spans="1:4" x14ac:dyDescent="0.3">
      <c r="A6" s="719" t="s">
        <v>937</v>
      </c>
      <c r="B6" s="712">
        <v>4</v>
      </c>
      <c r="C6" s="712">
        <v>360</v>
      </c>
      <c r="D6" s="715">
        <f>B6*C6</f>
        <v>1440</v>
      </c>
    </row>
    <row r="7" spans="1:4" x14ac:dyDescent="0.3">
      <c r="A7" s="576" t="s">
        <v>93</v>
      </c>
      <c r="B7" s="709"/>
      <c r="C7" s="709"/>
      <c r="D7" s="598">
        <f>SUM(D4:D6)</f>
        <v>3120</v>
      </c>
    </row>
    <row r="8" spans="1:4" ht="15" thickBot="1" x14ac:dyDescent="0.35">
      <c r="A8" s="597" t="s">
        <v>818</v>
      </c>
      <c r="B8" s="713">
        <v>1</v>
      </c>
      <c r="C8" s="713">
        <v>1000</v>
      </c>
      <c r="D8" s="601">
        <f>B8*C8</f>
        <v>1000</v>
      </c>
    </row>
    <row r="9" spans="1:4" ht="15" thickBot="1" x14ac:dyDescent="0.35">
      <c r="A9" s="603" t="s">
        <v>95</v>
      </c>
      <c r="B9" s="597"/>
      <c r="C9" s="597"/>
      <c r="D9" s="657">
        <f>SUM(D7:D8)</f>
        <v>4120</v>
      </c>
    </row>
    <row r="11" spans="1:4" x14ac:dyDescent="0.3">
      <c r="A11" s="576" t="s">
        <v>817</v>
      </c>
      <c r="C11" s="714">
        <v>270</v>
      </c>
    </row>
    <row r="12" spans="1:4" x14ac:dyDescent="0.3">
      <c r="A12" s="576" t="s">
        <v>473</v>
      </c>
      <c r="C12" s="714">
        <v>5000</v>
      </c>
    </row>
    <row r="14" spans="1:4" x14ac:dyDescent="0.3">
      <c r="A14" s="576" t="s">
        <v>816</v>
      </c>
      <c r="C14" s="598">
        <f>C11*B4</f>
        <v>16200</v>
      </c>
    </row>
    <row r="15" spans="1:4" x14ac:dyDescent="0.3">
      <c r="A15" s="576" t="s">
        <v>815</v>
      </c>
      <c r="C15" s="598">
        <f>C11*B5</f>
        <v>1080</v>
      </c>
    </row>
    <row r="21" spans="1:4" x14ac:dyDescent="0.3">
      <c r="A21" s="576" t="s">
        <v>814</v>
      </c>
      <c r="C21" s="714">
        <v>182000</v>
      </c>
    </row>
    <row r="22" spans="1:4" x14ac:dyDescent="0.3">
      <c r="A22" s="576" t="s">
        <v>813</v>
      </c>
      <c r="C22" s="576">
        <f>C21/C23</f>
        <v>12.133333333333333</v>
      </c>
    </row>
    <row r="23" spans="1:4" x14ac:dyDescent="0.3">
      <c r="A23" s="576" t="s">
        <v>138</v>
      </c>
      <c r="C23" s="714">
        <v>15000</v>
      </c>
      <c r="D23" s="576" t="s">
        <v>146</v>
      </c>
    </row>
    <row r="24" spans="1:4" x14ac:dyDescent="0.3">
      <c r="A24" s="576" t="s">
        <v>812</v>
      </c>
      <c r="C24" s="714">
        <v>270000</v>
      </c>
    </row>
    <row r="25" spans="1:4" x14ac:dyDescent="0.3">
      <c r="A25" s="576" t="s">
        <v>811</v>
      </c>
      <c r="C25" s="576">
        <f>C24/C26</f>
        <v>247.70642201834863</v>
      </c>
    </row>
    <row r="26" spans="1:4" x14ac:dyDescent="0.3">
      <c r="A26" s="576" t="s">
        <v>741</v>
      </c>
      <c r="C26" s="714">
        <v>1090</v>
      </c>
      <c r="D26" s="576" t="s">
        <v>150</v>
      </c>
    </row>
    <row r="29" spans="1:4" x14ac:dyDescent="0.3">
      <c r="A29" s="576" t="s">
        <v>751</v>
      </c>
    </row>
    <row r="31" spans="1:4" x14ac:dyDescent="0.3">
      <c r="A31" s="722" t="s">
        <v>81</v>
      </c>
    </row>
    <row r="32" spans="1:4" ht="15" thickBot="1" x14ac:dyDescent="0.35">
      <c r="A32" s="709"/>
    </row>
    <row r="33" spans="1:6" x14ac:dyDescent="0.3">
      <c r="A33" s="584" t="s">
        <v>679</v>
      </c>
      <c r="B33" s="584" t="s">
        <v>735</v>
      </c>
      <c r="C33" s="583" t="s">
        <v>734</v>
      </c>
      <c r="D33" s="584" t="s">
        <v>141</v>
      </c>
      <c r="E33" s="584" t="s">
        <v>140</v>
      </c>
      <c r="F33" s="584" t="s">
        <v>733</v>
      </c>
    </row>
    <row r="34" spans="1:6" ht="15" thickBot="1" x14ac:dyDescent="0.35">
      <c r="A34" s="581" t="s">
        <v>754</v>
      </c>
      <c r="B34" s="581" t="s">
        <v>771</v>
      </c>
      <c r="C34" s="581" t="s">
        <v>770</v>
      </c>
      <c r="D34" s="721" t="s">
        <v>766</v>
      </c>
      <c r="E34" s="581" t="s">
        <v>262</v>
      </c>
      <c r="F34" s="581" t="s">
        <v>729</v>
      </c>
    </row>
    <row r="35" spans="1:6" ht="15" thickBot="1" x14ac:dyDescent="0.35">
      <c r="A35" s="590">
        <f>C14*C4</f>
        <v>194400</v>
      </c>
      <c r="B35" s="589">
        <f>C4*C23</f>
        <v>180000</v>
      </c>
      <c r="C35" s="579">
        <f>C21</f>
        <v>182000</v>
      </c>
      <c r="D35" s="579">
        <f>A35-B35</f>
        <v>14400</v>
      </c>
      <c r="E35" s="579">
        <f>B35-C35</f>
        <v>-2000</v>
      </c>
      <c r="F35" s="579">
        <f>A35-C35</f>
        <v>12400</v>
      </c>
    </row>
    <row r="39" spans="1:6" x14ac:dyDescent="0.3">
      <c r="A39" s="722" t="s">
        <v>406</v>
      </c>
    </row>
    <row r="40" spans="1:6" ht="15" thickBot="1" x14ac:dyDescent="0.35">
      <c r="A40" s="722"/>
    </row>
    <row r="41" spans="1:6" x14ac:dyDescent="0.3">
      <c r="A41" s="584" t="s">
        <v>679</v>
      </c>
      <c r="B41" s="584" t="s">
        <v>735</v>
      </c>
      <c r="C41" s="583" t="s">
        <v>734</v>
      </c>
      <c r="D41" s="584" t="s">
        <v>79</v>
      </c>
      <c r="E41" s="584" t="s">
        <v>769</v>
      </c>
      <c r="F41" s="584" t="s">
        <v>733</v>
      </c>
    </row>
    <row r="42" spans="1:6" ht="15" thickBot="1" x14ac:dyDescent="0.35">
      <c r="A42" s="581" t="s">
        <v>768</v>
      </c>
      <c r="B42" s="581" t="s">
        <v>767</v>
      </c>
      <c r="C42" s="581" t="s">
        <v>730</v>
      </c>
      <c r="D42" s="721" t="s">
        <v>766</v>
      </c>
      <c r="E42" s="581" t="s">
        <v>262</v>
      </c>
      <c r="F42" s="581" t="s">
        <v>729</v>
      </c>
    </row>
    <row r="43" spans="1:6" ht="15" thickBot="1" x14ac:dyDescent="0.35">
      <c r="A43" s="590">
        <f>C15*C5</f>
        <v>259200</v>
      </c>
      <c r="B43" s="589">
        <f>C26*C5</f>
        <v>261600</v>
      </c>
      <c r="C43" s="579">
        <f>C24</f>
        <v>270000</v>
      </c>
      <c r="D43" s="579">
        <f>A43-B43</f>
        <v>-2400</v>
      </c>
      <c r="E43" s="579">
        <f>B43-C43</f>
        <v>-8400</v>
      </c>
      <c r="F43" s="579">
        <f>A43-C43</f>
        <v>-10800</v>
      </c>
    </row>
    <row r="44" spans="1:6" ht="15" thickBot="1" x14ac:dyDescent="0.35"/>
    <row r="45" spans="1:6" ht="15" thickBot="1" x14ac:dyDescent="0.35">
      <c r="A45" s="576" t="s">
        <v>744</v>
      </c>
      <c r="B45" s="921" t="s">
        <v>173</v>
      </c>
      <c r="C45" s="922"/>
      <c r="D45" s="919"/>
    </row>
    <row r="46" spans="1:6" ht="15" thickBot="1" x14ac:dyDescent="0.35">
      <c r="A46" s="597"/>
      <c r="B46" s="656" t="s">
        <v>175</v>
      </c>
      <c r="C46" s="655" t="s">
        <v>176</v>
      </c>
      <c r="D46" s="654" t="s">
        <v>145</v>
      </c>
    </row>
    <row r="47" spans="1:6" x14ac:dyDescent="0.3">
      <c r="A47" s="576" t="s">
        <v>96</v>
      </c>
      <c r="B47" s="653">
        <f>C11</f>
        <v>270</v>
      </c>
      <c r="C47" s="653">
        <f>C12</f>
        <v>5000</v>
      </c>
      <c r="D47" s="660">
        <f>C47*B47</f>
        <v>1350000</v>
      </c>
    </row>
    <row r="48" spans="1:6" x14ac:dyDescent="0.3">
      <c r="B48" s="659"/>
      <c r="C48" s="659"/>
      <c r="D48" s="658"/>
    </row>
    <row r="49" spans="1:4" x14ac:dyDescent="0.3">
      <c r="A49" s="576" t="s">
        <v>88</v>
      </c>
      <c r="B49" s="659">
        <f>C14</f>
        <v>16200</v>
      </c>
      <c r="C49" s="659">
        <f>C4</f>
        <v>12</v>
      </c>
      <c r="D49" s="658">
        <f>C49*B49</f>
        <v>194400</v>
      </c>
    </row>
    <row r="50" spans="1:4" x14ac:dyDescent="0.3">
      <c r="A50" s="576" t="s">
        <v>925</v>
      </c>
      <c r="B50" s="659">
        <f>C15</f>
        <v>1080</v>
      </c>
      <c r="C50" s="659">
        <f>C5</f>
        <v>240</v>
      </c>
      <c r="D50" s="658">
        <f>C50*B50</f>
        <v>259200</v>
      </c>
    </row>
    <row r="51" spans="1:4" x14ac:dyDescent="0.3">
      <c r="A51" s="642" t="s">
        <v>924</v>
      </c>
      <c r="B51" s="659"/>
      <c r="C51" s="659"/>
      <c r="D51" s="658"/>
    </row>
    <row r="52" spans="1:4" ht="15" thickBot="1" x14ac:dyDescent="0.35">
      <c r="A52" s="597" t="s">
        <v>380</v>
      </c>
      <c r="B52" s="680">
        <f>B50</f>
        <v>1080</v>
      </c>
      <c r="C52" s="680">
        <f>C6</f>
        <v>360</v>
      </c>
      <c r="D52" s="646">
        <f>C52*B52</f>
        <v>388800</v>
      </c>
    </row>
    <row r="53" spans="1:4" x14ac:dyDescent="0.3">
      <c r="A53" s="576" t="s">
        <v>381</v>
      </c>
      <c r="B53" s="659"/>
      <c r="C53" s="659"/>
      <c r="D53" s="658">
        <f>SUM(D49:D52)</f>
        <v>842400</v>
      </c>
    </row>
    <row r="54" spans="1:4" ht="15" thickBot="1" x14ac:dyDescent="0.35">
      <c r="A54" s="597" t="s">
        <v>884</v>
      </c>
      <c r="B54" s="680"/>
      <c r="C54" s="680"/>
      <c r="D54" s="646">
        <v>0</v>
      </c>
    </row>
    <row r="55" spans="1:4" x14ac:dyDescent="0.3">
      <c r="A55" s="576" t="s">
        <v>923</v>
      </c>
      <c r="B55" s="659"/>
      <c r="C55" s="659"/>
      <c r="D55" s="658"/>
    </row>
    <row r="56" spans="1:4" x14ac:dyDescent="0.3">
      <c r="A56" s="576" t="s">
        <v>922</v>
      </c>
      <c r="B56" s="659"/>
      <c r="C56" s="659"/>
      <c r="D56" s="658">
        <f>D53</f>
        <v>842400</v>
      </c>
    </row>
    <row r="57" spans="1:4" ht="15" thickBot="1" x14ac:dyDescent="0.35">
      <c r="A57" s="597" t="s">
        <v>882</v>
      </c>
      <c r="B57" s="680"/>
      <c r="C57" s="646"/>
      <c r="D57" s="646">
        <v>0</v>
      </c>
    </row>
    <row r="58" spans="1:4" x14ac:dyDescent="0.3">
      <c r="A58" s="649" t="s">
        <v>931</v>
      </c>
      <c r="B58" s="660"/>
      <c r="C58" s="658"/>
      <c r="D58" s="598">
        <f>D56</f>
        <v>842400</v>
      </c>
    </row>
    <row r="59" spans="1:4" ht="15" thickBot="1" x14ac:dyDescent="0.35">
      <c r="A59" s="647" t="s">
        <v>921</v>
      </c>
      <c r="B59" s="646">
        <f>B47</f>
        <v>270</v>
      </c>
      <c r="C59" s="646">
        <f>C8</f>
        <v>1000</v>
      </c>
      <c r="D59" s="601">
        <f>C59*B59</f>
        <v>270000</v>
      </c>
    </row>
    <row r="60" spans="1:4" ht="15" thickBot="1" x14ac:dyDescent="0.35">
      <c r="A60" s="644" t="s">
        <v>384</v>
      </c>
      <c r="B60" s="716"/>
      <c r="C60" s="716"/>
      <c r="D60" s="657">
        <f>SUM(D58:D59)</f>
        <v>1112400</v>
      </c>
    </row>
    <row r="61" spans="1:4" ht="15" thickBot="1" x14ac:dyDescent="0.35">
      <c r="A61" s="643" t="s">
        <v>385</v>
      </c>
      <c r="B61" s="717"/>
      <c r="C61" s="717"/>
      <c r="D61" s="599">
        <f>D47-D60</f>
        <v>237600</v>
      </c>
    </row>
    <row r="62" spans="1:4" ht="15" thickTop="1" x14ac:dyDescent="0.3"/>
    <row r="65" spans="1:4" x14ac:dyDescent="0.3">
      <c r="A65" s="576" t="s">
        <v>742</v>
      </c>
      <c r="B65" s="598"/>
      <c r="C65" s="598"/>
    </row>
    <row r="66" spans="1:4" x14ac:dyDescent="0.3">
      <c r="B66" s="598"/>
      <c r="C66" s="598"/>
    </row>
    <row r="67" spans="1:4" x14ac:dyDescent="0.3">
      <c r="A67" s="576" t="s">
        <v>936</v>
      </c>
      <c r="B67" s="714">
        <v>220</v>
      </c>
      <c r="C67" s="598"/>
    </row>
    <row r="68" spans="1:4" x14ac:dyDescent="0.3">
      <c r="A68" s="576" t="s">
        <v>935</v>
      </c>
      <c r="B68" s="714">
        <v>5000</v>
      </c>
      <c r="C68" s="598"/>
    </row>
    <row r="69" spans="1:4" x14ac:dyDescent="0.3">
      <c r="B69" s="598"/>
      <c r="C69" s="598"/>
    </row>
    <row r="70" spans="1:4" x14ac:dyDescent="0.3">
      <c r="A70" s="576" t="s">
        <v>934</v>
      </c>
      <c r="B70" s="598">
        <f>B67*B4</f>
        <v>13200</v>
      </c>
    </row>
    <row r="71" spans="1:4" x14ac:dyDescent="0.3">
      <c r="A71" s="576" t="s">
        <v>933</v>
      </c>
      <c r="B71" s="598">
        <f>B5*B67</f>
        <v>880</v>
      </c>
    </row>
    <row r="72" spans="1:4" x14ac:dyDescent="0.3">
      <c r="B72" s="598"/>
    </row>
    <row r="73" spans="1:4" x14ac:dyDescent="0.3">
      <c r="A73" s="576" t="s">
        <v>860</v>
      </c>
    </row>
    <row r="74" spans="1:4" x14ac:dyDescent="0.3">
      <c r="A74" s="577" t="s">
        <v>932</v>
      </c>
    </row>
    <row r="76" spans="1:4" x14ac:dyDescent="0.3">
      <c r="A76" s="576" t="s">
        <v>854</v>
      </c>
    </row>
    <row r="77" spans="1:4" ht="15" thickBot="1" x14ac:dyDescent="0.35"/>
    <row r="78" spans="1:4" ht="15" thickBot="1" x14ac:dyDescent="0.35">
      <c r="A78" s="576" t="s">
        <v>744</v>
      </c>
      <c r="B78" s="921" t="s">
        <v>173</v>
      </c>
      <c r="C78" s="922"/>
      <c r="D78" s="919"/>
    </row>
    <row r="79" spans="1:4" ht="15" thickBot="1" x14ac:dyDescent="0.35">
      <c r="B79" s="656" t="s">
        <v>175</v>
      </c>
      <c r="C79" s="655" t="s">
        <v>176</v>
      </c>
      <c r="D79" s="654" t="s">
        <v>145</v>
      </c>
    </row>
    <row r="80" spans="1:4" x14ac:dyDescent="0.3">
      <c r="A80" s="576" t="s">
        <v>96</v>
      </c>
      <c r="B80" s="653">
        <v>220</v>
      </c>
      <c r="C80" s="653">
        <f>B68</f>
        <v>5000</v>
      </c>
      <c r="D80" s="660">
        <f>C80*B80</f>
        <v>1100000</v>
      </c>
    </row>
    <row r="81" spans="1:4" x14ac:dyDescent="0.3">
      <c r="B81" s="659"/>
      <c r="C81" s="659"/>
      <c r="D81" s="658"/>
    </row>
    <row r="82" spans="1:4" x14ac:dyDescent="0.3">
      <c r="A82" s="576" t="s">
        <v>88</v>
      </c>
      <c r="B82" s="659">
        <f>B70</f>
        <v>13200</v>
      </c>
      <c r="C82" s="659">
        <f>C4</f>
        <v>12</v>
      </c>
      <c r="D82" s="658">
        <f>C82*B82</f>
        <v>158400</v>
      </c>
    </row>
    <row r="83" spans="1:4" x14ac:dyDescent="0.3">
      <c r="A83" s="576" t="s">
        <v>925</v>
      </c>
      <c r="B83" s="659">
        <f>B71</f>
        <v>880</v>
      </c>
      <c r="C83" s="659">
        <f>C5</f>
        <v>240</v>
      </c>
      <c r="D83" s="658">
        <f>C83*B83</f>
        <v>211200</v>
      </c>
    </row>
    <row r="84" spans="1:4" x14ac:dyDescent="0.3">
      <c r="A84" s="642" t="s">
        <v>924</v>
      </c>
      <c r="B84" s="659"/>
      <c r="C84" s="659"/>
      <c r="D84" s="658"/>
    </row>
    <row r="85" spans="1:4" ht="15" thickBot="1" x14ac:dyDescent="0.35">
      <c r="A85" s="597" t="s">
        <v>380</v>
      </c>
      <c r="B85" s="680">
        <f>B83</f>
        <v>880</v>
      </c>
      <c r="C85" s="680">
        <f>C6</f>
        <v>360</v>
      </c>
      <c r="D85" s="646">
        <f>C85*B85</f>
        <v>316800</v>
      </c>
    </row>
    <row r="86" spans="1:4" x14ac:dyDescent="0.3">
      <c r="A86" s="576" t="s">
        <v>381</v>
      </c>
      <c r="B86" s="659"/>
      <c r="C86" s="659"/>
      <c r="D86" s="658">
        <f>SUM(D82:D85)</f>
        <v>686400</v>
      </c>
    </row>
    <row r="87" spans="1:4" ht="15" thickBot="1" x14ac:dyDescent="0.35">
      <c r="A87" s="597" t="s">
        <v>884</v>
      </c>
      <c r="B87" s="680"/>
      <c r="C87" s="680"/>
      <c r="D87" s="646">
        <v>0</v>
      </c>
    </row>
    <row r="88" spans="1:4" x14ac:dyDescent="0.3">
      <c r="A88" s="576" t="s">
        <v>923</v>
      </c>
      <c r="B88" s="659"/>
      <c r="C88" s="659"/>
      <c r="D88" s="658"/>
    </row>
    <row r="89" spans="1:4" x14ac:dyDescent="0.3">
      <c r="A89" s="576" t="s">
        <v>922</v>
      </c>
      <c r="B89" s="659"/>
      <c r="C89" s="659"/>
      <c r="D89" s="658">
        <f>D86</f>
        <v>686400</v>
      </c>
    </row>
    <row r="90" spans="1:4" ht="15" thickBot="1" x14ac:dyDescent="0.35">
      <c r="A90" s="597" t="s">
        <v>882</v>
      </c>
      <c r="B90" s="680"/>
      <c r="C90" s="646"/>
      <c r="D90" s="646">
        <v>0</v>
      </c>
    </row>
    <row r="91" spans="1:4" x14ac:dyDescent="0.3">
      <c r="A91" s="649" t="s">
        <v>931</v>
      </c>
      <c r="B91" s="660"/>
      <c r="C91" s="658"/>
      <c r="D91" s="598">
        <f>D89</f>
        <v>686400</v>
      </c>
    </row>
    <row r="92" spans="1:4" ht="15" thickBot="1" x14ac:dyDescent="0.35">
      <c r="A92" s="647" t="s">
        <v>921</v>
      </c>
      <c r="B92" s="646">
        <f>B80</f>
        <v>220</v>
      </c>
      <c r="C92" s="646">
        <f>C8</f>
        <v>1000</v>
      </c>
      <c r="D92" s="601">
        <f>C92*B92</f>
        <v>220000</v>
      </c>
    </row>
    <row r="93" spans="1:4" ht="15" thickBot="1" x14ac:dyDescent="0.35">
      <c r="A93" s="644" t="s">
        <v>384</v>
      </c>
      <c r="B93" s="716"/>
      <c r="C93" s="716"/>
      <c r="D93" s="657">
        <f>SUM(D91:D92)</f>
        <v>906400</v>
      </c>
    </row>
    <row r="94" spans="1:4" ht="15" thickBot="1" x14ac:dyDescent="0.35">
      <c r="A94" s="643" t="s">
        <v>385</v>
      </c>
      <c r="B94" s="717"/>
      <c r="C94" s="717"/>
      <c r="D94" s="599">
        <f>D80-D93</f>
        <v>193600</v>
      </c>
    </row>
    <row r="95" spans="1:4" ht="15" thickTop="1" x14ac:dyDescent="0.3">
      <c r="B95" s="598"/>
      <c r="C95" s="598"/>
      <c r="D95" s="598"/>
    </row>
  </sheetData>
  <mergeCells count="2">
    <mergeCell ref="B45:D45"/>
    <mergeCell ref="B78:D7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3"/>
  <sheetViews>
    <sheetView workbookViewId="0">
      <selection activeCell="G14" sqref="G14"/>
    </sheetView>
  </sheetViews>
  <sheetFormatPr baseColWidth="10" defaultColWidth="11.33203125" defaultRowHeight="14.4" x14ac:dyDescent="0.3"/>
  <cols>
    <col min="1" max="1" width="23" style="576" customWidth="1"/>
    <col min="2" max="2" width="18" style="576" customWidth="1"/>
    <col min="3" max="3" width="20.6640625" style="576" customWidth="1"/>
    <col min="4" max="4" width="21.88671875" style="576" customWidth="1"/>
    <col min="5" max="5" width="15.88671875" style="576" customWidth="1"/>
    <col min="6" max="6" width="14.88671875" style="576" customWidth="1"/>
    <col min="7" max="16384" width="11.33203125" style="576"/>
  </cols>
  <sheetData>
    <row r="1" spans="1:4" x14ac:dyDescent="0.3">
      <c r="A1" s="596" t="s">
        <v>944</v>
      </c>
    </row>
    <row r="2" spans="1:4" x14ac:dyDescent="0.3">
      <c r="A2" s="576" t="s">
        <v>763</v>
      </c>
    </row>
    <row r="3" spans="1:4" x14ac:dyDescent="0.3">
      <c r="B3" s="586" t="s">
        <v>929</v>
      </c>
      <c r="C3" s="586" t="s">
        <v>928</v>
      </c>
      <c r="D3" s="586" t="s">
        <v>794</v>
      </c>
    </row>
    <row r="4" spans="1:4" x14ac:dyDescent="0.3">
      <c r="A4" s="577" t="s">
        <v>821</v>
      </c>
      <c r="B4" s="711">
        <v>25</v>
      </c>
      <c r="C4" s="714">
        <v>35</v>
      </c>
      <c r="D4" s="598">
        <f>B4*C4</f>
        <v>875</v>
      </c>
    </row>
    <row r="5" spans="1:4" x14ac:dyDescent="0.3">
      <c r="A5" s="576" t="s">
        <v>90</v>
      </c>
      <c r="B5" s="711">
        <v>3</v>
      </c>
      <c r="C5" s="714">
        <v>300</v>
      </c>
      <c r="D5" s="598">
        <f>B5*C5</f>
        <v>900</v>
      </c>
    </row>
    <row r="6" spans="1:4" x14ac:dyDescent="0.3">
      <c r="A6" s="576" t="s">
        <v>927</v>
      </c>
      <c r="B6" s="711">
        <f>B5</f>
        <v>3</v>
      </c>
      <c r="C6" s="714">
        <v>300</v>
      </c>
      <c r="D6" s="598">
        <f>B6*C6</f>
        <v>900</v>
      </c>
    </row>
    <row r="7" spans="1:4" x14ac:dyDescent="0.3">
      <c r="A7" s="719" t="s">
        <v>926</v>
      </c>
      <c r="B7" s="712">
        <f>B6</f>
        <v>3</v>
      </c>
      <c r="C7" s="720">
        <v>300</v>
      </c>
      <c r="D7" s="715">
        <f>B7*C7</f>
        <v>900</v>
      </c>
    </row>
    <row r="8" spans="1:4" x14ac:dyDescent="0.3">
      <c r="A8" s="576" t="s">
        <v>93</v>
      </c>
      <c r="B8" s="711"/>
      <c r="C8" s="714"/>
      <c r="D8" s="598">
        <f>SUM(D4:D7)</f>
        <v>3575</v>
      </c>
    </row>
    <row r="9" spans="1:4" ht="15" thickBot="1" x14ac:dyDescent="0.35">
      <c r="A9" s="597" t="s">
        <v>818</v>
      </c>
      <c r="B9" s="713">
        <v>1</v>
      </c>
      <c r="C9" s="718">
        <v>1500</v>
      </c>
      <c r="D9" s="601">
        <f>B9*C9</f>
        <v>1500</v>
      </c>
    </row>
    <row r="10" spans="1:4" ht="15" thickBot="1" x14ac:dyDescent="0.35">
      <c r="A10" s="710" t="s">
        <v>95</v>
      </c>
      <c r="B10" s="597"/>
      <c r="C10" s="601"/>
      <c r="D10" s="657">
        <f>SUM(D8:D9)</f>
        <v>5075</v>
      </c>
    </row>
    <row r="11" spans="1:4" x14ac:dyDescent="0.3">
      <c r="A11" s="576" t="s">
        <v>817</v>
      </c>
      <c r="C11" s="714">
        <v>3500</v>
      </c>
      <c r="D11" s="598"/>
    </row>
    <row r="12" spans="1:4" x14ac:dyDescent="0.3">
      <c r="A12" s="576" t="s">
        <v>473</v>
      </c>
      <c r="C12" s="714">
        <v>6750</v>
      </c>
      <c r="D12" s="598"/>
    </row>
    <row r="13" spans="1:4" x14ac:dyDescent="0.3">
      <c r="C13" s="598"/>
      <c r="D13" s="598"/>
    </row>
    <row r="14" spans="1:4" x14ac:dyDescent="0.3">
      <c r="C14" s="598"/>
      <c r="D14" s="598"/>
    </row>
    <row r="16" spans="1:4" x14ac:dyDescent="0.3">
      <c r="A16" s="576" t="s">
        <v>763</v>
      </c>
    </row>
    <row r="17" spans="1:4" x14ac:dyDescent="0.3">
      <c r="A17" s="576" t="s">
        <v>943</v>
      </c>
      <c r="B17" s="577" t="s">
        <v>942</v>
      </c>
    </row>
    <row r="18" spans="1:4" x14ac:dyDescent="0.3">
      <c r="A18" s="576" t="s">
        <v>941</v>
      </c>
      <c r="B18" s="577" t="s">
        <v>940</v>
      </c>
    </row>
    <row r="20" spans="1:4" x14ac:dyDescent="0.3">
      <c r="A20" s="576" t="s">
        <v>751</v>
      </c>
    </row>
    <row r="21" spans="1:4" x14ac:dyDescent="0.3">
      <c r="A21" s="576" t="s">
        <v>816</v>
      </c>
      <c r="C21" s="598">
        <f>C11*B4</f>
        <v>87500</v>
      </c>
    </row>
    <row r="22" spans="1:4" x14ac:dyDescent="0.3">
      <c r="A22" s="576" t="s">
        <v>815</v>
      </c>
      <c r="C22" s="598">
        <f>C11*B5</f>
        <v>10500</v>
      </c>
    </row>
    <row r="24" spans="1:4" ht="15" thickBot="1" x14ac:dyDescent="0.35"/>
    <row r="25" spans="1:4" ht="15" thickBot="1" x14ac:dyDescent="0.35">
      <c r="A25" s="576" t="s">
        <v>939</v>
      </c>
      <c r="B25" s="921" t="s">
        <v>173</v>
      </c>
      <c r="C25" s="922"/>
      <c r="D25" s="919"/>
    </row>
    <row r="26" spans="1:4" ht="15" thickBot="1" x14ac:dyDescent="0.35">
      <c r="B26" s="656" t="s">
        <v>175</v>
      </c>
      <c r="C26" s="655" t="s">
        <v>176</v>
      </c>
      <c r="D26" s="654" t="s">
        <v>145</v>
      </c>
    </row>
    <row r="27" spans="1:4" x14ac:dyDescent="0.3">
      <c r="A27" s="576" t="s">
        <v>96</v>
      </c>
      <c r="B27" s="653">
        <f>C11</f>
        <v>3500</v>
      </c>
      <c r="C27" s="653">
        <f>C12</f>
        <v>6750</v>
      </c>
      <c r="D27" s="660">
        <f>C27*B27</f>
        <v>23625000</v>
      </c>
    </row>
    <row r="28" spans="1:4" x14ac:dyDescent="0.3">
      <c r="B28" s="659"/>
      <c r="C28" s="659"/>
      <c r="D28" s="658"/>
    </row>
    <row r="29" spans="1:4" x14ac:dyDescent="0.3">
      <c r="A29" s="576" t="s">
        <v>88</v>
      </c>
      <c r="B29" s="659">
        <f>C21</f>
        <v>87500</v>
      </c>
      <c r="C29" s="659">
        <f>C4</f>
        <v>35</v>
      </c>
      <c r="D29" s="658">
        <f>C29*B29</f>
        <v>3062500</v>
      </c>
    </row>
    <row r="30" spans="1:4" x14ac:dyDescent="0.3">
      <c r="A30" s="576" t="s">
        <v>925</v>
      </c>
      <c r="B30" s="659">
        <f>C22</f>
        <v>10500</v>
      </c>
      <c r="C30" s="659">
        <f>C5</f>
        <v>300</v>
      </c>
      <c r="D30" s="658">
        <f>C30*B30</f>
        <v>3150000</v>
      </c>
    </row>
    <row r="31" spans="1:4" x14ac:dyDescent="0.3">
      <c r="A31" s="642" t="s">
        <v>924</v>
      </c>
      <c r="B31" s="659"/>
      <c r="C31" s="659"/>
      <c r="D31" s="658"/>
    </row>
    <row r="32" spans="1:4" x14ac:dyDescent="0.3">
      <c r="A32" s="576" t="s">
        <v>397</v>
      </c>
      <c r="B32" s="659">
        <f>C22</f>
        <v>10500</v>
      </c>
      <c r="C32" s="659">
        <f>C6</f>
        <v>300</v>
      </c>
      <c r="D32" s="658">
        <f>C32*B32</f>
        <v>3150000</v>
      </c>
    </row>
    <row r="33" spans="1:6" ht="15" thickBot="1" x14ac:dyDescent="0.35">
      <c r="A33" s="652" t="s">
        <v>396</v>
      </c>
      <c r="B33" s="680">
        <f>B30</f>
        <v>10500</v>
      </c>
      <c r="C33" s="680">
        <f>C7</f>
        <v>300</v>
      </c>
      <c r="D33" s="646">
        <f>C33*B33</f>
        <v>3150000</v>
      </c>
    </row>
    <row r="34" spans="1:6" x14ac:dyDescent="0.3">
      <c r="A34" s="576" t="s">
        <v>381</v>
      </c>
      <c r="B34" s="659"/>
      <c r="C34" s="659"/>
      <c r="D34" s="658">
        <f>SUM(D29:D33)</f>
        <v>12512500</v>
      </c>
      <c r="E34" s="577"/>
      <c r="F34" s="577"/>
    </row>
    <row r="35" spans="1:6" ht="15" thickBot="1" x14ac:dyDescent="0.35">
      <c r="A35" s="597" t="s">
        <v>884</v>
      </c>
      <c r="B35" s="680"/>
      <c r="C35" s="680"/>
      <c r="D35" s="646">
        <v>0</v>
      </c>
      <c r="E35" s="598"/>
      <c r="F35" s="598"/>
    </row>
    <row r="36" spans="1:6" x14ac:dyDescent="0.3">
      <c r="A36" s="576" t="s">
        <v>923</v>
      </c>
      <c r="B36" s="659"/>
      <c r="C36" s="659"/>
      <c r="D36" s="658"/>
    </row>
    <row r="37" spans="1:6" x14ac:dyDescent="0.3">
      <c r="A37" s="576" t="s">
        <v>922</v>
      </c>
      <c r="B37" s="659"/>
      <c r="C37" s="659"/>
      <c r="D37" s="658">
        <f>D34</f>
        <v>12512500</v>
      </c>
    </row>
    <row r="38" spans="1:6" ht="15" thickBot="1" x14ac:dyDescent="0.35">
      <c r="A38" s="597" t="s">
        <v>882</v>
      </c>
      <c r="B38" s="680"/>
      <c r="C38" s="646"/>
      <c r="D38" s="646">
        <v>0</v>
      </c>
    </row>
    <row r="39" spans="1:6" x14ac:dyDescent="0.3">
      <c r="A39" s="649"/>
      <c r="B39" s="660"/>
      <c r="C39" s="658"/>
      <c r="D39" s="598">
        <f>D37</f>
        <v>12512500</v>
      </c>
    </row>
    <row r="40" spans="1:6" ht="15" thickBot="1" x14ac:dyDescent="0.35">
      <c r="A40" s="647" t="s">
        <v>921</v>
      </c>
      <c r="B40" s="646">
        <f>B27</f>
        <v>3500</v>
      </c>
      <c r="C40" s="646">
        <f>C9</f>
        <v>1500</v>
      </c>
      <c r="D40" s="601">
        <f>C40*B40</f>
        <v>5250000</v>
      </c>
    </row>
    <row r="41" spans="1:6" ht="15" thickBot="1" x14ac:dyDescent="0.35">
      <c r="A41" s="644" t="s">
        <v>384</v>
      </c>
      <c r="B41" s="716"/>
      <c r="C41" s="716"/>
      <c r="D41" s="657">
        <f>SUM(D39:D40)</f>
        <v>17762500</v>
      </c>
    </row>
    <row r="42" spans="1:6" ht="15" thickBot="1" x14ac:dyDescent="0.35">
      <c r="A42" s="643" t="s">
        <v>385</v>
      </c>
      <c r="B42" s="717"/>
      <c r="C42" s="717"/>
      <c r="D42" s="599">
        <f>D27-D41</f>
        <v>5862500</v>
      </c>
      <c r="E42" s="577"/>
      <c r="F42" s="577"/>
    </row>
    <row r="43" spans="1:6" ht="15" thickTop="1" x14ac:dyDescent="0.3">
      <c r="B43" s="598"/>
      <c r="C43" s="598"/>
      <c r="D43" s="598"/>
      <c r="E43" s="598"/>
      <c r="F43" s="598"/>
    </row>
    <row r="75" spans="1:4" x14ac:dyDescent="0.3">
      <c r="A75" s="577"/>
    </row>
    <row r="79" spans="1:4" x14ac:dyDescent="0.3">
      <c r="B79" s="911"/>
      <c r="C79" s="911"/>
      <c r="D79" s="911"/>
    </row>
    <row r="80" spans="1:4" x14ac:dyDescent="0.3">
      <c r="B80" s="621"/>
      <c r="C80" s="621"/>
      <c r="D80" s="621"/>
    </row>
    <row r="81" spans="1:3" x14ac:dyDescent="0.3">
      <c r="B81" s="598"/>
      <c r="C81" s="598"/>
    </row>
    <row r="85" spans="1:3" x14ac:dyDescent="0.3">
      <c r="A85" s="642"/>
    </row>
    <row r="93" spans="1:3" x14ac:dyDescent="0.3">
      <c r="A93" s="577"/>
      <c r="B93" s="598"/>
    </row>
  </sheetData>
  <mergeCells count="2">
    <mergeCell ref="B25:D25"/>
    <mergeCell ref="B79:D7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3"/>
  <sheetViews>
    <sheetView topLeftCell="A25" workbookViewId="0">
      <selection activeCell="I18" sqref="I18"/>
    </sheetView>
  </sheetViews>
  <sheetFormatPr baseColWidth="10" defaultColWidth="11.33203125" defaultRowHeight="14.4" x14ac:dyDescent="0.3"/>
  <cols>
    <col min="1" max="1" width="23" style="576" customWidth="1"/>
    <col min="2" max="4" width="20.6640625" style="576" customWidth="1"/>
    <col min="5" max="5" width="12.109375" style="576" customWidth="1"/>
    <col min="6" max="6" width="14.88671875" style="576" customWidth="1"/>
    <col min="7" max="16384" width="11.33203125" style="576"/>
  </cols>
  <sheetData>
    <row r="1" spans="1:4" x14ac:dyDescent="0.3">
      <c r="A1" s="596" t="s">
        <v>953</v>
      </c>
    </row>
    <row r="2" spans="1:4" x14ac:dyDescent="0.3">
      <c r="A2" s="576" t="s">
        <v>763</v>
      </c>
    </row>
    <row r="3" spans="1:4" x14ac:dyDescent="0.3">
      <c r="B3" s="586" t="s">
        <v>929</v>
      </c>
      <c r="C3" s="586" t="s">
        <v>928</v>
      </c>
      <c r="D3" s="586" t="s">
        <v>794</v>
      </c>
    </row>
    <row r="4" spans="1:4" x14ac:dyDescent="0.3">
      <c r="A4" s="577" t="s">
        <v>821</v>
      </c>
      <c r="B4" s="711">
        <v>4</v>
      </c>
      <c r="C4" s="711">
        <v>200</v>
      </c>
      <c r="D4" s="576">
        <f>B4*C4</f>
        <v>800</v>
      </c>
    </row>
    <row r="5" spans="1:4" x14ac:dyDescent="0.3">
      <c r="A5" s="576" t="s">
        <v>90</v>
      </c>
      <c r="B5" s="711">
        <v>1.5</v>
      </c>
      <c r="C5" s="711">
        <v>200</v>
      </c>
      <c r="D5" s="576">
        <f>B5*C5</f>
        <v>300</v>
      </c>
    </row>
    <row r="6" spans="1:4" x14ac:dyDescent="0.3">
      <c r="A6" s="576" t="s">
        <v>927</v>
      </c>
      <c r="B6" s="711">
        <v>1.5</v>
      </c>
      <c r="C6" s="711">
        <v>80</v>
      </c>
      <c r="D6" s="576">
        <f>B6*C6</f>
        <v>120</v>
      </c>
    </row>
    <row r="7" spans="1:4" x14ac:dyDescent="0.3">
      <c r="A7" s="577" t="s">
        <v>926</v>
      </c>
      <c r="B7" s="711">
        <f>B6</f>
        <v>1.5</v>
      </c>
      <c r="C7" s="711">
        <v>220</v>
      </c>
      <c r="D7" s="576">
        <f>B7*C7</f>
        <v>330</v>
      </c>
    </row>
    <row r="8" spans="1:4" x14ac:dyDescent="0.3">
      <c r="A8" s="576" t="s">
        <v>93</v>
      </c>
      <c r="D8" s="576">
        <f>SUM(D4:D7)</f>
        <v>1550</v>
      </c>
    </row>
    <row r="9" spans="1:4" ht="15" thickBot="1" x14ac:dyDescent="0.35">
      <c r="A9" s="597" t="s">
        <v>818</v>
      </c>
      <c r="B9" s="713">
        <v>1</v>
      </c>
      <c r="C9" s="713">
        <v>310</v>
      </c>
      <c r="D9" s="597">
        <f>B9*C9</f>
        <v>310</v>
      </c>
    </row>
    <row r="10" spans="1:4" ht="15" thickBot="1" x14ac:dyDescent="0.35">
      <c r="A10" s="603" t="s">
        <v>95</v>
      </c>
      <c r="B10" s="597"/>
      <c r="C10" s="597"/>
      <c r="D10" s="603">
        <f>SUM(D8:D9)</f>
        <v>1860</v>
      </c>
    </row>
    <row r="11" spans="1:4" x14ac:dyDescent="0.3">
      <c r="A11" s="576" t="s">
        <v>817</v>
      </c>
      <c r="C11" s="714">
        <v>750</v>
      </c>
    </row>
    <row r="12" spans="1:4" x14ac:dyDescent="0.3">
      <c r="A12" s="576" t="s">
        <v>473</v>
      </c>
      <c r="C12" s="714">
        <v>1980</v>
      </c>
    </row>
    <row r="16" spans="1:4" x14ac:dyDescent="0.3">
      <c r="A16" s="576" t="s">
        <v>763</v>
      </c>
    </row>
    <row r="18" spans="1:6" x14ac:dyDescent="0.3">
      <c r="A18" s="577" t="s">
        <v>952</v>
      </c>
    </row>
    <row r="19" spans="1:6" x14ac:dyDescent="0.3">
      <c r="A19" s="576" t="s">
        <v>816</v>
      </c>
      <c r="C19" s="577" t="s">
        <v>951</v>
      </c>
      <c r="D19" s="661">
        <f>B4*C11</f>
        <v>3000</v>
      </c>
    </row>
    <row r="20" spans="1:6" x14ac:dyDescent="0.3">
      <c r="A20" s="576" t="s">
        <v>950</v>
      </c>
      <c r="C20" s="577" t="s">
        <v>949</v>
      </c>
      <c r="D20" s="661">
        <f>D19*C4</f>
        <v>600000</v>
      </c>
    </row>
    <row r="21" spans="1:6" x14ac:dyDescent="0.3">
      <c r="D21" s="588"/>
    </row>
    <row r="22" spans="1:6" x14ac:dyDescent="0.3">
      <c r="A22" s="577" t="s">
        <v>948</v>
      </c>
    </row>
    <row r="23" spans="1:6" x14ac:dyDescent="0.3">
      <c r="A23" s="576" t="s">
        <v>774</v>
      </c>
      <c r="C23" s="577" t="s">
        <v>947</v>
      </c>
      <c r="D23" s="661">
        <f>C11*B5</f>
        <v>1125</v>
      </c>
    </row>
    <row r="24" spans="1:6" x14ac:dyDescent="0.3">
      <c r="A24" s="576" t="s">
        <v>946</v>
      </c>
      <c r="C24" s="577" t="s">
        <v>945</v>
      </c>
      <c r="D24" s="661">
        <f>D23*C5</f>
        <v>225000</v>
      </c>
    </row>
    <row r="26" spans="1:6" ht="15" thickBot="1" x14ac:dyDescent="0.35"/>
    <row r="27" spans="1:6" ht="15" thickBot="1" x14ac:dyDescent="0.35">
      <c r="A27" s="576" t="s">
        <v>751</v>
      </c>
      <c r="B27" s="921" t="s">
        <v>173</v>
      </c>
      <c r="C27" s="922"/>
      <c r="D27" s="919"/>
    </row>
    <row r="28" spans="1:6" ht="15" thickBot="1" x14ac:dyDescent="0.35">
      <c r="B28" s="656" t="s">
        <v>175</v>
      </c>
      <c r="C28" s="655" t="s">
        <v>176</v>
      </c>
      <c r="D28" s="654" t="s">
        <v>145</v>
      </c>
    </row>
    <row r="29" spans="1:6" x14ac:dyDescent="0.3">
      <c r="A29" s="576" t="s">
        <v>96</v>
      </c>
      <c r="B29" s="653">
        <f>C11</f>
        <v>750</v>
      </c>
      <c r="C29" s="653">
        <f>C12</f>
        <v>1980</v>
      </c>
      <c r="D29" s="660">
        <f>C29*B29</f>
        <v>1485000</v>
      </c>
    </row>
    <row r="30" spans="1:6" x14ac:dyDescent="0.3">
      <c r="B30" s="651"/>
      <c r="C30" s="651"/>
      <c r="D30" s="658"/>
      <c r="E30" s="577"/>
      <c r="F30" s="577"/>
    </row>
    <row r="31" spans="1:6" x14ac:dyDescent="0.3">
      <c r="A31" s="576" t="s">
        <v>88</v>
      </c>
      <c r="B31" s="651">
        <f>D19</f>
        <v>3000</v>
      </c>
      <c r="C31" s="651">
        <f>C4</f>
        <v>200</v>
      </c>
      <c r="D31" s="658">
        <f>C31*B31</f>
        <v>600000</v>
      </c>
      <c r="E31" s="598"/>
      <c r="F31" s="598"/>
    </row>
    <row r="32" spans="1:6" x14ac:dyDescent="0.3">
      <c r="A32" s="576" t="s">
        <v>925</v>
      </c>
      <c r="B32" s="659">
        <f>D23</f>
        <v>1125</v>
      </c>
      <c r="C32" s="651">
        <f>C5</f>
        <v>200</v>
      </c>
      <c r="D32" s="658">
        <f>C32*B32</f>
        <v>225000</v>
      </c>
    </row>
    <row r="33" spans="1:6" x14ac:dyDescent="0.3">
      <c r="A33" s="642" t="s">
        <v>924</v>
      </c>
      <c r="B33" s="651"/>
      <c r="C33" s="651"/>
      <c r="D33" s="658"/>
    </row>
    <row r="34" spans="1:6" x14ac:dyDescent="0.3">
      <c r="A34" s="576" t="s">
        <v>397</v>
      </c>
      <c r="B34" s="659">
        <f>B32</f>
        <v>1125</v>
      </c>
      <c r="C34" s="651">
        <f>C6</f>
        <v>80</v>
      </c>
      <c r="D34" s="658">
        <f>C34*B34</f>
        <v>90000</v>
      </c>
    </row>
    <row r="35" spans="1:6" ht="15" thickBot="1" x14ac:dyDescent="0.35">
      <c r="A35" s="652" t="s">
        <v>396</v>
      </c>
      <c r="B35" s="650">
        <f>B32</f>
        <v>1125</v>
      </c>
      <c r="C35" s="650">
        <f>C7</f>
        <v>220</v>
      </c>
      <c r="D35" s="646">
        <f>C35*B35</f>
        <v>247500</v>
      </c>
    </row>
    <row r="36" spans="1:6" x14ac:dyDescent="0.3">
      <c r="A36" s="576" t="s">
        <v>381</v>
      </c>
      <c r="B36" s="651"/>
      <c r="C36" s="651"/>
      <c r="D36" s="658">
        <f>SUM(D31:D35)</f>
        <v>1162500</v>
      </c>
    </row>
    <row r="37" spans="1:6" ht="15" thickBot="1" x14ac:dyDescent="0.35">
      <c r="A37" s="597" t="s">
        <v>884</v>
      </c>
      <c r="B37" s="650"/>
      <c r="C37" s="650"/>
      <c r="D37" s="646">
        <v>0</v>
      </c>
    </row>
    <row r="38" spans="1:6" x14ac:dyDescent="0.3">
      <c r="A38" s="576" t="s">
        <v>923</v>
      </c>
      <c r="B38" s="651"/>
      <c r="C38" s="651"/>
      <c r="D38" s="658"/>
      <c r="E38" s="577"/>
      <c r="F38" s="577"/>
    </row>
    <row r="39" spans="1:6" x14ac:dyDescent="0.3">
      <c r="A39" s="576" t="s">
        <v>922</v>
      </c>
      <c r="B39" s="651"/>
      <c r="C39" s="651"/>
      <c r="D39" s="658">
        <f>D36</f>
        <v>1162500</v>
      </c>
    </row>
    <row r="40" spans="1:6" ht="15" thickBot="1" x14ac:dyDescent="0.35">
      <c r="A40" s="597" t="s">
        <v>882</v>
      </c>
      <c r="B40" s="650"/>
      <c r="C40" s="645"/>
      <c r="D40" s="646">
        <v>0</v>
      </c>
    </row>
    <row r="41" spans="1:6" x14ac:dyDescent="0.3">
      <c r="A41" s="649"/>
      <c r="B41" s="649"/>
      <c r="C41" s="648"/>
      <c r="D41" s="598">
        <f>D39</f>
        <v>1162500</v>
      </c>
    </row>
    <row r="42" spans="1:6" ht="15" thickBot="1" x14ac:dyDescent="0.35">
      <c r="A42" s="647" t="s">
        <v>921</v>
      </c>
      <c r="B42" s="646">
        <f>B29</f>
        <v>750</v>
      </c>
      <c r="C42" s="645">
        <f>C9</f>
        <v>310</v>
      </c>
      <c r="D42" s="601">
        <f>C42*B42</f>
        <v>232500</v>
      </c>
    </row>
    <row r="43" spans="1:6" ht="15" thickBot="1" x14ac:dyDescent="0.35">
      <c r="A43" s="644" t="s">
        <v>384</v>
      </c>
      <c r="B43" s="644"/>
      <c r="C43" s="644"/>
      <c r="D43" s="657">
        <f>SUM(D41:D42)</f>
        <v>1395000</v>
      </c>
      <c r="E43" s="598"/>
      <c r="F43" s="598"/>
    </row>
    <row r="44" spans="1:6" ht="15" thickBot="1" x14ac:dyDescent="0.35">
      <c r="A44" s="643" t="s">
        <v>385</v>
      </c>
      <c r="B44" s="643"/>
      <c r="C44" s="643"/>
      <c r="D44" s="599">
        <f>D29-D43</f>
        <v>90000</v>
      </c>
    </row>
    <row r="45" spans="1:6" ht="15" thickTop="1" x14ac:dyDescent="0.3"/>
    <row r="75" spans="1:4" x14ac:dyDescent="0.3">
      <c r="A75" s="577"/>
    </row>
    <row r="79" spans="1:4" x14ac:dyDescent="0.3">
      <c r="B79" s="911"/>
      <c r="C79" s="911"/>
      <c r="D79" s="911"/>
    </row>
    <row r="80" spans="1:4" x14ac:dyDescent="0.3">
      <c r="B80" s="621"/>
      <c r="C80" s="621"/>
      <c r="D80" s="621"/>
    </row>
    <row r="81" spans="1:3" x14ac:dyDescent="0.3">
      <c r="B81" s="598"/>
      <c r="C81" s="598"/>
    </row>
    <row r="85" spans="1:3" x14ac:dyDescent="0.3">
      <c r="A85" s="642"/>
    </row>
    <row r="93" spans="1:3" x14ac:dyDescent="0.3">
      <c r="A93" s="577"/>
      <c r="B93" s="598"/>
    </row>
  </sheetData>
  <mergeCells count="2">
    <mergeCell ref="B27:D27"/>
    <mergeCell ref="B79:D7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93"/>
  <sheetViews>
    <sheetView tabSelected="1" workbookViewId="0">
      <selection activeCell="D21" sqref="D21"/>
    </sheetView>
  </sheetViews>
  <sheetFormatPr baseColWidth="10" defaultColWidth="11.33203125" defaultRowHeight="14.4" x14ac:dyDescent="0.3"/>
  <cols>
    <col min="1" max="1" width="25.88671875" style="576" customWidth="1"/>
    <col min="2" max="2" width="14.88671875" style="576" customWidth="1"/>
    <col min="3" max="4" width="11.33203125" style="576"/>
    <col min="5" max="5" width="11.109375" style="576" bestFit="1" customWidth="1"/>
    <col min="6" max="6" width="17.88671875" style="576" customWidth="1"/>
    <col min="7" max="8" width="14.6640625" style="576" customWidth="1"/>
    <col min="9" max="9" width="16.109375" style="576" customWidth="1"/>
    <col min="10" max="10" width="14.109375" style="576" customWidth="1"/>
    <col min="11" max="16384" width="11.33203125" style="576"/>
  </cols>
  <sheetData>
    <row r="1" spans="1:4" x14ac:dyDescent="0.3">
      <c r="A1" s="596" t="s">
        <v>975</v>
      </c>
    </row>
    <row r="3" spans="1:4" x14ac:dyDescent="0.3">
      <c r="B3" s="586" t="s">
        <v>929</v>
      </c>
      <c r="C3" s="586" t="s">
        <v>928</v>
      </c>
      <c r="D3" s="586" t="s">
        <v>794</v>
      </c>
    </row>
    <row r="4" spans="1:4" x14ac:dyDescent="0.3">
      <c r="A4" s="577" t="s">
        <v>821</v>
      </c>
      <c r="B4" s="723">
        <v>2</v>
      </c>
      <c r="C4" s="723">
        <v>50</v>
      </c>
      <c r="D4" s="576">
        <f>B4*C4</f>
        <v>100</v>
      </c>
    </row>
    <row r="5" spans="1:4" x14ac:dyDescent="0.3">
      <c r="A5" s="576" t="s">
        <v>90</v>
      </c>
      <c r="B5" s="723">
        <v>3</v>
      </c>
      <c r="C5" s="723">
        <v>300</v>
      </c>
      <c r="D5" s="576">
        <f>B5*C5</f>
        <v>900</v>
      </c>
    </row>
    <row r="6" spans="1:4" x14ac:dyDescent="0.3">
      <c r="A6" s="576" t="s">
        <v>927</v>
      </c>
      <c r="B6" s="723">
        <f>B5</f>
        <v>3</v>
      </c>
      <c r="C6" s="723">
        <v>30</v>
      </c>
      <c r="D6" s="576">
        <f>B6*C6</f>
        <v>90</v>
      </c>
    </row>
    <row r="7" spans="1:4" x14ac:dyDescent="0.3">
      <c r="A7" s="719" t="s">
        <v>926</v>
      </c>
      <c r="B7" s="728">
        <f>B6</f>
        <v>3</v>
      </c>
      <c r="C7" s="728">
        <v>20</v>
      </c>
      <c r="D7" s="708">
        <f>B7*C7</f>
        <v>60</v>
      </c>
    </row>
    <row r="8" spans="1:4" x14ac:dyDescent="0.3">
      <c r="A8" s="576" t="s">
        <v>93</v>
      </c>
      <c r="D8" s="576">
        <f>SUM(D4:D7)</f>
        <v>1150</v>
      </c>
    </row>
    <row r="9" spans="1:4" ht="15" thickBot="1" x14ac:dyDescent="0.35">
      <c r="A9" s="597" t="s">
        <v>818</v>
      </c>
      <c r="B9" s="724">
        <v>1</v>
      </c>
      <c r="C9" s="724">
        <v>100</v>
      </c>
      <c r="D9" s="597">
        <f>B9*C9</f>
        <v>100</v>
      </c>
    </row>
    <row r="10" spans="1:4" ht="15" thickBot="1" x14ac:dyDescent="0.35">
      <c r="A10" s="603" t="s">
        <v>95</v>
      </c>
      <c r="B10" s="597"/>
      <c r="C10" s="597"/>
      <c r="D10" s="603">
        <f>SUM(D8:D9)</f>
        <v>1250</v>
      </c>
    </row>
    <row r="11" spans="1:4" x14ac:dyDescent="0.3">
      <c r="A11" s="576" t="s">
        <v>817</v>
      </c>
      <c r="C11" s="725">
        <v>2900</v>
      </c>
    </row>
    <row r="12" spans="1:4" x14ac:dyDescent="0.3">
      <c r="A12" s="576" t="s">
        <v>473</v>
      </c>
      <c r="C12" s="725">
        <v>1400</v>
      </c>
    </row>
    <row r="14" spans="1:4" x14ac:dyDescent="0.3">
      <c r="A14" s="576" t="s">
        <v>763</v>
      </c>
    </row>
    <row r="15" spans="1:4" x14ac:dyDescent="0.3">
      <c r="A15" s="577" t="s">
        <v>974</v>
      </c>
      <c r="C15" s="576">
        <f>C11*B4</f>
        <v>5800</v>
      </c>
      <c r="D15" s="576" t="s">
        <v>973</v>
      </c>
    </row>
    <row r="16" spans="1:4" x14ac:dyDescent="0.3">
      <c r="A16" s="577" t="s">
        <v>972</v>
      </c>
      <c r="C16" s="576">
        <f>C11*B5</f>
        <v>8700</v>
      </c>
      <c r="D16" s="576" t="s">
        <v>971</v>
      </c>
    </row>
    <row r="19" spans="1:2" x14ac:dyDescent="0.3">
      <c r="A19" s="576" t="s">
        <v>751</v>
      </c>
    </row>
    <row r="21" spans="1:2" x14ac:dyDescent="0.3">
      <c r="A21" s="577" t="s">
        <v>970</v>
      </c>
    </row>
    <row r="23" spans="1:2" x14ac:dyDescent="0.3">
      <c r="A23" s="576" t="s">
        <v>969</v>
      </c>
    </row>
    <row r="24" spans="1:2" x14ac:dyDescent="0.3">
      <c r="A24" s="679" t="s">
        <v>968</v>
      </c>
      <c r="B24" s="726">
        <v>5700</v>
      </c>
    </row>
    <row r="25" spans="1:2" x14ac:dyDescent="0.3">
      <c r="A25" s="637" t="s">
        <v>967</v>
      </c>
      <c r="B25" s="727">
        <v>55</v>
      </c>
    </row>
    <row r="26" spans="1:2" x14ac:dyDescent="0.3">
      <c r="A26" s="576" t="s">
        <v>964</v>
      </c>
      <c r="B26" s="598">
        <f>B25*B24</f>
        <v>313500</v>
      </c>
    </row>
    <row r="28" spans="1:2" x14ac:dyDescent="0.3">
      <c r="A28" s="576" t="s">
        <v>492</v>
      </c>
    </row>
    <row r="29" spans="1:2" x14ac:dyDescent="0.3">
      <c r="A29" s="576" t="s">
        <v>966</v>
      </c>
      <c r="B29" s="725">
        <v>8700</v>
      </c>
    </row>
    <row r="30" spans="1:2" x14ac:dyDescent="0.3">
      <c r="A30" s="577" t="s">
        <v>965</v>
      </c>
      <c r="B30" s="723">
        <v>307</v>
      </c>
    </row>
    <row r="31" spans="1:2" x14ac:dyDescent="0.3">
      <c r="A31" s="576" t="s">
        <v>964</v>
      </c>
      <c r="B31" s="576">
        <f>B29*B30</f>
        <v>2670900</v>
      </c>
    </row>
    <row r="33" spans="1:6" x14ac:dyDescent="0.3">
      <c r="A33" s="577" t="s">
        <v>1126</v>
      </c>
      <c r="C33" s="725">
        <v>276000</v>
      </c>
      <c r="D33" s="637" t="s">
        <v>497</v>
      </c>
      <c r="E33" s="726">
        <v>270000</v>
      </c>
    </row>
    <row r="34" spans="1:6" x14ac:dyDescent="0.3">
      <c r="A34" s="576" t="s">
        <v>1127</v>
      </c>
      <c r="C34" s="725">
        <v>180000</v>
      </c>
      <c r="F34" s="577"/>
    </row>
    <row r="35" spans="1:6" x14ac:dyDescent="0.3">
      <c r="A35" s="576" t="s">
        <v>94</v>
      </c>
      <c r="C35" s="725">
        <v>313000</v>
      </c>
      <c r="F35" s="598"/>
    </row>
    <row r="36" spans="1:6" ht="15" thickBot="1" x14ac:dyDescent="0.35"/>
    <row r="37" spans="1:6" ht="15" thickBot="1" x14ac:dyDescent="0.35">
      <c r="A37" s="576" t="s">
        <v>751</v>
      </c>
      <c r="B37" s="921" t="s">
        <v>173</v>
      </c>
      <c r="C37" s="922"/>
      <c r="D37" s="919"/>
      <c r="E37" s="583" t="s">
        <v>199</v>
      </c>
      <c r="F37" s="583" t="s">
        <v>378</v>
      </c>
    </row>
    <row r="38" spans="1:6" ht="15" thickBot="1" x14ac:dyDescent="0.35">
      <c r="B38" s="656" t="s">
        <v>175</v>
      </c>
      <c r="C38" s="655" t="s">
        <v>176</v>
      </c>
      <c r="D38" s="654" t="s">
        <v>145</v>
      </c>
      <c r="E38" s="662" t="s">
        <v>193</v>
      </c>
      <c r="F38" s="662" t="s">
        <v>961</v>
      </c>
    </row>
    <row r="39" spans="1:6" x14ac:dyDescent="0.3">
      <c r="A39" s="576" t="s">
        <v>96</v>
      </c>
      <c r="B39" s="653">
        <f>C11</f>
        <v>2900</v>
      </c>
      <c r="C39" s="653">
        <f>C12</f>
        <v>1400</v>
      </c>
      <c r="D39" s="729">
        <f>C39*B39</f>
        <v>4060000</v>
      </c>
      <c r="E39" s="730">
        <f>D39</f>
        <v>4060000</v>
      </c>
      <c r="F39" s="731"/>
    </row>
    <row r="40" spans="1:6" x14ac:dyDescent="0.3">
      <c r="B40" s="659"/>
      <c r="C40" s="659"/>
      <c r="D40" s="598"/>
      <c r="E40" s="665"/>
      <c r="F40" s="668"/>
    </row>
    <row r="41" spans="1:6" x14ac:dyDescent="0.3">
      <c r="A41" s="576" t="s">
        <v>88</v>
      </c>
      <c r="B41" s="659">
        <f>C15</f>
        <v>5800</v>
      </c>
      <c r="C41" s="659">
        <f>C4</f>
        <v>50</v>
      </c>
      <c r="D41" s="598">
        <f>C41*B41</f>
        <v>290000</v>
      </c>
      <c r="E41" s="665">
        <f>B26</f>
        <v>313500</v>
      </c>
      <c r="F41" s="668">
        <f>D41-E41</f>
        <v>-23500</v>
      </c>
    </row>
    <row r="42" spans="1:6" ht="15" thickBot="1" x14ac:dyDescent="0.35">
      <c r="A42" s="576" t="s">
        <v>925</v>
      </c>
      <c r="B42" s="659">
        <f>C16</f>
        <v>8700</v>
      </c>
      <c r="C42" s="659">
        <f>C5</f>
        <v>300</v>
      </c>
      <c r="D42" s="598">
        <f>C42*B42</f>
        <v>2610000</v>
      </c>
      <c r="E42" s="665">
        <f>B31</f>
        <v>2670900</v>
      </c>
      <c r="F42" s="671">
        <f>D42-E42</f>
        <v>-60900</v>
      </c>
    </row>
    <row r="43" spans="1:6" ht="15" thickBot="1" x14ac:dyDescent="0.35">
      <c r="A43" s="670" t="s">
        <v>179</v>
      </c>
      <c r="B43" s="659"/>
      <c r="C43" s="659"/>
      <c r="D43" s="682"/>
      <c r="E43" s="665"/>
      <c r="F43" s="579">
        <f>SUM(F41:F42)</f>
        <v>-84400</v>
      </c>
    </row>
    <row r="44" spans="1:6" ht="15" thickBot="1" x14ac:dyDescent="0.35">
      <c r="A44" s="642" t="s">
        <v>924</v>
      </c>
      <c r="B44" s="659"/>
      <c r="C44" s="659"/>
      <c r="D44" s="598"/>
      <c r="E44" s="665"/>
      <c r="F44" s="579" t="s">
        <v>386</v>
      </c>
    </row>
    <row r="45" spans="1:6" x14ac:dyDescent="0.3">
      <c r="A45" s="1000" t="s">
        <v>396</v>
      </c>
      <c r="B45" s="659">
        <f>C16</f>
        <v>8700</v>
      </c>
      <c r="C45" s="659">
        <f>C6</f>
        <v>30</v>
      </c>
      <c r="D45" s="598">
        <f>C45*B45</f>
        <v>261000</v>
      </c>
      <c r="E45" s="665">
        <f>C33</f>
        <v>276000</v>
      </c>
      <c r="F45" s="668">
        <f>D45-E45</f>
        <v>-15000</v>
      </c>
    </row>
    <row r="46" spans="1:6" ht="15" thickBot="1" x14ac:dyDescent="0.35">
      <c r="A46" s="1001" t="s">
        <v>397</v>
      </c>
      <c r="B46" s="680">
        <f>B42</f>
        <v>8700</v>
      </c>
      <c r="C46" s="680">
        <f>C7</f>
        <v>20</v>
      </c>
      <c r="D46" s="601">
        <f>C46*B46</f>
        <v>174000</v>
      </c>
      <c r="E46" s="665">
        <f>C34</f>
        <v>180000</v>
      </c>
      <c r="F46" s="668">
        <f>D46-E46</f>
        <v>-6000</v>
      </c>
    </row>
    <row r="47" spans="1:6" x14ac:dyDescent="0.3">
      <c r="A47" s="576" t="s">
        <v>381</v>
      </c>
      <c r="B47" s="659"/>
      <c r="C47" s="659"/>
      <c r="D47" s="598">
        <f>SUM(D41:D46)</f>
        <v>3335000</v>
      </c>
      <c r="E47" s="665"/>
      <c r="F47" s="668"/>
    </row>
    <row r="48" spans="1:6" ht="15" thickBot="1" x14ac:dyDescent="0.35">
      <c r="A48" s="597" t="s">
        <v>884</v>
      </c>
      <c r="B48" s="680"/>
      <c r="C48" s="680"/>
      <c r="D48" s="601">
        <v>0</v>
      </c>
      <c r="E48" s="665"/>
      <c r="F48" s="668"/>
    </row>
    <row r="49" spans="1:9" x14ac:dyDescent="0.3">
      <c r="A49" s="576" t="s">
        <v>923</v>
      </c>
      <c r="B49" s="659"/>
      <c r="C49" s="659"/>
      <c r="D49" s="598"/>
      <c r="E49" s="665"/>
      <c r="F49" s="668"/>
    </row>
    <row r="50" spans="1:9" x14ac:dyDescent="0.3">
      <c r="A50" s="576" t="s">
        <v>922</v>
      </c>
      <c r="B50" s="659"/>
      <c r="C50" s="659"/>
      <c r="D50" s="598">
        <f>D47</f>
        <v>3335000</v>
      </c>
      <c r="E50" s="665"/>
      <c r="F50" s="668"/>
    </row>
    <row r="51" spans="1:9" ht="15" thickBot="1" x14ac:dyDescent="0.35">
      <c r="A51" s="597" t="s">
        <v>882</v>
      </c>
      <c r="B51" s="680"/>
      <c r="C51" s="646"/>
      <c r="D51" s="601">
        <v>0</v>
      </c>
      <c r="E51" s="732"/>
      <c r="F51" s="668"/>
    </row>
    <row r="52" spans="1:9" x14ac:dyDescent="0.3">
      <c r="A52" s="649"/>
      <c r="B52" s="660"/>
      <c r="C52" s="658"/>
      <c r="D52" s="598">
        <f>D50</f>
        <v>3335000</v>
      </c>
      <c r="E52" s="665"/>
      <c r="F52" s="668"/>
    </row>
    <row r="53" spans="1:9" ht="15" thickBot="1" x14ac:dyDescent="0.35">
      <c r="A53" s="647" t="s">
        <v>921</v>
      </c>
      <c r="B53" s="646">
        <f>B39</f>
        <v>2900</v>
      </c>
      <c r="C53" s="646">
        <f>C9</f>
        <v>100</v>
      </c>
      <c r="D53" s="601">
        <f>C53*B53</f>
        <v>290000</v>
      </c>
      <c r="E53" s="665">
        <f>C35</f>
        <v>313000</v>
      </c>
      <c r="F53" s="668">
        <f>D53-E53</f>
        <v>-23000</v>
      </c>
    </row>
    <row r="54" spans="1:9" x14ac:dyDescent="0.3">
      <c r="A54" s="667" t="s">
        <v>384</v>
      </c>
      <c r="B54" s="730"/>
      <c r="C54" s="730"/>
      <c r="D54" s="730">
        <f>SUM(D52:D53)</f>
        <v>3625000</v>
      </c>
      <c r="E54" s="730"/>
      <c r="F54" s="730"/>
    </row>
    <row r="55" spans="1:9" x14ac:dyDescent="0.3">
      <c r="A55" s="576" t="s">
        <v>385</v>
      </c>
      <c r="B55" s="733"/>
      <c r="C55" s="733"/>
      <c r="D55" s="733">
        <f>D39-D54</f>
        <v>435000</v>
      </c>
      <c r="E55" s="733"/>
      <c r="F55" s="733"/>
    </row>
    <row r="56" spans="1:9" x14ac:dyDescent="0.3">
      <c r="A56" s="576" t="s">
        <v>379</v>
      </c>
      <c r="B56" s="666"/>
      <c r="C56" s="666"/>
      <c r="D56" s="666">
        <f>F43</f>
        <v>-84400</v>
      </c>
      <c r="E56" s="666"/>
      <c r="F56" s="666"/>
    </row>
    <row r="57" spans="1:9" x14ac:dyDescent="0.3">
      <c r="A57" s="576" t="s">
        <v>386</v>
      </c>
      <c r="B57" s="665"/>
      <c r="C57" s="665"/>
      <c r="D57" s="665">
        <f>F57</f>
        <v>-44000</v>
      </c>
      <c r="E57" s="665"/>
      <c r="F57" s="665">
        <f>F45+F46+F53</f>
        <v>-44000</v>
      </c>
    </row>
    <row r="58" spans="1:9" ht="15" thickBot="1" x14ac:dyDescent="0.35">
      <c r="A58" s="576" t="s">
        <v>187</v>
      </c>
      <c r="B58" s="664"/>
      <c r="C58" s="664"/>
      <c r="D58" s="664">
        <f>D55+D56+D57</f>
        <v>306600</v>
      </c>
      <c r="E58" s="664"/>
      <c r="F58" s="664"/>
    </row>
    <row r="61" spans="1:9" x14ac:dyDescent="0.3">
      <c r="A61" s="576" t="s">
        <v>744</v>
      </c>
    </row>
    <row r="62" spans="1:9" ht="15" thickBot="1" x14ac:dyDescent="0.35"/>
    <row r="63" spans="1:9" x14ac:dyDescent="0.3">
      <c r="A63" s="585" t="s">
        <v>957</v>
      </c>
      <c r="B63" s="884" t="s">
        <v>679</v>
      </c>
      <c r="C63" s="885"/>
      <c r="D63" s="886" t="s">
        <v>960</v>
      </c>
      <c r="E63" s="923"/>
      <c r="F63" s="583" t="s">
        <v>83</v>
      </c>
      <c r="G63" s="583" t="s">
        <v>249</v>
      </c>
      <c r="H63" s="584" t="s">
        <v>293</v>
      </c>
      <c r="I63" s="583" t="s">
        <v>733</v>
      </c>
    </row>
    <row r="64" spans="1:9" ht="15" customHeight="1" thickBot="1" x14ac:dyDescent="0.4">
      <c r="A64" s="587" t="s">
        <v>959</v>
      </c>
      <c r="B64" s="889" t="s">
        <v>958</v>
      </c>
      <c r="C64" s="890"/>
      <c r="D64" s="889"/>
      <c r="E64" s="890"/>
      <c r="F64" s="581" t="s">
        <v>588</v>
      </c>
      <c r="G64" s="581" t="s">
        <v>261</v>
      </c>
      <c r="H64" s="581" t="s">
        <v>262</v>
      </c>
      <c r="I64" s="581" t="s">
        <v>729</v>
      </c>
    </row>
    <row r="65" spans="1:9" ht="15" thickBot="1" x14ac:dyDescent="0.35">
      <c r="A65" s="595"/>
      <c r="B65" s="882">
        <f>C16*C6</f>
        <v>261000</v>
      </c>
      <c r="C65" s="883"/>
      <c r="D65" s="882">
        <f>E33</f>
        <v>270000</v>
      </c>
      <c r="E65" s="883"/>
      <c r="F65" s="589">
        <f>C33</f>
        <v>276000</v>
      </c>
      <c r="G65" s="589">
        <f>B65-D65</f>
        <v>-9000</v>
      </c>
      <c r="H65" s="589">
        <f>D65-F65</f>
        <v>-6000</v>
      </c>
      <c r="I65" s="663">
        <f>B65-F65</f>
        <v>-15000</v>
      </c>
    </row>
    <row r="66" spans="1:9" ht="15" customHeight="1" x14ac:dyDescent="0.3"/>
    <row r="67" spans="1:9" ht="15" thickBot="1" x14ac:dyDescent="0.35"/>
    <row r="68" spans="1:9" x14ac:dyDescent="0.3">
      <c r="A68" s="585" t="s">
        <v>957</v>
      </c>
      <c r="B68" s="884" t="s">
        <v>679</v>
      </c>
      <c r="C68" s="885"/>
      <c r="D68" s="886" t="s">
        <v>376</v>
      </c>
      <c r="E68" s="923"/>
      <c r="F68" s="583" t="s">
        <v>83</v>
      </c>
      <c r="G68" s="584" t="s">
        <v>370</v>
      </c>
      <c r="H68" s="584" t="s">
        <v>293</v>
      </c>
      <c r="I68" s="583" t="s">
        <v>733</v>
      </c>
    </row>
    <row r="69" spans="1:9" ht="17.399999999999999" thickBot="1" x14ac:dyDescent="0.4">
      <c r="A69" s="587" t="s">
        <v>956</v>
      </c>
      <c r="B69" s="889" t="s">
        <v>955</v>
      </c>
      <c r="C69" s="888"/>
      <c r="D69" s="889" t="s">
        <v>954</v>
      </c>
      <c r="E69" s="890"/>
      <c r="F69" s="662" t="s">
        <v>84</v>
      </c>
      <c r="G69" s="581" t="s">
        <v>261</v>
      </c>
      <c r="H69" s="581" t="s">
        <v>262</v>
      </c>
      <c r="I69" s="581" t="s">
        <v>729</v>
      </c>
    </row>
    <row r="70" spans="1:9" ht="15" thickBot="1" x14ac:dyDescent="0.35">
      <c r="A70" s="595"/>
      <c r="B70" s="882">
        <f>C16*C7</f>
        <v>174000</v>
      </c>
      <c r="C70" s="883"/>
      <c r="D70" s="882">
        <f>B29*C7</f>
        <v>174000</v>
      </c>
      <c r="E70" s="883"/>
      <c r="F70" s="589">
        <f>C34</f>
        <v>180000</v>
      </c>
      <c r="G70" s="579">
        <f>B70-D70</f>
        <v>0</v>
      </c>
      <c r="H70" s="579">
        <f>D70-F70</f>
        <v>-6000</v>
      </c>
      <c r="I70" s="578">
        <f>B70-F70</f>
        <v>-6000</v>
      </c>
    </row>
    <row r="75" spans="1:9" x14ac:dyDescent="0.3">
      <c r="A75" s="577"/>
    </row>
    <row r="79" spans="1:9" x14ac:dyDescent="0.3">
      <c r="B79" s="911"/>
      <c r="C79" s="911"/>
      <c r="D79" s="911"/>
    </row>
    <row r="80" spans="1:9" x14ac:dyDescent="0.3">
      <c r="B80" s="621"/>
      <c r="C80" s="621"/>
      <c r="D80" s="621"/>
    </row>
    <row r="81" spans="1:3" x14ac:dyDescent="0.3">
      <c r="B81" s="598"/>
      <c r="C81" s="598"/>
    </row>
    <row r="85" spans="1:3" x14ac:dyDescent="0.3">
      <c r="A85" s="642"/>
    </row>
    <row r="93" spans="1:3" x14ac:dyDescent="0.3">
      <c r="A93" s="577"/>
      <c r="B93" s="598"/>
    </row>
  </sheetData>
  <mergeCells count="14">
    <mergeCell ref="B79:D79"/>
    <mergeCell ref="B68:C68"/>
    <mergeCell ref="D68:E68"/>
    <mergeCell ref="B69:C69"/>
    <mergeCell ref="D69:E69"/>
    <mergeCell ref="B70:C70"/>
    <mergeCell ref="D70:E70"/>
    <mergeCell ref="B65:C65"/>
    <mergeCell ref="D65:E65"/>
    <mergeCell ref="B37:D37"/>
    <mergeCell ref="B63:C63"/>
    <mergeCell ref="D63:E63"/>
    <mergeCell ref="B64:C64"/>
    <mergeCell ref="D64:E6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80"/>
  <sheetViews>
    <sheetView zoomScale="180" zoomScaleNormal="180" workbookViewId="0">
      <selection activeCell="C11" sqref="C11"/>
    </sheetView>
  </sheetViews>
  <sheetFormatPr baseColWidth="10" defaultColWidth="11.33203125" defaultRowHeight="14.4" x14ac:dyDescent="0.3"/>
  <cols>
    <col min="1" max="1" width="23" style="576" customWidth="1"/>
    <col min="2" max="2" width="18.6640625" style="576" customWidth="1"/>
    <col min="3" max="3" width="20.6640625" style="576" customWidth="1"/>
    <col min="4" max="4" width="21.88671875" style="576" customWidth="1"/>
    <col min="5" max="5" width="15.88671875" style="576" customWidth="1"/>
    <col min="6" max="6" width="18.109375" style="576" customWidth="1"/>
    <col min="7" max="8" width="14.6640625" style="576" customWidth="1"/>
    <col min="9" max="9" width="16.109375" style="576" customWidth="1"/>
    <col min="10" max="10" width="14.109375" style="576" customWidth="1"/>
    <col min="11" max="16384" width="11.33203125" style="576"/>
  </cols>
  <sheetData>
    <row r="1" spans="1:4" x14ac:dyDescent="0.3">
      <c r="A1" s="596" t="s">
        <v>982</v>
      </c>
    </row>
    <row r="3" spans="1:4" x14ac:dyDescent="0.3">
      <c r="B3" s="586" t="s">
        <v>929</v>
      </c>
      <c r="C3" s="586" t="s">
        <v>928</v>
      </c>
      <c r="D3" s="586" t="s">
        <v>794</v>
      </c>
    </row>
    <row r="4" spans="1:4" x14ac:dyDescent="0.3">
      <c r="A4" s="577" t="s">
        <v>821</v>
      </c>
      <c r="B4" s="723">
        <v>1</v>
      </c>
      <c r="C4" s="723">
        <v>2</v>
      </c>
      <c r="D4" s="576">
        <f>B4*C4</f>
        <v>2</v>
      </c>
    </row>
    <row r="5" spans="1:4" x14ac:dyDescent="0.3">
      <c r="A5" s="576" t="s">
        <v>90</v>
      </c>
      <c r="B5" s="723">
        <v>2</v>
      </c>
      <c r="C5" s="723">
        <v>4</v>
      </c>
      <c r="D5" s="576">
        <f>B5*C5</f>
        <v>8</v>
      </c>
    </row>
    <row r="6" spans="1:4" x14ac:dyDescent="0.3">
      <c r="A6" s="576" t="s">
        <v>927</v>
      </c>
      <c r="B6" s="723">
        <f>B5</f>
        <v>2</v>
      </c>
      <c r="C6" s="723">
        <v>3</v>
      </c>
      <c r="D6" s="576">
        <f>B6*C6</f>
        <v>6</v>
      </c>
    </row>
    <row r="7" spans="1:4" x14ac:dyDescent="0.3">
      <c r="A7" s="719" t="s">
        <v>926</v>
      </c>
      <c r="B7" s="728">
        <f>B6</f>
        <v>2</v>
      </c>
      <c r="C7" s="728">
        <v>1</v>
      </c>
      <c r="D7" s="708">
        <f>B7*C7</f>
        <v>2</v>
      </c>
    </row>
    <row r="8" spans="1:4" x14ac:dyDescent="0.3">
      <c r="A8" s="576" t="s">
        <v>93</v>
      </c>
      <c r="D8" s="576">
        <f>SUM(D4:D7)</f>
        <v>18</v>
      </c>
    </row>
    <row r="9" spans="1:4" ht="15" thickBot="1" x14ac:dyDescent="0.35">
      <c r="A9" s="597" t="s">
        <v>818</v>
      </c>
      <c r="B9" s="724">
        <v>0</v>
      </c>
      <c r="C9" s="724">
        <v>0</v>
      </c>
      <c r="D9" s="597">
        <f>B9*C9</f>
        <v>0</v>
      </c>
    </row>
    <row r="10" spans="1:4" ht="15" thickBot="1" x14ac:dyDescent="0.35">
      <c r="A10" s="603" t="s">
        <v>95</v>
      </c>
      <c r="B10" s="597"/>
      <c r="C10" s="597"/>
      <c r="D10" s="603">
        <f>SUM(D8:D9)</f>
        <v>18</v>
      </c>
    </row>
    <row r="11" spans="1:4" x14ac:dyDescent="0.3">
      <c r="A11" s="576" t="s">
        <v>817</v>
      </c>
      <c r="C11" s="725">
        <v>10260</v>
      </c>
    </row>
    <row r="12" spans="1:4" x14ac:dyDescent="0.3">
      <c r="A12" s="576" t="s">
        <v>473</v>
      </c>
      <c r="C12" s="725">
        <v>20</v>
      </c>
    </row>
    <row r="15" spans="1:4" x14ac:dyDescent="0.3">
      <c r="A15" s="577" t="s">
        <v>974</v>
      </c>
      <c r="C15" s="598">
        <f>C11*B4</f>
        <v>10260</v>
      </c>
      <c r="D15" s="576" t="s">
        <v>146</v>
      </c>
    </row>
    <row r="16" spans="1:4" x14ac:dyDescent="0.3">
      <c r="A16" s="577" t="s">
        <v>972</v>
      </c>
      <c r="C16" s="598">
        <f>C11*B5</f>
        <v>20520</v>
      </c>
      <c r="D16" s="576" t="s">
        <v>773</v>
      </c>
    </row>
    <row r="19" spans="1:6" x14ac:dyDescent="0.3">
      <c r="A19" s="576" t="s">
        <v>751</v>
      </c>
    </row>
    <row r="21" spans="1:6" x14ac:dyDescent="0.3">
      <c r="A21" s="577" t="s">
        <v>970</v>
      </c>
    </row>
    <row r="23" spans="1:6" x14ac:dyDescent="0.3">
      <c r="A23" s="576" t="s">
        <v>969</v>
      </c>
      <c r="C23" s="598" t="s">
        <v>143</v>
      </c>
      <c r="D23" s="598" t="s">
        <v>144</v>
      </c>
      <c r="E23" s="598" t="s">
        <v>377</v>
      </c>
      <c r="F23" s="598"/>
    </row>
    <row r="24" spans="1:6" x14ac:dyDescent="0.3">
      <c r="A24" s="679" t="s">
        <v>979</v>
      </c>
      <c r="B24" s="678">
        <f>C24+D24-E24</f>
        <v>11000</v>
      </c>
      <c r="C24" s="726">
        <v>2000</v>
      </c>
      <c r="D24" s="726">
        <v>11000</v>
      </c>
      <c r="E24" s="726">
        <v>2000</v>
      </c>
      <c r="F24" s="598"/>
    </row>
    <row r="25" spans="1:6" x14ac:dyDescent="0.3">
      <c r="A25" s="637" t="s">
        <v>967</v>
      </c>
      <c r="B25" s="677">
        <f>(C25+D25-E25)/B24</f>
        <v>2.081818181818182</v>
      </c>
      <c r="C25" s="725">
        <v>4000</v>
      </c>
      <c r="D25" s="725">
        <v>23100</v>
      </c>
      <c r="E25" s="725">
        <v>4200</v>
      </c>
      <c r="F25" s="598"/>
    </row>
    <row r="26" spans="1:6" x14ac:dyDescent="0.3">
      <c r="A26" s="576" t="s">
        <v>964</v>
      </c>
      <c r="B26" s="598">
        <f>B25*B24</f>
        <v>22900.000000000004</v>
      </c>
      <c r="C26" s="598"/>
      <c r="D26" s="598"/>
      <c r="E26" s="598"/>
      <c r="F26" s="598"/>
    </row>
    <row r="27" spans="1:6" x14ac:dyDescent="0.3">
      <c r="C27" s="598"/>
      <c r="D27" s="598"/>
      <c r="E27" s="598"/>
      <c r="F27" s="598"/>
    </row>
    <row r="28" spans="1:6" x14ac:dyDescent="0.3">
      <c r="A28" s="576" t="s">
        <v>492</v>
      </c>
    </row>
    <row r="29" spans="1:6" x14ac:dyDescent="0.3">
      <c r="A29" s="577" t="s">
        <v>978</v>
      </c>
      <c r="B29" s="725">
        <f>21000</f>
        <v>21000</v>
      </c>
      <c r="C29" s="576" t="s">
        <v>981</v>
      </c>
    </row>
    <row r="30" spans="1:6" x14ac:dyDescent="0.3">
      <c r="A30" s="577" t="s">
        <v>965</v>
      </c>
      <c r="B30" s="723">
        <v>3.9666600000000001</v>
      </c>
    </row>
    <row r="31" spans="1:6" x14ac:dyDescent="0.3">
      <c r="A31" s="576" t="s">
        <v>964</v>
      </c>
      <c r="B31" s="598">
        <f>B29*B30</f>
        <v>83299.86</v>
      </c>
      <c r="C31" s="598"/>
      <c r="D31" s="598"/>
      <c r="E31" s="598"/>
      <c r="F31" s="598"/>
    </row>
    <row r="32" spans="1:6" x14ac:dyDescent="0.3">
      <c r="B32" s="598"/>
      <c r="C32" s="598"/>
      <c r="D32" s="598"/>
      <c r="E32" s="598"/>
      <c r="F32" s="598"/>
    </row>
    <row r="33" spans="1:6" x14ac:dyDescent="0.3">
      <c r="A33" s="577" t="s">
        <v>963</v>
      </c>
      <c r="B33" s="598"/>
      <c r="C33" s="725">
        <v>59000</v>
      </c>
      <c r="D33" s="678" t="s">
        <v>497</v>
      </c>
      <c r="E33" s="726">
        <v>60000</v>
      </c>
      <c r="F33" s="598"/>
    </row>
    <row r="34" spans="1:6" x14ac:dyDescent="0.3">
      <c r="A34" s="576" t="s">
        <v>962</v>
      </c>
      <c r="B34" s="598"/>
      <c r="C34" s="725">
        <v>22000</v>
      </c>
      <c r="D34" s="598"/>
      <c r="E34" s="598"/>
      <c r="F34" s="701"/>
    </row>
    <row r="35" spans="1:6" x14ac:dyDescent="0.3">
      <c r="A35" s="576" t="s">
        <v>94</v>
      </c>
      <c r="B35" s="598"/>
      <c r="C35" s="725">
        <v>0</v>
      </c>
      <c r="D35" s="598"/>
      <c r="E35" s="598"/>
      <c r="F35" s="598"/>
    </row>
    <row r="36" spans="1:6" x14ac:dyDescent="0.3">
      <c r="B36" s="598"/>
      <c r="C36" s="598"/>
      <c r="D36" s="598"/>
      <c r="E36" s="598"/>
      <c r="F36" s="598"/>
    </row>
    <row r="38" spans="1:6" ht="15" thickBot="1" x14ac:dyDescent="0.35"/>
    <row r="39" spans="1:6" x14ac:dyDescent="0.3">
      <c r="A39" s="594" t="s">
        <v>81</v>
      </c>
    </row>
    <row r="40" spans="1:6" ht="15" thickBot="1" x14ac:dyDescent="0.35">
      <c r="A40" s="595"/>
    </row>
    <row r="41" spans="1:6" x14ac:dyDescent="0.3">
      <c r="A41" s="594" t="s">
        <v>679</v>
      </c>
      <c r="B41" s="593" t="s">
        <v>735</v>
      </c>
      <c r="C41" s="594" t="s">
        <v>734</v>
      </c>
      <c r="D41" s="593" t="s">
        <v>141</v>
      </c>
      <c r="E41" s="593" t="s">
        <v>140</v>
      </c>
      <c r="F41" s="593" t="s">
        <v>733</v>
      </c>
    </row>
    <row r="42" spans="1:6" ht="15" thickBot="1" x14ac:dyDescent="0.35">
      <c r="A42" s="591" t="s">
        <v>754</v>
      </c>
      <c r="B42" s="591" t="s">
        <v>771</v>
      </c>
      <c r="C42" s="591" t="s">
        <v>770</v>
      </c>
      <c r="D42" s="592" t="s">
        <v>766</v>
      </c>
      <c r="E42" s="591" t="s">
        <v>262</v>
      </c>
      <c r="F42" s="591" t="s">
        <v>729</v>
      </c>
    </row>
    <row r="43" spans="1:6" ht="15" thickBot="1" x14ac:dyDescent="0.35">
      <c r="A43" s="590">
        <f>C4*C15</f>
        <v>20520</v>
      </c>
      <c r="B43" s="589">
        <f>C4*B24</f>
        <v>22000</v>
      </c>
      <c r="C43" s="579">
        <f>B26</f>
        <v>22900.000000000004</v>
      </c>
      <c r="D43" s="579">
        <f>A43-B43</f>
        <v>-1480</v>
      </c>
      <c r="E43" s="579">
        <f>B43-C43</f>
        <v>-900.00000000000364</v>
      </c>
      <c r="F43" s="579">
        <f>A43-C43</f>
        <v>-2380.0000000000036</v>
      </c>
    </row>
    <row r="44" spans="1:6" x14ac:dyDescent="0.3">
      <c r="A44" s="598"/>
      <c r="B44" s="598"/>
      <c r="C44" s="598"/>
      <c r="D44" s="598"/>
      <c r="E44" s="598"/>
      <c r="F44" s="598"/>
    </row>
    <row r="45" spans="1:6" x14ac:dyDescent="0.3">
      <c r="A45" s="598"/>
      <c r="B45" s="598"/>
      <c r="C45" s="598"/>
      <c r="D45" s="598"/>
      <c r="E45" s="598"/>
      <c r="F45" s="598"/>
    </row>
    <row r="46" spans="1:6" ht="15" thickBot="1" x14ac:dyDescent="0.35">
      <c r="A46" s="598"/>
      <c r="B46" s="598"/>
      <c r="C46" s="598"/>
      <c r="D46" s="598"/>
      <c r="E46" s="598"/>
      <c r="F46" s="598"/>
    </row>
    <row r="47" spans="1:6" x14ac:dyDescent="0.3">
      <c r="A47" s="735" t="s">
        <v>406</v>
      </c>
      <c r="B47" s="598"/>
      <c r="C47" s="598"/>
      <c r="D47" s="598"/>
      <c r="E47" s="598"/>
      <c r="F47" s="598"/>
    </row>
    <row r="48" spans="1:6" ht="15" thickBot="1" x14ac:dyDescent="0.35">
      <c r="A48" s="736"/>
      <c r="B48" s="598"/>
      <c r="C48" s="598"/>
      <c r="D48" s="598"/>
      <c r="E48" s="598"/>
      <c r="F48" s="598"/>
    </row>
    <row r="49" spans="1:7" x14ac:dyDescent="0.3">
      <c r="A49" s="735" t="s">
        <v>679</v>
      </c>
      <c r="B49" s="730" t="s">
        <v>735</v>
      </c>
      <c r="C49" s="735" t="s">
        <v>734</v>
      </c>
      <c r="D49" s="730" t="s">
        <v>79</v>
      </c>
      <c r="E49" s="730" t="s">
        <v>769</v>
      </c>
      <c r="F49" s="730" t="s">
        <v>733</v>
      </c>
    </row>
    <row r="50" spans="1:7" ht="15" thickBot="1" x14ac:dyDescent="0.35">
      <c r="A50" s="736" t="s">
        <v>768</v>
      </c>
      <c r="B50" s="736" t="s">
        <v>767</v>
      </c>
      <c r="C50" s="736" t="s">
        <v>730</v>
      </c>
      <c r="D50" s="736" t="s">
        <v>766</v>
      </c>
      <c r="E50" s="736" t="s">
        <v>262</v>
      </c>
      <c r="F50" s="736" t="s">
        <v>729</v>
      </c>
    </row>
    <row r="51" spans="1:7" ht="15" thickBot="1" x14ac:dyDescent="0.35">
      <c r="A51" s="590">
        <f>C5*C16</f>
        <v>82080</v>
      </c>
      <c r="B51" s="589">
        <f>C5*B29</f>
        <v>84000</v>
      </c>
      <c r="C51" s="579">
        <f>B31</f>
        <v>83299.86</v>
      </c>
      <c r="D51" s="579">
        <f>A51-B51</f>
        <v>-1920</v>
      </c>
      <c r="E51" s="579">
        <f>B51-C51</f>
        <v>700.13999999999942</v>
      </c>
      <c r="F51" s="579">
        <f>A51-C51</f>
        <v>-1219.8600000000006</v>
      </c>
    </row>
    <row r="52" spans="1:7" x14ac:dyDescent="0.3">
      <c r="A52" s="598"/>
      <c r="B52" s="598"/>
      <c r="C52" s="598"/>
      <c r="D52" s="598"/>
      <c r="E52" s="598"/>
      <c r="F52" s="598"/>
    </row>
    <row r="54" spans="1:7" x14ac:dyDescent="0.3">
      <c r="A54" s="576" t="s">
        <v>744</v>
      </c>
    </row>
    <row r="55" spans="1:7" ht="15" thickBot="1" x14ac:dyDescent="0.35"/>
    <row r="56" spans="1:7" ht="15" thickBot="1" x14ac:dyDescent="0.35">
      <c r="A56" s="593"/>
      <c r="B56" s="921" t="s">
        <v>173</v>
      </c>
      <c r="C56" s="922"/>
      <c r="D56" s="919"/>
      <c r="E56" s="583" t="s">
        <v>199</v>
      </c>
      <c r="F56" s="583" t="s">
        <v>378</v>
      </c>
    </row>
    <row r="57" spans="1:7" ht="15" thickBot="1" x14ac:dyDescent="0.35">
      <c r="A57" s="595"/>
      <c r="B57" s="656" t="s">
        <v>175</v>
      </c>
      <c r="C57" s="655" t="s">
        <v>176</v>
      </c>
      <c r="D57" s="654" t="s">
        <v>145</v>
      </c>
      <c r="E57" s="662" t="s">
        <v>193</v>
      </c>
      <c r="F57" s="662" t="s">
        <v>961</v>
      </c>
    </row>
    <row r="58" spans="1:7" x14ac:dyDescent="0.3">
      <c r="A58" s="576" t="s">
        <v>96</v>
      </c>
      <c r="B58" s="653">
        <f>C11</f>
        <v>10260</v>
      </c>
      <c r="C58" s="653">
        <f>C12</f>
        <v>20</v>
      </c>
      <c r="D58" s="729">
        <f>C58*B58</f>
        <v>205200</v>
      </c>
      <c r="E58" s="730">
        <f>D58</f>
        <v>205200</v>
      </c>
      <c r="F58" s="731"/>
      <c r="G58" s="598"/>
    </row>
    <row r="59" spans="1:7" x14ac:dyDescent="0.3">
      <c r="B59" s="659"/>
      <c r="C59" s="659"/>
      <c r="D59" s="598"/>
      <c r="E59" s="665"/>
      <c r="F59" s="668"/>
      <c r="G59" s="598"/>
    </row>
    <row r="60" spans="1:7" x14ac:dyDescent="0.3">
      <c r="A60" s="576" t="s">
        <v>88</v>
      </c>
      <c r="B60" s="659">
        <f>C15</f>
        <v>10260</v>
      </c>
      <c r="C60" s="659">
        <f>C4</f>
        <v>2</v>
      </c>
      <c r="D60" s="598">
        <f>C60*B60</f>
        <v>20520</v>
      </c>
      <c r="E60" s="665">
        <f>B26</f>
        <v>22900.000000000004</v>
      </c>
      <c r="F60" s="668">
        <f>D60-E60</f>
        <v>-2380.0000000000036</v>
      </c>
      <c r="G60" s="598"/>
    </row>
    <row r="61" spans="1:7" ht="15" thickBot="1" x14ac:dyDescent="0.35">
      <c r="A61" s="576" t="s">
        <v>925</v>
      </c>
      <c r="B61" s="659">
        <f>C16</f>
        <v>20520</v>
      </c>
      <c r="C61" s="659">
        <f>C5</f>
        <v>4</v>
      </c>
      <c r="D61" s="598">
        <f>C61*B61</f>
        <v>82080</v>
      </c>
      <c r="E61" s="665">
        <f>B31</f>
        <v>83299.86</v>
      </c>
      <c r="F61" s="671">
        <f>D61-E61</f>
        <v>-1219.8600000000006</v>
      </c>
      <c r="G61" s="598"/>
    </row>
    <row r="62" spans="1:7" ht="15" thickBot="1" x14ac:dyDescent="0.35">
      <c r="A62" s="670" t="s">
        <v>179</v>
      </c>
      <c r="B62" s="659"/>
      <c r="C62" s="659"/>
      <c r="D62" s="682"/>
      <c r="E62" s="665"/>
      <c r="F62" s="579">
        <f>SUM(F60:F61)</f>
        <v>-3599.8600000000042</v>
      </c>
      <c r="G62" s="598"/>
    </row>
    <row r="63" spans="1:7" ht="15" thickBot="1" x14ac:dyDescent="0.35">
      <c r="A63" s="642" t="s">
        <v>924</v>
      </c>
      <c r="B63" s="659"/>
      <c r="C63" s="659"/>
      <c r="D63" s="598"/>
      <c r="E63" s="665"/>
      <c r="F63" s="579" t="s">
        <v>386</v>
      </c>
      <c r="G63" s="598"/>
    </row>
    <row r="64" spans="1:7" ht="15" customHeight="1" x14ac:dyDescent="0.3">
      <c r="A64" s="576" t="s">
        <v>397</v>
      </c>
      <c r="B64" s="659">
        <f>C16</f>
        <v>20520</v>
      </c>
      <c r="C64" s="659">
        <f>C6</f>
        <v>3</v>
      </c>
      <c r="D64" s="598">
        <f>C64*B64</f>
        <v>61560</v>
      </c>
      <c r="E64" s="665">
        <f>C33</f>
        <v>59000</v>
      </c>
      <c r="F64" s="668">
        <f>D64-E64</f>
        <v>2560</v>
      </c>
      <c r="G64" s="598"/>
    </row>
    <row r="65" spans="1:7" ht="15" thickBot="1" x14ac:dyDescent="0.35">
      <c r="A65" s="652" t="s">
        <v>396</v>
      </c>
      <c r="B65" s="680">
        <f>B61</f>
        <v>20520</v>
      </c>
      <c r="C65" s="680">
        <f>C7</f>
        <v>1</v>
      </c>
      <c r="D65" s="601">
        <f>C65*B65</f>
        <v>20520</v>
      </c>
      <c r="E65" s="665">
        <f>C34</f>
        <v>22000</v>
      </c>
      <c r="F65" s="668">
        <f>D65-E65</f>
        <v>-1480</v>
      </c>
      <c r="G65" s="598"/>
    </row>
    <row r="66" spans="1:7" ht="15" customHeight="1" x14ac:dyDescent="0.3">
      <c r="A66" s="576" t="s">
        <v>381</v>
      </c>
      <c r="B66" s="659"/>
      <c r="C66" s="659"/>
      <c r="D66" s="598">
        <f>SUM(D60:D65)</f>
        <v>184680</v>
      </c>
      <c r="E66" s="665"/>
      <c r="F66" s="668"/>
      <c r="G66" s="598"/>
    </row>
    <row r="67" spans="1:7" ht="15" thickBot="1" x14ac:dyDescent="0.35">
      <c r="A67" s="597" t="s">
        <v>884</v>
      </c>
      <c r="B67" s="680"/>
      <c r="C67" s="680"/>
      <c r="D67" s="601">
        <v>0</v>
      </c>
      <c r="E67" s="665"/>
      <c r="F67" s="668"/>
      <c r="G67" s="598"/>
    </row>
    <row r="68" spans="1:7" x14ac:dyDescent="0.3">
      <c r="A68" s="576" t="s">
        <v>923</v>
      </c>
      <c r="B68" s="659"/>
      <c r="C68" s="659"/>
      <c r="D68" s="598"/>
      <c r="E68" s="665"/>
      <c r="F68" s="668"/>
      <c r="G68" s="598"/>
    </row>
    <row r="69" spans="1:7" x14ac:dyDescent="0.3">
      <c r="A69" s="576" t="s">
        <v>922</v>
      </c>
      <c r="B69" s="659"/>
      <c r="C69" s="659"/>
      <c r="D69" s="598">
        <f>D66</f>
        <v>184680</v>
      </c>
      <c r="E69" s="665"/>
      <c r="F69" s="668"/>
      <c r="G69" s="598"/>
    </row>
    <row r="70" spans="1:7" ht="15" thickBot="1" x14ac:dyDescent="0.35">
      <c r="A70" s="597" t="s">
        <v>882</v>
      </c>
      <c r="B70" s="680"/>
      <c r="C70" s="646"/>
      <c r="D70" s="601">
        <v>0</v>
      </c>
      <c r="E70" s="732"/>
      <c r="F70" s="668"/>
      <c r="G70" s="598"/>
    </row>
    <row r="71" spans="1:7" x14ac:dyDescent="0.3">
      <c r="A71" s="649"/>
      <c r="B71" s="660"/>
      <c r="C71" s="658"/>
      <c r="D71" s="598">
        <f>D69</f>
        <v>184680</v>
      </c>
      <c r="E71" s="665"/>
      <c r="F71" s="668"/>
      <c r="G71" s="598"/>
    </row>
    <row r="72" spans="1:7" ht="15" thickBot="1" x14ac:dyDescent="0.35">
      <c r="A72" s="647" t="s">
        <v>921</v>
      </c>
      <c r="B72" s="646">
        <f>B58</f>
        <v>10260</v>
      </c>
      <c r="C72" s="646">
        <f>C9</f>
        <v>0</v>
      </c>
      <c r="D72" s="601">
        <f>C72*B72</f>
        <v>0</v>
      </c>
      <c r="E72" s="665">
        <f>C35</f>
        <v>0</v>
      </c>
      <c r="F72" s="668">
        <f>D72-E72</f>
        <v>0</v>
      </c>
      <c r="G72" s="598"/>
    </row>
    <row r="73" spans="1:7" x14ac:dyDescent="0.3">
      <c r="A73" s="667" t="s">
        <v>384</v>
      </c>
      <c r="B73" s="730"/>
      <c r="C73" s="730"/>
      <c r="D73" s="730">
        <f>SUM(D71:D72)</f>
        <v>184680</v>
      </c>
      <c r="E73" s="730"/>
      <c r="F73" s="730"/>
      <c r="G73" s="598"/>
    </row>
    <row r="74" spans="1:7" x14ac:dyDescent="0.3">
      <c r="A74" s="576" t="s">
        <v>385</v>
      </c>
      <c r="B74" s="733"/>
      <c r="C74" s="733"/>
      <c r="D74" s="733">
        <f>D58-D73</f>
        <v>20520</v>
      </c>
      <c r="E74" s="733"/>
      <c r="F74" s="733"/>
      <c r="G74" s="598"/>
    </row>
    <row r="75" spans="1:7" x14ac:dyDescent="0.3">
      <c r="A75" s="576" t="s">
        <v>379</v>
      </c>
      <c r="B75" s="666"/>
      <c r="C75" s="666"/>
      <c r="D75" s="666">
        <f>F62</f>
        <v>-3599.8600000000042</v>
      </c>
      <c r="E75" s="666"/>
      <c r="F75" s="666"/>
      <c r="G75" s="598"/>
    </row>
    <row r="76" spans="1:7" x14ac:dyDescent="0.3">
      <c r="A76" s="576" t="s">
        <v>386</v>
      </c>
      <c r="B76" s="665"/>
      <c r="C76" s="665"/>
      <c r="D76" s="665">
        <f>F76</f>
        <v>1080</v>
      </c>
      <c r="E76" s="665"/>
      <c r="F76" s="665">
        <f>F64+F65+F72</f>
        <v>1080</v>
      </c>
      <c r="G76" s="598"/>
    </row>
    <row r="77" spans="1:7" ht="15" thickBot="1" x14ac:dyDescent="0.35">
      <c r="A77" s="576" t="s">
        <v>187</v>
      </c>
      <c r="B77" s="664"/>
      <c r="C77" s="664"/>
      <c r="D77" s="664">
        <f>D74+D75+D76</f>
        <v>18000.139999999996</v>
      </c>
      <c r="E77" s="664"/>
      <c r="F77" s="664"/>
      <c r="G77" s="598"/>
    </row>
    <row r="78" spans="1:7" x14ac:dyDescent="0.3">
      <c r="B78" s="598"/>
      <c r="C78" s="598"/>
      <c r="D78" s="598"/>
      <c r="E78" s="598"/>
      <c r="F78" s="598"/>
      <c r="G78" s="598"/>
    </row>
    <row r="80" spans="1:7" x14ac:dyDescent="0.3">
      <c r="A80" s="576" t="s">
        <v>742</v>
      </c>
    </row>
    <row r="81" spans="1:7" ht="15" thickBot="1" x14ac:dyDescent="0.35"/>
    <row r="82" spans="1:7" x14ac:dyDescent="0.3">
      <c r="A82" s="585" t="s">
        <v>957</v>
      </c>
      <c r="B82" s="674" t="s">
        <v>679</v>
      </c>
      <c r="C82" s="673" t="s">
        <v>960</v>
      </c>
      <c r="D82" s="583" t="s">
        <v>83</v>
      </c>
      <c r="E82" s="583" t="s">
        <v>249</v>
      </c>
      <c r="F82" s="584" t="s">
        <v>293</v>
      </c>
      <c r="G82" s="583" t="s">
        <v>733</v>
      </c>
    </row>
    <row r="83" spans="1:7" ht="17.399999999999999" thickBot="1" x14ac:dyDescent="0.4">
      <c r="A83" s="587" t="s">
        <v>959</v>
      </c>
      <c r="B83" s="672" t="s">
        <v>958</v>
      </c>
      <c r="C83" s="672"/>
      <c r="D83" s="581" t="s">
        <v>588</v>
      </c>
      <c r="E83" s="581" t="s">
        <v>261</v>
      </c>
      <c r="F83" s="581" t="s">
        <v>262</v>
      </c>
      <c r="G83" s="581" t="s">
        <v>729</v>
      </c>
    </row>
    <row r="84" spans="1:7" ht="15" thickBot="1" x14ac:dyDescent="0.35">
      <c r="A84" s="595"/>
      <c r="B84" s="590">
        <f>C16*C6</f>
        <v>61560</v>
      </c>
      <c r="C84" s="590">
        <f>E33</f>
        <v>60000</v>
      </c>
      <c r="D84" s="589">
        <f>C33</f>
        <v>59000</v>
      </c>
      <c r="E84" s="589">
        <f>B84-C84</f>
        <v>1560</v>
      </c>
      <c r="F84" s="589">
        <f>C84-D84</f>
        <v>1000</v>
      </c>
      <c r="G84" s="663">
        <f>B84-D84</f>
        <v>2560</v>
      </c>
    </row>
    <row r="86" spans="1:7" ht="15" thickBot="1" x14ac:dyDescent="0.35"/>
    <row r="87" spans="1:7" x14ac:dyDescent="0.3">
      <c r="A87" s="585" t="s">
        <v>957</v>
      </c>
      <c r="B87" s="674" t="s">
        <v>679</v>
      </c>
      <c r="C87" s="673" t="s">
        <v>376</v>
      </c>
      <c r="D87" s="583" t="s">
        <v>83</v>
      </c>
      <c r="E87" s="584" t="s">
        <v>370</v>
      </c>
      <c r="F87" s="584" t="s">
        <v>293</v>
      </c>
      <c r="G87" s="583" t="s">
        <v>733</v>
      </c>
    </row>
    <row r="88" spans="1:7" ht="17.399999999999999" thickBot="1" x14ac:dyDescent="0.4">
      <c r="A88" s="587" t="s">
        <v>956</v>
      </c>
      <c r="B88" s="672" t="s">
        <v>955</v>
      </c>
      <c r="C88" s="672" t="s">
        <v>954</v>
      </c>
      <c r="D88" s="662" t="s">
        <v>84</v>
      </c>
      <c r="E88" s="581" t="s">
        <v>261</v>
      </c>
      <c r="F88" s="581" t="s">
        <v>262</v>
      </c>
      <c r="G88" s="581" t="s">
        <v>729</v>
      </c>
    </row>
    <row r="89" spans="1:7" ht="15" thickBot="1" x14ac:dyDescent="0.35">
      <c r="A89" s="595"/>
      <c r="B89" s="590">
        <f>C16*C7</f>
        <v>20520</v>
      </c>
      <c r="C89" s="590">
        <f>B29*C7</f>
        <v>21000</v>
      </c>
      <c r="D89" s="589">
        <f>C34</f>
        <v>22000</v>
      </c>
      <c r="E89" s="579">
        <f>B89-C89</f>
        <v>-480</v>
      </c>
      <c r="F89" s="579">
        <f>C89-D89</f>
        <v>-1000</v>
      </c>
      <c r="G89" s="578">
        <f>B89-D89</f>
        <v>-1480</v>
      </c>
    </row>
    <row r="93" spans="1:7" x14ac:dyDescent="0.3">
      <c r="A93" s="576" t="s">
        <v>980</v>
      </c>
    </row>
    <row r="94" spans="1:7" x14ac:dyDescent="0.3">
      <c r="B94" s="586" t="s">
        <v>929</v>
      </c>
      <c r="C94" s="586" t="s">
        <v>928</v>
      </c>
      <c r="D94" s="586" t="s">
        <v>794</v>
      </c>
    </row>
    <row r="95" spans="1:7" x14ac:dyDescent="0.3">
      <c r="A95" s="577" t="s">
        <v>821</v>
      </c>
      <c r="B95" s="723">
        <v>1</v>
      </c>
      <c r="C95" s="723">
        <v>2</v>
      </c>
      <c r="D95" s="576">
        <f>B95*C95</f>
        <v>2</v>
      </c>
    </row>
    <row r="96" spans="1:7" x14ac:dyDescent="0.3">
      <c r="A96" s="576" t="s">
        <v>90</v>
      </c>
      <c r="B96" s="723">
        <v>2</v>
      </c>
      <c r="C96" s="723">
        <v>4</v>
      </c>
      <c r="D96" s="576">
        <f>B96*C96</f>
        <v>8</v>
      </c>
    </row>
    <row r="97" spans="1:4" x14ac:dyDescent="0.3">
      <c r="A97" s="576" t="s">
        <v>927</v>
      </c>
      <c r="B97" s="723">
        <f>B96</f>
        <v>2</v>
      </c>
      <c r="C97" s="723">
        <v>3</v>
      </c>
      <c r="D97" s="576">
        <f>B97*C97</f>
        <v>6</v>
      </c>
    </row>
    <row r="98" spans="1:4" x14ac:dyDescent="0.3">
      <c r="A98" s="719" t="s">
        <v>926</v>
      </c>
      <c r="B98" s="728">
        <f>B97</f>
        <v>2</v>
      </c>
      <c r="C98" s="728">
        <v>1</v>
      </c>
      <c r="D98" s="708">
        <f>B98*C98</f>
        <v>2</v>
      </c>
    </row>
    <row r="99" spans="1:4" x14ac:dyDescent="0.3">
      <c r="A99" s="576" t="s">
        <v>93</v>
      </c>
      <c r="D99" s="576">
        <f>SUM(D95:D98)</f>
        <v>18</v>
      </c>
    </row>
    <row r="100" spans="1:4" ht="15" thickBot="1" x14ac:dyDescent="0.35">
      <c r="A100" s="597" t="s">
        <v>818</v>
      </c>
      <c r="B100" s="724">
        <v>0</v>
      </c>
      <c r="C100" s="724">
        <v>0</v>
      </c>
      <c r="D100" s="597">
        <f>B100*C100</f>
        <v>0</v>
      </c>
    </row>
    <row r="101" spans="1:4" ht="15" thickBot="1" x14ac:dyDescent="0.35">
      <c r="A101" s="603" t="s">
        <v>95</v>
      </c>
      <c r="B101" s="597"/>
      <c r="C101" s="597"/>
      <c r="D101" s="603">
        <f>SUM(D99:D100)</f>
        <v>18</v>
      </c>
    </row>
    <row r="102" spans="1:4" x14ac:dyDescent="0.3">
      <c r="A102" s="576" t="s">
        <v>817</v>
      </c>
      <c r="C102" s="725">
        <v>9000</v>
      </c>
    </row>
    <row r="103" spans="1:4" x14ac:dyDescent="0.3">
      <c r="A103" s="576" t="s">
        <v>473</v>
      </c>
      <c r="C103" s="725">
        <v>20</v>
      </c>
    </row>
    <row r="105" spans="1:4" x14ac:dyDescent="0.3">
      <c r="A105" s="576" t="s">
        <v>860</v>
      </c>
    </row>
    <row r="106" spans="1:4" x14ac:dyDescent="0.3">
      <c r="A106" s="577" t="s">
        <v>974</v>
      </c>
      <c r="C106" s="598">
        <f>C102*B95</f>
        <v>9000</v>
      </c>
      <c r="D106" s="576" t="s">
        <v>146</v>
      </c>
    </row>
    <row r="107" spans="1:4" x14ac:dyDescent="0.3">
      <c r="A107" s="577" t="s">
        <v>972</v>
      </c>
      <c r="C107" s="598">
        <f>C102*B96</f>
        <v>18000</v>
      </c>
      <c r="D107" s="576" t="s">
        <v>773</v>
      </c>
    </row>
    <row r="112" spans="1:4" x14ac:dyDescent="0.3">
      <c r="A112" s="577" t="s">
        <v>970</v>
      </c>
    </row>
    <row r="114" spans="1:6" x14ac:dyDescent="0.3">
      <c r="A114" s="576" t="s">
        <v>969</v>
      </c>
    </row>
    <row r="115" spans="1:6" x14ac:dyDescent="0.3">
      <c r="A115" s="679" t="s">
        <v>979</v>
      </c>
      <c r="B115" s="726">
        <v>10000</v>
      </c>
      <c r="C115" s="637"/>
      <c r="D115" s="637"/>
      <c r="E115" s="637"/>
    </row>
    <row r="116" spans="1:6" x14ac:dyDescent="0.3">
      <c r="A116" s="676" t="s">
        <v>967</v>
      </c>
      <c r="B116" s="675">
        <f>B117/B115</f>
        <v>2</v>
      </c>
    </row>
    <row r="117" spans="1:6" x14ac:dyDescent="0.3">
      <c r="A117" s="576" t="s">
        <v>964</v>
      </c>
      <c r="B117" s="725">
        <v>20000</v>
      </c>
    </row>
    <row r="119" spans="1:6" x14ac:dyDescent="0.3">
      <c r="A119" s="576" t="s">
        <v>492</v>
      </c>
    </row>
    <row r="120" spans="1:6" x14ac:dyDescent="0.3">
      <c r="A120" s="577" t="s">
        <v>978</v>
      </c>
      <c r="B120" s="725">
        <v>16800</v>
      </c>
      <c r="C120" s="577" t="s">
        <v>977</v>
      </c>
    </row>
    <row r="121" spans="1:6" x14ac:dyDescent="0.3">
      <c r="A121" s="577" t="s">
        <v>965</v>
      </c>
      <c r="B121" s="576">
        <f>B122/B120</f>
        <v>4.7797619047619051</v>
      </c>
    </row>
    <row r="122" spans="1:6" x14ac:dyDescent="0.3">
      <c r="A122" s="576" t="s">
        <v>964</v>
      </c>
      <c r="B122" s="734">
        <v>80300</v>
      </c>
    </row>
    <row r="124" spans="1:6" x14ac:dyDescent="0.3">
      <c r="A124" s="577" t="s">
        <v>963</v>
      </c>
      <c r="C124" s="725">
        <v>59000</v>
      </c>
      <c r="D124" s="637" t="s">
        <v>497</v>
      </c>
      <c r="E124" s="726">
        <v>60000</v>
      </c>
    </row>
    <row r="125" spans="1:6" x14ac:dyDescent="0.3">
      <c r="A125" s="576" t="s">
        <v>962</v>
      </c>
      <c r="C125" s="725">
        <v>22000</v>
      </c>
      <c r="F125" s="577"/>
    </row>
    <row r="126" spans="1:6" x14ac:dyDescent="0.3">
      <c r="A126" s="576" t="s">
        <v>94</v>
      </c>
      <c r="C126" s="725">
        <v>0</v>
      </c>
      <c r="F126" s="598"/>
    </row>
    <row r="129" spans="1:7" ht="15" thickBot="1" x14ac:dyDescent="0.35"/>
    <row r="130" spans="1:7" x14ac:dyDescent="0.3">
      <c r="A130" s="594" t="s">
        <v>81</v>
      </c>
    </row>
    <row r="131" spans="1:7" ht="15" thickBot="1" x14ac:dyDescent="0.35">
      <c r="A131" s="595"/>
    </row>
    <row r="132" spans="1:7" x14ac:dyDescent="0.3">
      <c r="A132" s="594" t="s">
        <v>679</v>
      </c>
      <c r="B132" s="593" t="s">
        <v>735</v>
      </c>
      <c r="C132" s="594" t="s">
        <v>734</v>
      </c>
      <c r="D132" s="593" t="s">
        <v>141</v>
      </c>
      <c r="E132" s="593" t="s">
        <v>140</v>
      </c>
      <c r="F132" s="593" t="s">
        <v>733</v>
      </c>
    </row>
    <row r="133" spans="1:7" ht="15" thickBot="1" x14ac:dyDescent="0.35">
      <c r="A133" s="591" t="s">
        <v>754</v>
      </c>
      <c r="B133" s="591" t="s">
        <v>771</v>
      </c>
      <c r="C133" s="591" t="s">
        <v>770</v>
      </c>
      <c r="D133" s="592" t="s">
        <v>766</v>
      </c>
      <c r="E133" s="591" t="s">
        <v>262</v>
      </c>
      <c r="F133" s="591" t="s">
        <v>729</v>
      </c>
    </row>
    <row r="134" spans="1:7" ht="15" thickBot="1" x14ac:dyDescent="0.35">
      <c r="A134" s="590">
        <f>C95*C106</f>
        <v>18000</v>
      </c>
      <c r="B134" s="589">
        <f>C95*B115</f>
        <v>20000</v>
      </c>
      <c r="C134" s="579">
        <f>B117</f>
        <v>20000</v>
      </c>
      <c r="D134" s="579">
        <f>A134-B134</f>
        <v>-2000</v>
      </c>
      <c r="E134" s="579">
        <f>B134-C134</f>
        <v>0</v>
      </c>
      <c r="F134" s="579">
        <f>A134-C134</f>
        <v>-2000</v>
      </c>
      <c r="G134" s="598"/>
    </row>
    <row r="135" spans="1:7" x14ac:dyDescent="0.3">
      <c r="A135" s="598"/>
      <c r="B135" s="598"/>
      <c r="C135" s="598"/>
      <c r="D135" s="598"/>
      <c r="E135" s="598"/>
      <c r="F135" s="598"/>
      <c r="G135" s="598"/>
    </row>
    <row r="136" spans="1:7" x14ac:dyDescent="0.3">
      <c r="A136" s="598"/>
      <c r="B136" s="598"/>
      <c r="C136" s="598"/>
      <c r="D136" s="598"/>
      <c r="E136" s="598"/>
      <c r="F136" s="598"/>
      <c r="G136" s="598"/>
    </row>
    <row r="137" spans="1:7" ht="15" thickBot="1" x14ac:dyDescent="0.35">
      <c r="A137" s="598"/>
      <c r="B137" s="598"/>
      <c r="C137" s="598"/>
      <c r="D137" s="598"/>
      <c r="E137" s="598"/>
      <c r="F137" s="598"/>
      <c r="G137" s="598"/>
    </row>
    <row r="138" spans="1:7" x14ac:dyDescent="0.3">
      <c r="A138" s="735" t="s">
        <v>406</v>
      </c>
      <c r="B138" s="598"/>
      <c r="C138" s="598"/>
      <c r="D138" s="598"/>
      <c r="E138" s="598"/>
      <c r="F138" s="598"/>
      <c r="G138" s="598"/>
    </row>
    <row r="139" spans="1:7" ht="15" thickBot="1" x14ac:dyDescent="0.35">
      <c r="A139" s="736"/>
      <c r="B139" s="598"/>
      <c r="C139" s="598"/>
      <c r="D139" s="598"/>
      <c r="E139" s="598"/>
      <c r="F139" s="598"/>
      <c r="G139" s="598"/>
    </row>
    <row r="140" spans="1:7" x14ac:dyDescent="0.3">
      <c r="A140" s="735" t="s">
        <v>679</v>
      </c>
      <c r="B140" s="730" t="s">
        <v>735</v>
      </c>
      <c r="C140" s="735" t="s">
        <v>734</v>
      </c>
      <c r="D140" s="730" t="s">
        <v>79</v>
      </c>
      <c r="E140" s="730" t="s">
        <v>769</v>
      </c>
      <c r="F140" s="730" t="s">
        <v>733</v>
      </c>
      <c r="G140" s="598"/>
    </row>
    <row r="141" spans="1:7" ht="15" thickBot="1" x14ac:dyDescent="0.35">
      <c r="A141" s="736" t="s">
        <v>768</v>
      </c>
      <c r="B141" s="736" t="s">
        <v>767</v>
      </c>
      <c r="C141" s="736" t="s">
        <v>730</v>
      </c>
      <c r="D141" s="736" t="s">
        <v>766</v>
      </c>
      <c r="E141" s="736" t="s">
        <v>262</v>
      </c>
      <c r="F141" s="736" t="s">
        <v>729</v>
      </c>
      <c r="G141" s="598"/>
    </row>
    <row r="142" spans="1:7" ht="15" thickBot="1" x14ac:dyDescent="0.35">
      <c r="A142" s="590">
        <f>C96*C107</f>
        <v>72000</v>
      </c>
      <c r="B142" s="589">
        <f>C96*B120</f>
        <v>67200</v>
      </c>
      <c r="C142" s="579">
        <f>B122</f>
        <v>80300</v>
      </c>
      <c r="D142" s="579">
        <f>A142-B142</f>
        <v>4800</v>
      </c>
      <c r="E142" s="579">
        <f>B142-C142</f>
        <v>-13100</v>
      </c>
      <c r="F142" s="579">
        <f>A142-C142</f>
        <v>-8300</v>
      </c>
      <c r="G142" s="598"/>
    </row>
    <row r="143" spans="1:7" x14ac:dyDescent="0.3">
      <c r="A143" s="598"/>
      <c r="B143" s="598"/>
      <c r="C143" s="598"/>
      <c r="D143" s="598"/>
      <c r="E143" s="598"/>
      <c r="F143" s="598"/>
      <c r="G143" s="598"/>
    </row>
    <row r="144" spans="1:7" x14ac:dyDescent="0.3">
      <c r="A144" s="598"/>
      <c r="B144" s="598"/>
      <c r="C144" s="598"/>
      <c r="D144" s="598"/>
      <c r="E144" s="598"/>
      <c r="F144" s="598"/>
      <c r="G144" s="598"/>
    </row>
    <row r="145" spans="1:7" x14ac:dyDescent="0.3">
      <c r="A145" s="576" t="s">
        <v>854</v>
      </c>
    </row>
    <row r="146" spans="1:7" ht="15" thickBot="1" x14ac:dyDescent="0.35"/>
    <row r="147" spans="1:7" ht="15" thickBot="1" x14ac:dyDescent="0.35">
      <c r="A147" s="593"/>
      <c r="B147" s="921" t="s">
        <v>173</v>
      </c>
      <c r="C147" s="922"/>
      <c r="D147" s="919"/>
      <c r="E147" s="583" t="s">
        <v>199</v>
      </c>
      <c r="F147" s="583" t="s">
        <v>378</v>
      </c>
    </row>
    <row r="148" spans="1:7" ht="15" thickBot="1" x14ac:dyDescent="0.35">
      <c r="A148" s="595"/>
      <c r="B148" s="656" t="s">
        <v>175</v>
      </c>
      <c r="C148" s="655" t="s">
        <v>176</v>
      </c>
      <c r="D148" s="654" t="s">
        <v>145</v>
      </c>
      <c r="E148" s="662" t="s">
        <v>193</v>
      </c>
      <c r="F148" s="662" t="s">
        <v>961</v>
      </c>
    </row>
    <row r="149" spans="1:7" x14ac:dyDescent="0.3">
      <c r="A149" s="576" t="s">
        <v>96</v>
      </c>
      <c r="B149" s="653">
        <f>C102</f>
        <v>9000</v>
      </c>
      <c r="C149" s="653">
        <f>C103</f>
        <v>20</v>
      </c>
      <c r="D149" s="729">
        <f>C149*B149</f>
        <v>180000</v>
      </c>
      <c r="E149" s="730">
        <f>D149</f>
        <v>180000</v>
      </c>
      <c r="F149" s="731"/>
      <c r="G149" s="598"/>
    </row>
    <row r="150" spans="1:7" x14ac:dyDescent="0.3">
      <c r="B150" s="659"/>
      <c r="C150" s="659"/>
      <c r="D150" s="598"/>
      <c r="E150" s="665"/>
      <c r="F150" s="668"/>
      <c r="G150" s="598"/>
    </row>
    <row r="151" spans="1:7" x14ac:dyDescent="0.3">
      <c r="A151" s="576" t="s">
        <v>88</v>
      </c>
      <c r="B151" s="659">
        <f>C106</f>
        <v>9000</v>
      </c>
      <c r="C151" s="659">
        <f>C95</f>
        <v>2</v>
      </c>
      <c r="D151" s="598">
        <f>C151*B151</f>
        <v>18000</v>
      </c>
      <c r="E151" s="665">
        <f>B117</f>
        <v>20000</v>
      </c>
      <c r="F151" s="668">
        <f>D151-E151</f>
        <v>-2000</v>
      </c>
      <c r="G151" s="598"/>
    </row>
    <row r="152" spans="1:7" ht="15" thickBot="1" x14ac:dyDescent="0.35">
      <c r="A152" s="576" t="s">
        <v>925</v>
      </c>
      <c r="B152" s="659">
        <f>C107</f>
        <v>18000</v>
      </c>
      <c r="C152" s="659">
        <f>C96</f>
        <v>4</v>
      </c>
      <c r="D152" s="598">
        <f>C152*B152</f>
        <v>72000</v>
      </c>
      <c r="E152" s="665">
        <f>B122</f>
        <v>80300</v>
      </c>
      <c r="F152" s="671">
        <f>D152-E152</f>
        <v>-8300</v>
      </c>
      <c r="G152" s="598"/>
    </row>
    <row r="153" spans="1:7" ht="15" thickBot="1" x14ac:dyDescent="0.35">
      <c r="A153" s="670" t="s">
        <v>179</v>
      </c>
      <c r="B153" s="659"/>
      <c r="C153" s="659"/>
      <c r="D153" s="682"/>
      <c r="E153" s="665"/>
      <c r="F153" s="579">
        <f>SUM(F151:F152)</f>
        <v>-10300</v>
      </c>
      <c r="G153" s="598"/>
    </row>
    <row r="154" spans="1:7" ht="15" thickBot="1" x14ac:dyDescent="0.35">
      <c r="A154" s="642" t="s">
        <v>924</v>
      </c>
      <c r="B154" s="659"/>
      <c r="C154" s="659"/>
      <c r="D154" s="598"/>
      <c r="E154" s="665"/>
      <c r="F154" s="579" t="s">
        <v>386</v>
      </c>
      <c r="G154" s="598"/>
    </row>
    <row r="155" spans="1:7" x14ac:dyDescent="0.3">
      <c r="A155" s="576" t="s">
        <v>397</v>
      </c>
      <c r="B155" s="659">
        <f>C107</f>
        <v>18000</v>
      </c>
      <c r="C155" s="659">
        <f>C97</f>
        <v>3</v>
      </c>
      <c r="D155" s="598">
        <f>C155*B155</f>
        <v>54000</v>
      </c>
      <c r="E155" s="665">
        <f>C124</f>
        <v>59000</v>
      </c>
      <c r="F155" s="668">
        <f>D155-E155</f>
        <v>-5000</v>
      </c>
      <c r="G155" s="598"/>
    </row>
    <row r="156" spans="1:7" ht="15" thickBot="1" x14ac:dyDescent="0.35">
      <c r="A156" s="652" t="s">
        <v>396</v>
      </c>
      <c r="B156" s="680">
        <f>B152</f>
        <v>18000</v>
      </c>
      <c r="C156" s="680">
        <f>C98</f>
        <v>1</v>
      </c>
      <c r="D156" s="601">
        <f>C156*B156</f>
        <v>18000</v>
      </c>
      <c r="E156" s="665">
        <f>C125</f>
        <v>22000</v>
      </c>
      <c r="F156" s="668">
        <f>D156-E156</f>
        <v>-4000</v>
      </c>
      <c r="G156" s="598"/>
    </row>
    <row r="157" spans="1:7" x14ac:dyDescent="0.3">
      <c r="A157" s="576" t="s">
        <v>381</v>
      </c>
      <c r="B157" s="659"/>
      <c r="C157" s="659"/>
      <c r="D157" s="598">
        <f>SUM(D151:D156)</f>
        <v>162000</v>
      </c>
      <c r="E157" s="665"/>
      <c r="F157" s="668"/>
      <c r="G157" s="598"/>
    </row>
    <row r="158" spans="1:7" ht="15" thickBot="1" x14ac:dyDescent="0.35">
      <c r="A158" s="597" t="s">
        <v>884</v>
      </c>
      <c r="B158" s="680"/>
      <c r="C158" s="680"/>
      <c r="D158" s="601">
        <v>0</v>
      </c>
      <c r="E158" s="665"/>
      <c r="F158" s="668"/>
      <c r="G158" s="598"/>
    </row>
    <row r="159" spans="1:7" x14ac:dyDescent="0.3">
      <c r="A159" s="576" t="s">
        <v>923</v>
      </c>
      <c r="B159" s="659"/>
      <c r="C159" s="659"/>
      <c r="D159" s="598"/>
      <c r="E159" s="665"/>
      <c r="F159" s="668"/>
      <c r="G159" s="598"/>
    </row>
    <row r="160" spans="1:7" x14ac:dyDescent="0.3">
      <c r="A160" s="576" t="s">
        <v>922</v>
      </c>
      <c r="B160" s="659"/>
      <c r="C160" s="659"/>
      <c r="D160" s="598">
        <f>D157</f>
        <v>162000</v>
      </c>
      <c r="E160" s="665"/>
      <c r="F160" s="668"/>
      <c r="G160" s="598"/>
    </row>
    <row r="161" spans="1:7" ht="15" thickBot="1" x14ac:dyDescent="0.35">
      <c r="A161" s="597" t="s">
        <v>882</v>
      </c>
      <c r="B161" s="680"/>
      <c r="C161" s="646"/>
      <c r="D161" s="601">
        <v>0</v>
      </c>
      <c r="E161" s="732"/>
      <c r="F161" s="668"/>
      <c r="G161" s="598"/>
    </row>
    <row r="162" spans="1:7" x14ac:dyDescent="0.3">
      <c r="A162" s="649"/>
      <c r="B162" s="660"/>
      <c r="C162" s="658"/>
      <c r="D162" s="598">
        <f>D160</f>
        <v>162000</v>
      </c>
      <c r="E162" s="665"/>
      <c r="F162" s="668"/>
      <c r="G162" s="598"/>
    </row>
    <row r="163" spans="1:7" ht="15" thickBot="1" x14ac:dyDescent="0.35">
      <c r="A163" s="647" t="s">
        <v>921</v>
      </c>
      <c r="B163" s="646">
        <f>B149</f>
        <v>9000</v>
      </c>
      <c r="C163" s="646">
        <f>C100</f>
        <v>0</v>
      </c>
      <c r="D163" s="601">
        <f>C163*B163</f>
        <v>0</v>
      </c>
      <c r="E163" s="665">
        <f>C126</f>
        <v>0</v>
      </c>
      <c r="F163" s="668">
        <f>D163-E163</f>
        <v>0</v>
      </c>
      <c r="G163" s="598"/>
    </row>
    <row r="164" spans="1:7" x14ac:dyDescent="0.3">
      <c r="A164" s="667" t="s">
        <v>384</v>
      </c>
      <c r="B164" s="730"/>
      <c r="C164" s="730"/>
      <c r="D164" s="730">
        <f>SUM(D162:D163)</f>
        <v>162000</v>
      </c>
      <c r="E164" s="730"/>
      <c r="F164" s="730"/>
      <c r="G164" s="598"/>
    </row>
    <row r="165" spans="1:7" x14ac:dyDescent="0.3">
      <c r="A165" s="576" t="s">
        <v>385</v>
      </c>
      <c r="B165" s="733"/>
      <c r="C165" s="733"/>
      <c r="D165" s="733">
        <f>D149-D164</f>
        <v>18000</v>
      </c>
      <c r="E165" s="733"/>
      <c r="F165" s="733"/>
      <c r="G165" s="598"/>
    </row>
    <row r="166" spans="1:7" x14ac:dyDescent="0.3">
      <c r="A166" s="576" t="s">
        <v>379</v>
      </c>
      <c r="B166" s="666"/>
      <c r="C166" s="666"/>
      <c r="D166" s="666">
        <f>F153</f>
        <v>-10300</v>
      </c>
      <c r="E166" s="666"/>
      <c r="F166" s="666"/>
      <c r="G166" s="598"/>
    </row>
    <row r="167" spans="1:7" x14ac:dyDescent="0.3">
      <c r="A167" s="576" t="s">
        <v>386</v>
      </c>
      <c r="B167" s="665"/>
      <c r="C167" s="665"/>
      <c r="D167" s="665">
        <f>F167</f>
        <v>-9000</v>
      </c>
      <c r="E167" s="665"/>
      <c r="F167" s="665">
        <f>F155+F156+F163</f>
        <v>-9000</v>
      </c>
      <c r="G167" s="598"/>
    </row>
    <row r="168" spans="1:7" ht="15" thickBot="1" x14ac:dyDescent="0.35">
      <c r="A168" s="576" t="s">
        <v>187</v>
      </c>
      <c r="B168" s="664"/>
      <c r="C168" s="664"/>
      <c r="D168" s="664">
        <f>D165+D166+D167</f>
        <v>-1300</v>
      </c>
      <c r="E168" s="664"/>
      <c r="F168" s="664"/>
      <c r="G168" s="598"/>
    </row>
    <row r="169" spans="1:7" x14ac:dyDescent="0.3">
      <c r="B169" s="598"/>
      <c r="C169" s="598"/>
      <c r="D169" s="598"/>
      <c r="E169" s="598"/>
      <c r="F169" s="598"/>
      <c r="G169" s="598"/>
    </row>
    <row r="171" spans="1:7" x14ac:dyDescent="0.3">
      <c r="A171" s="576" t="s">
        <v>976</v>
      </c>
    </row>
    <row r="172" spans="1:7" ht="15" thickBot="1" x14ac:dyDescent="0.35"/>
    <row r="173" spans="1:7" x14ac:dyDescent="0.3">
      <c r="A173" s="585" t="s">
        <v>957</v>
      </c>
      <c r="B173" s="674" t="s">
        <v>679</v>
      </c>
      <c r="C173" s="673" t="s">
        <v>960</v>
      </c>
      <c r="D173" s="583" t="s">
        <v>83</v>
      </c>
      <c r="E173" s="583" t="s">
        <v>249</v>
      </c>
      <c r="F173" s="584" t="s">
        <v>293</v>
      </c>
      <c r="G173" s="583" t="s">
        <v>733</v>
      </c>
    </row>
    <row r="174" spans="1:7" ht="17.399999999999999" thickBot="1" x14ac:dyDescent="0.4">
      <c r="A174" s="587" t="s">
        <v>959</v>
      </c>
      <c r="B174" s="672" t="s">
        <v>958</v>
      </c>
      <c r="C174" s="672"/>
      <c r="D174" s="581" t="s">
        <v>588</v>
      </c>
      <c r="E174" s="581" t="s">
        <v>261</v>
      </c>
      <c r="F174" s="581" t="s">
        <v>262</v>
      </c>
      <c r="G174" s="581" t="s">
        <v>729</v>
      </c>
    </row>
    <row r="175" spans="1:7" ht="15" thickBot="1" x14ac:dyDescent="0.35">
      <c r="A175" s="595"/>
      <c r="B175" s="590">
        <f>C107*C97</f>
        <v>54000</v>
      </c>
      <c r="C175" s="590">
        <f>E124</f>
        <v>60000</v>
      </c>
      <c r="D175" s="589">
        <f>C124</f>
        <v>59000</v>
      </c>
      <c r="E175" s="589">
        <f>B175-C175</f>
        <v>-6000</v>
      </c>
      <c r="F175" s="589">
        <f>C175-D175</f>
        <v>1000</v>
      </c>
      <c r="G175" s="663">
        <f>B175-D175</f>
        <v>-5000</v>
      </c>
    </row>
    <row r="177" spans="1:7" ht="15" thickBot="1" x14ac:dyDescent="0.35"/>
    <row r="178" spans="1:7" x14ac:dyDescent="0.3">
      <c r="A178" s="585" t="s">
        <v>957</v>
      </c>
      <c r="B178" s="674" t="s">
        <v>679</v>
      </c>
      <c r="C178" s="673" t="s">
        <v>376</v>
      </c>
      <c r="D178" s="583" t="s">
        <v>83</v>
      </c>
      <c r="E178" s="584" t="s">
        <v>370</v>
      </c>
      <c r="F178" s="584" t="s">
        <v>293</v>
      </c>
      <c r="G178" s="583" t="s">
        <v>733</v>
      </c>
    </row>
    <row r="179" spans="1:7" ht="17.399999999999999" thickBot="1" x14ac:dyDescent="0.4">
      <c r="A179" s="587" t="s">
        <v>956</v>
      </c>
      <c r="B179" s="672" t="s">
        <v>955</v>
      </c>
      <c r="C179" s="672" t="s">
        <v>954</v>
      </c>
      <c r="D179" s="662" t="s">
        <v>84</v>
      </c>
      <c r="E179" s="581" t="s">
        <v>261</v>
      </c>
      <c r="F179" s="581" t="s">
        <v>262</v>
      </c>
      <c r="G179" s="581" t="s">
        <v>729</v>
      </c>
    </row>
    <row r="180" spans="1:7" ht="15" thickBot="1" x14ac:dyDescent="0.35">
      <c r="A180" s="595"/>
      <c r="B180" s="590">
        <f>C107*C98</f>
        <v>18000</v>
      </c>
      <c r="C180" s="590">
        <f>B120*C98</f>
        <v>16800</v>
      </c>
      <c r="D180" s="589">
        <f>C125</f>
        <v>22000</v>
      </c>
      <c r="E180" s="589">
        <f>B180-C180</f>
        <v>1200</v>
      </c>
      <c r="F180" s="589">
        <f>C180-D180</f>
        <v>-5200</v>
      </c>
      <c r="G180" s="663">
        <f>B180-D180</f>
        <v>-4000</v>
      </c>
    </row>
  </sheetData>
  <mergeCells count="2">
    <mergeCell ref="B56:D56"/>
    <mergeCell ref="B147:D14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8"/>
  <sheetViews>
    <sheetView workbookViewId="0">
      <selection activeCell="K56" sqref="K56"/>
    </sheetView>
  </sheetViews>
  <sheetFormatPr baseColWidth="10" defaultColWidth="11.33203125" defaultRowHeight="14.4" x14ac:dyDescent="0.3"/>
  <cols>
    <col min="1" max="1" width="11.33203125" style="576"/>
    <col min="2" max="2" width="24.33203125" style="576" customWidth="1"/>
    <col min="3" max="3" width="21.109375" style="576" customWidth="1"/>
    <col min="4" max="4" width="16" style="576" customWidth="1"/>
    <col min="5" max="5" width="13" style="576" customWidth="1"/>
    <col min="6" max="6" width="15.88671875" style="576" customWidth="1"/>
    <col min="7" max="7" width="14.88671875" style="576" customWidth="1"/>
    <col min="8" max="16384" width="11.33203125" style="576"/>
  </cols>
  <sheetData>
    <row r="1" spans="1:5" x14ac:dyDescent="0.3">
      <c r="A1" s="576" t="s">
        <v>1021</v>
      </c>
    </row>
    <row r="3" spans="1:5" x14ac:dyDescent="0.3">
      <c r="A3" s="576" t="s">
        <v>497</v>
      </c>
    </row>
    <row r="5" spans="1:5" x14ac:dyDescent="0.3">
      <c r="A5" s="576" t="s">
        <v>88</v>
      </c>
      <c r="C5" s="725">
        <v>3600000</v>
      </c>
    </row>
    <row r="6" spans="1:5" x14ac:dyDescent="0.3">
      <c r="A6" s="576" t="s">
        <v>90</v>
      </c>
      <c r="C6" s="725">
        <v>4950000</v>
      </c>
    </row>
    <row r="7" spans="1:5" x14ac:dyDescent="0.3">
      <c r="A7" s="576" t="s">
        <v>1018</v>
      </c>
    </row>
    <row r="8" spans="1:5" x14ac:dyDescent="0.3">
      <c r="B8" s="576" t="s">
        <v>1017</v>
      </c>
      <c r="C8" s="725">
        <v>900000</v>
      </c>
    </row>
    <row r="9" spans="1:5" x14ac:dyDescent="0.3">
      <c r="B9" s="576" t="s">
        <v>1016</v>
      </c>
      <c r="C9" s="725">
        <v>60000</v>
      </c>
    </row>
    <row r="10" spans="1:5" x14ac:dyDescent="0.3">
      <c r="B10" s="576" t="s">
        <v>1015</v>
      </c>
      <c r="C10" s="725">
        <v>3000000</v>
      </c>
      <c r="D10" s="598">
        <f>C10/12</f>
        <v>250000</v>
      </c>
      <c r="E10" s="576" t="s">
        <v>1014</v>
      </c>
    </row>
    <row r="11" spans="1:5" x14ac:dyDescent="0.3">
      <c r="A11" s="708"/>
      <c r="B11" s="708" t="s">
        <v>1013</v>
      </c>
      <c r="C11" s="739">
        <v>300000</v>
      </c>
    </row>
    <row r="12" spans="1:5" x14ac:dyDescent="0.3">
      <c r="A12" s="576" t="s">
        <v>93</v>
      </c>
      <c r="C12" s="598">
        <f>C5+C6+C8+C9+C10+C11</f>
        <v>12810000</v>
      </c>
    </row>
    <row r="13" spans="1:5" x14ac:dyDescent="0.3">
      <c r="A13" s="719" t="s">
        <v>1012</v>
      </c>
      <c r="B13" s="708"/>
      <c r="C13" s="739">
        <v>2340000</v>
      </c>
    </row>
    <row r="14" spans="1:5" x14ac:dyDescent="0.3">
      <c r="A14" s="737" t="s">
        <v>1011</v>
      </c>
      <c r="B14" s="737"/>
      <c r="C14" s="738">
        <f>SUM(C12:C13)</f>
        <v>15150000</v>
      </c>
    </row>
    <row r="16" spans="1:5" x14ac:dyDescent="0.3">
      <c r="A16" s="576" t="s">
        <v>1010</v>
      </c>
      <c r="C16" s="725">
        <v>15000</v>
      </c>
    </row>
    <row r="17" spans="1:10" x14ac:dyDescent="0.3">
      <c r="A17" s="576" t="s">
        <v>1009</v>
      </c>
      <c r="B17" s="723">
        <v>30</v>
      </c>
    </row>
    <row r="18" spans="1:10" x14ac:dyDescent="0.3">
      <c r="A18" s="576" t="s">
        <v>1008</v>
      </c>
      <c r="B18" s="723">
        <v>330</v>
      </c>
    </row>
    <row r="21" spans="1:10" x14ac:dyDescent="0.3">
      <c r="A21" s="576" t="s">
        <v>763</v>
      </c>
    </row>
    <row r="23" spans="1:10" x14ac:dyDescent="0.3">
      <c r="A23" s="576" t="s">
        <v>401</v>
      </c>
    </row>
    <row r="25" spans="1:10" x14ac:dyDescent="0.3">
      <c r="A25" s="576" t="s">
        <v>1007</v>
      </c>
      <c r="C25" s="576">
        <f>C5/C16</f>
        <v>240</v>
      </c>
      <c r="D25" s="576">
        <f>C25/B17</f>
        <v>8</v>
      </c>
      <c r="E25" s="577" t="s">
        <v>1006</v>
      </c>
    </row>
    <row r="26" spans="1:10" x14ac:dyDescent="0.3">
      <c r="A26" s="576" t="s">
        <v>492</v>
      </c>
      <c r="C26" s="576">
        <f>C6/C16</f>
        <v>330</v>
      </c>
      <c r="D26" s="576">
        <f>C26/B18</f>
        <v>1</v>
      </c>
      <c r="E26" s="577" t="s">
        <v>1005</v>
      </c>
    </row>
    <row r="27" spans="1:10" ht="15.6" x14ac:dyDescent="0.35">
      <c r="A27" s="576" t="s">
        <v>1004</v>
      </c>
      <c r="C27" s="576">
        <f>C8/C16</f>
        <v>60</v>
      </c>
      <c r="D27" s="577" t="s">
        <v>997</v>
      </c>
      <c r="E27" s="576">
        <f>C27/D25</f>
        <v>7.5</v>
      </c>
      <c r="G27" s="577" t="s">
        <v>1003</v>
      </c>
      <c r="I27" s="576">
        <f>D44*D25</f>
        <v>12000</v>
      </c>
      <c r="J27" s="576" t="s">
        <v>1128</v>
      </c>
    </row>
    <row r="28" spans="1:10" ht="15.6" x14ac:dyDescent="0.35">
      <c r="A28" s="576" t="s">
        <v>1002</v>
      </c>
      <c r="C28" s="576">
        <f>C9/C16</f>
        <v>4</v>
      </c>
      <c r="D28" s="576" t="s">
        <v>997</v>
      </c>
      <c r="E28" s="576">
        <f>C28/D25</f>
        <v>0.5</v>
      </c>
      <c r="G28" s="576" t="s">
        <v>1001</v>
      </c>
      <c r="I28" s="576">
        <f>D44*D26</f>
        <v>1500</v>
      </c>
      <c r="J28" s="576" t="s">
        <v>1129</v>
      </c>
    </row>
    <row r="29" spans="1:10" x14ac:dyDescent="0.3">
      <c r="A29" s="576" t="s">
        <v>1000</v>
      </c>
      <c r="C29" s="576">
        <f>C10/C16</f>
        <v>200</v>
      </c>
      <c r="D29" s="576" t="s">
        <v>997</v>
      </c>
      <c r="E29" s="576">
        <f>C29/D26</f>
        <v>200</v>
      </c>
    </row>
    <row r="30" spans="1:10" x14ac:dyDescent="0.3">
      <c r="A30" s="719" t="s">
        <v>999</v>
      </c>
      <c r="B30" s="708"/>
      <c r="C30" s="708">
        <f>C11/C16</f>
        <v>20</v>
      </c>
      <c r="D30" s="576" t="s">
        <v>997</v>
      </c>
      <c r="E30" s="576">
        <f>C30/D26</f>
        <v>20</v>
      </c>
    </row>
    <row r="31" spans="1:10" x14ac:dyDescent="0.3">
      <c r="A31" s="576" t="s">
        <v>93</v>
      </c>
      <c r="C31" s="576">
        <f>SUM(C25:C30)</f>
        <v>854</v>
      </c>
    </row>
    <row r="32" spans="1:10" x14ac:dyDescent="0.3">
      <c r="A32" s="708" t="s">
        <v>998</v>
      </c>
      <c r="B32" s="708"/>
      <c r="C32" s="708">
        <f>C13/C16</f>
        <v>156</v>
      </c>
      <c r="D32" s="576" t="s">
        <v>997</v>
      </c>
    </row>
    <row r="33" spans="1:5" x14ac:dyDescent="0.3">
      <c r="A33" s="708"/>
      <c r="B33" s="708"/>
      <c r="C33" s="708">
        <f>SUM(C31:C32)</f>
        <v>1010</v>
      </c>
    </row>
    <row r="35" spans="1:5" x14ac:dyDescent="0.3">
      <c r="A35" s="577" t="s">
        <v>996</v>
      </c>
    </row>
    <row r="37" spans="1:5" x14ac:dyDescent="0.3">
      <c r="A37" s="576" t="s">
        <v>821</v>
      </c>
      <c r="C37" s="725">
        <v>369050</v>
      </c>
      <c r="D37" s="725">
        <v>12100</v>
      </c>
      <c r="E37" s="576" t="s">
        <v>146</v>
      </c>
    </row>
    <row r="38" spans="1:5" x14ac:dyDescent="0.3">
      <c r="A38" s="576" t="s">
        <v>90</v>
      </c>
      <c r="C38" s="725">
        <v>418900</v>
      </c>
      <c r="D38" s="725">
        <v>1420</v>
      </c>
      <c r="E38" s="576" t="s">
        <v>150</v>
      </c>
    </row>
    <row r="39" spans="1:5" x14ac:dyDescent="0.3">
      <c r="A39" s="576" t="s">
        <v>995</v>
      </c>
      <c r="C39" s="725">
        <v>75000</v>
      </c>
    </row>
    <row r="40" spans="1:5" x14ac:dyDescent="0.3">
      <c r="A40" s="576" t="s">
        <v>994</v>
      </c>
      <c r="C40" s="725">
        <v>6400</v>
      </c>
    </row>
    <row r="41" spans="1:5" x14ac:dyDescent="0.3">
      <c r="A41" s="576" t="s">
        <v>993</v>
      </c>
      <c r="C41" s="725">
        <v>260000</v>
      </c>
    </row>
    <row r="42" spans="1:5" x14ac:dyDescent="0.3">
      <c r="A42" s="576" t="s">
        <v>992</v>
      </c>
      <c r="C42" s="725">
        <v>26500</v>
      </c>
    </row>
    <row r="43" spans="1:5" x14ac:dyDescent="0.3">
      <c r="A43" s="576" t="s">
        <v>991</v>
      </c>
      <c r="C43" s="725">
        <v>191000</v>
      </c>
    </row>
    <row r="44" spans="1:5" x14ac:dyDescent="0.3">
      <c r="A44" s="576" t="s">
        <v>96</v>
      </c>
      <c r="C44" s="725">
        <v>1470000</v>
      </c>
      <c r="D44" s="725">
        <v>1500</v>
      </c>
      <c r="E44" s="576" t="s">
        <v>990</v>
      </c>
    </row>
    <row r="45" spans="1:5" x14ac:dyDescent="0.3">
      <c r="A45" s="576" t="s">
        <v>473</v>
      </c>
      <c r="D45" s="576">
        <f>C44/D44</f>
        <v>980</v>
      </c>
    </row>
    <row r="48" spans="1:5" ht="15" thickBot="1" x14ac:dyDescent="0.35"/>
    <row r="49" spans="2:8" ht="15" thickBot="1" x14ac:dyDescent="0.35">
      <c r="C49" s="921" t="s">
        <v>173</v>
      </c>
      <c r="D49" s="922"/>
      <c r="E49" s="919"/>
      <c r="F49" s="594" t="s">
        <v>989</v>
      </c>
      <c r="G49" s="593" t="s">
        <v>378</v>
      </c>
      <c r="H49" s="669"/>
    </row>
    <row r="50" spans="2:8" ht="15" thickBot="1" x14ac:dyDescent="0.35">
      <c r="B50" s="597"/>
      <c r="C50" s="688" t="s">
        <v>175</v>
      </c>
      <c r="D50" s="603" t="s">
        <v>988</v>
      </c>
      <c r="E50" s="687" t="s">
        <v>145</v>
      </c>
      <c r="F50" s="591" t="s">
        <v>193</v>
      </c>
      <c r="G50" s="595" t="s">
        <v>987</v>
      </c>
      <c r="H50" s="669"/>
    </row>
    <row r="51" spans="2:8" x14ac:dyDescent="0.3">
      <c r="B51" s="632" t="s">
        <v>96</v>
      </c>
      <c r="C51" s="686">
        <f>D44</f>
        <v>1500</v>
      </c>
      <c r="D51" s="686">
        <f>D45</f>
        <v>980</v>
      </c>
      <c r="E51" s="686">
        <f>C51*D51</f>
        <v>1470000</v>
      </c>
      <c r="F51" s="686">
        <f>E51</f>
        <v>1470000</v>
      </c>
      <c r="G51" s="740"/>
    </row>
    <row r="52" spans="2:8" x14ac:dyDescent="0.3">
      <c r="B52" s="625"/>
      <c r="C52" s="682"/>
      <c r="D52" s="682"/>
      <c r="E52" s="682"/>
      <c r="F52" s="682"/>
      <c r="G52" s="741"/>
    </row>
    <row r="53" spans="2:8" x14ac:dyDescent="0.3">
      <c r="B53" s="625" t="s">
        <v>821</v>
      </c>
      <c r="C53" s="682">
        <f>I27</f>
        <v>12000</v>
      </c>
      <c r="D53" s="682">
        <f>B17</f>
        <v>30</v>
      </c>
      <c r="E53" s="682">
        <f>C53*D53</f>
        <v>360000</v>
      </c>
      <c r="F53" s="682">
        <f>C37</f>
        <v>369050</v>
      </c>
      <c r="G53" s="742">
        <f>E53-F53</f>
        <v>-9050</v>
      </c>
    </row>
    <row r="54" spans="2:8" x14ac:dyDescent="0.3">
      <c r="B54" s="625" t="s">
        <v>90</v>
      </c>
      <c r="C54" s="682">
        <f>I28</f>
        <v>1500</v>
      </c>
      <c r="D54" s="682">
        <f>B18</f>
        <v>330</v>
      </c>
      <c r="E54" s="682">
        <f>C54*D54</f>
        <v>495000</v>
      </c>
      <c r="F54" s="682">
        <v>418900</v>
      </c>
      <c r="G54" s="742">
        <f>E54-F54</f>
        <v>76100</v>
      </c>
    </row>
    <row r="55" spans="2:8" ht="15" thickBot="1" x14ac:dyDescent="0.35">
      <c r="B55" s="692" t="s">
        <v>986</v>
      </c>
      <c r="C55" s="685"/>
      <c r="D55" s="685"/>
      <c r="E55" s="685"/>
      <c r="F55" s="685"/>
      <c r="G55" s="743">
        <f>SUM(G53:G54)</f>
        <v>67050</v>
      </c>
    </row>
    <row r="56" spans="2:8" x14ac:dyDescent="0.3">
      <c r="B56" s="744" t="s">
        <v>985</v>
      </c>
      <c r="C56" s="669"/>
      <c r="D56" s="669"/>
      <c r="E56" s="682"/>
      <c r="F56" s="682"/>
      <c r="G56" s="742"/>
    </row>
    <row r="57" spans="2:8" x14ac:dyDescent="0.3">
      <c r="B57" s="625" t="s">
        <v>396</v>
      </c>
      <c r="C57" s="682">
        <f>C53</f>
        <v>12000</v>
      </c>
      <c r="D57" s="669">
        <f>E27</f>
        <v>7.5</v>
      </c>
      <c r="E57" s="682">
        <f>C57*D57</f>
        <v>90000</v>
      </c>
      <c r="F57" s="682">
        <f>C39</f>
        <v>75000</v>
      </c>
      <c r="G57" s="742">
        <f>E57-F57</f>
        <v>15000</v>
      </c>
    </row>
    <row r="58" spans="2:8" x14ac:dyDescent="0.3">
      <c r="B58" s="625" t="s">
        <v>397</v>
      </c>
      <c r="C58" s="682">
        <f>C57</f>
        <v>12000</v>
      </c>
      <c r="D58" s="669">
        <f>E28</f>
        <v>0.5</v>
      </c>
      <c r="E58" s="682">
        <f>C58*D58</f>
        <v>6000</v>
      </c>
      <c r="F58" s="682">
        <f>C40</f>
        <v>6400</v>
      </c>
      <c r="G58" s="742">
        <f>E58-F58</f>
        <v>-400</v>
      </c>
    </row>
    <row r="59" spans="2:8" x14ac:dyDescent="0.3">
      <c r="B59" s="745" t="s">
        <v>984</v>
      </c>
      <c r="C59" s="669"/>
      <c r="D59" s="669"/>
      <c r="E59" s="682"/>
      <c r="F59" s="682"/>
      <c r="G59" s="742"/>
    </row>
    <row r="60" spans="2:8" x14ac:dyDescent="0.3">
      <c r="B60" s="625" t="s">
        <v>396</v>
      </c>
      <c r="C60" s="682">
        <f>C54</f>
        <v>1500</v>
      </c>
      <c r="D60" s="669">
        <f>E29</f>
        <v>200</v>
      </c>
      <c r="E60" s="682">
        <f>C60*D60</f>
        <v>300000</v>
      </c>
      <c r="F60" s="682">
        <f>C41</f>
        <v>260000</v>
      </c>
      <c r="G60" s="742">
        <f>E60-F60</f>
        <v>40000</v>
      </c>
    </row>
    <row r="61" spans="2:8" ht="15" thickBot="1" x14ac:dyDescent="0.35">
      <c r="B61" s="631" t="s">
        <v>397</v>
      </c>
      <c r="C61" s="681">
        <f>C60</f>
        <v>1500</v>
      </c>
      <c r="D61" s="685">
        <f>E30</f>
        <v>20</v>
      </c>
      <c r="E61" s="680">
        <f>C61*D61</f>
        <v>30000</v>
      </c>
      <c r="F61" s="681">
        <f>C42</f>
        <v>26500</v>
      </c>
      <c r="G61" s="743">
        <f>E61-F61</f>
        <v>3500</v>
      </c>
    </row>
    <row r="62" spans="2:8" x14ac:dyDescent="0.3">
      <c r="B62" s="625" t="s">
        <v>381</v>
      </c>
      <c r="C62" s="669"/>
      <c r="D62" s="669"/>
      <c r="E62" s="682">
        <f>SUM(E53:E61)</f>
        <v>1281000</v>
      </c>
      <c r="F62" s="682"/>
      <c r="G62" s="741"/>
    </row>
    <row r="63" spans="2:8" ht="15" thickBot="1" x14ac:dyDescent="0.35">
      <c r="B63" s="636" t="s">
        <v>983</v>
      </c>
      <c r="C63" s="681">
        <f>C61</f>
        <v>1500</v>
      </c>
      <c r="D63" s="685">
        <f>C32</f>
        <v>156</v>
      </c>
      <c r="E63" s="681">
        <f>C63*D63</f>
        <v>234000</v>
      </c>
      <c r="F63" s="681">
        <f>C43</f>
        <v>191000</v>
      </c>
      <c r="G63" s="743">
        <f>E63-F63</f>
        <v>43000</v>
      </c>
    </row>
    <row r="64" spans="2:8" ht="15" thickBot="1" x14ac:dyDescent="0.35">
      <c r="B64" s="688" t="s">
        <v>95</v>
      </c>
      <c r="C64" s="684"/>
      <c r="D64" s="684"/>
      <c r="E64" s="684">
        <f>E62+E63</f>
        <v>1515000</v>
      </c>
      <c r="F64" s="684"/>
      <c r="G64" s="746"/>
    </row>
    <row r="65" spans="2:8" ht="15" thickBot="1" x14ac:dyDescent="0.35">
      <c r="B65" s="688" t="s">
        <v>385</v>
      </c>
      <c r="C65" s="684"/>
      <c r="D65" s="684"/>
      <c r="E65" s="684">
        <f>E51-E64</f>
        <v>-45000</v>
      </c>
      <c r="F65" s="684"/>
      <c r="G65" s="746"/>
    </row>
    <row r="66" spans="2:8" x14ac:dyDescent="0.3">
      <c r="B66" s="625" t="s">
        <v>379</v>
      </c>
      <c r="C66" s="682"/>
      <c r="D66" s="682"/>
      <c r="E66" s="682">
        <f>G55</f>
        <v>67050</v>
      </c>
      <c r="F66" s="682"/>
      <c r="G66" s="742"/>
    </row>
    <row r="67" spans="2:8" ht="15" thickBot="1" x14ac:dyDescent="0.35">
      <c r="B67" s="625" t="s">
        <v>386</v>
      </c>
      <c r="C67" s="682"/>
      <c r="D67" s="682"/>
      <c r="E67" s="682">
        <f>G67</f>
        <v>101100</v>
      </c>
      <c r="F67" s="682"/>
      <c r="G67" s="742">
        <f>G57+G58+G60+G61+G63</f>
        <v>101100</v>
      </c>
    </row>
    <row r="68" spans="2:8" ht="15" thickBot="1" x14ac:dyDescent="0.35">
      <c r="B68" s="747" t="s">
        <v>187</v>
      </c>
      <c r="C68" s="684"/>
      <c r="D68" s="684"/>
      <c r="E68" s="684">
        <f>E65+E66+E67</f>
        <v>123150</v>
      </c>
      <c r="F68" s="684">
        <f>F51-F53-F54-F57-F58-F60-F61-F63</f>
        <v>123150</v>
      </c>
      <c r="G68" s="746"/>
    </row>
    <row r="70" spans="2:8" ht="15" thickBot="1" x14ac:dyDescent="0.35"/>
    <row r="71" spans="2:8" x14ac:dyDescent="0.3">
      <c r="B71" s="585" t="s">
        <v>957</v>
      </c>
      <c r="C71" s="674" t="s">
        <v>679</v>
      </c>
      <c r="D71" s="673" t="s">
        <v>960</v>
      </c>
      <c r="E71" s="583" t="s">
        <v>83</v>
      </c>
      <c r="F71" s="583" t="s">
        <v>249</v>
      </c>
      <c r="G71" s="584" t="s">
        <v>293</v>
      </c>
      <c r="H71" s="583" t="s">
        <v>733</v>
      </c>
    </row>
    <row r="72" spans="2:8" ht="17.399999999999999" thickBot="1" x14ac:dyDescent="0.4">
      <c r="B72" s="587" t="s">
        <v>959</v>
      </c>
      <c r="C72" s="672" t="s">
        <v>958</v>
      </c>
      <c r="D72" s="672"/>
      <c r="E72" s="581" t="s">
        <v>588</v>
      </c>
      <c r="F72" s="581" t="s">
        <v>261</v>
      </c>
      <c r="G72" s="581" t="s">
        <v>262</v>
      </c>
      <c r="H72" s="581" t="s">
        <v>729</v>
      </c>
    </row>
    <row r="73" spans="2:8" ht="15" thickBot="1" x14ac:dyDescent="0.35">
      <c r="B73" s="595"/>
      <c r="C73" s="590">
        <f>E60</f>
        <v>300000</v>
      </c>
      <c r="D73" s="590">
        <f>D10</f>
        <v>250000</v>
      </c>
      <c r="E73" s="589">
        <f>F60</f>
        <v>260000</v>
      </c>
      <c r="F73" s="589">
        <f>C73-D73</f>
        <v>50000</v>
      </c>
      <c r="G73" s="589">
        <f>D73-E73</f>
        <v>-10000</v>
      </c>
      <c r="H73" s="663">
        <f>C73-E73</f>
        <v>40000</v>
      </c>
    </row>
    <row r="74" spans="2:8" x14ac:dyDescent="0.3">
      <c r="C74" s="621"/>
      <c r="D74" s="621"/>
      <c r="E74" s="621"/>
      <c r="F74" s="621"/>
      <c r="G74" s="621"/>
      <c r="H74" s="621"/>
    </row>
    <row r="75" spans="2:8" ht="15" thickBot="1" x14ac:dyDescent="0.35">
      <c r="C75" s="621"/>
      <c r="D75" s="621"/>
      <c r="E75" s="621"/>
      <c r="F75" s="621"/>
      <c r="G75" s="621"/>
      <c r="H75" s="621"/>
    </row>
    <row r="76" spans="2:8" x14ac:dyDescent="0.3">
      <c r="B76" s="585" t="s">
        <v>957</v>
      </c>
      <c r="C76" s="674" t="s">
        <v>679</v>
      </c>
      <c r="D76" s="673" t="s">
        <v>376</v>
      </c>
      <c r="E76" s="583" t="s">
        <v>83</v>
      </c>
      <c r="F76" s="584" t="s">
        <v>370</v>
      </c>
      <c r="G76" s="584" t="s">
        <v>293</v>
      </c>
      <c r="H76" s="583" t="s">
        <v>733</v>
      </c>
    </row>
    <row r="77" spans="2:8" ht="17.399999999999999" thickBot="1" x14ac:dyDescent="0.4">
      <c r="B77" s="587" t="s">
        <v>956</v>
      </c>
      <c r="C77" s="672" t="s">
        <v>955</v>
      </c>
      <c r="D77" s="672" t="s">
        <v>954</v>
      </c>
      <c r="E77" s="662" t="s">
        <v>84</v>
      </c>
      <c r="F77" s="581" t="s">
        <v>261</v>
      </c>
      <c r="G77" s="581" t="s">
        <v>262</v>
      </c>
      <c r="H77" s="581" t="s">
        <v>729</v>
      </c>
    </row>
    <row r="78" spans="2:8" ht="15" thickBot="1" x14ac:dyDescent="0.35">
      <c r="B78" s="595"/>
      <c r="C78" s="590">
        <f>E61</f>
        <v>30000</v>
      </c>
      <c r="D78" s="590">
        <f>D38*E30</f>
        <v>28400</v>
      </c>
      <c r="E78" s="589">
        <f>F61</f>
        <v>26500</v>
      </c>
      <c r="F78" s="589">
        <f>C78-D78</f>
        <v>1600</v>
      </c>
      <c r="G78" s="589">
        <f>D78-E78</f>
        <v>1900</v>
      </c>
      <c r="H78" s="663">
        <f>C78-E78</f>
        <v>3500</v>
      </c>
    </row>
  </sheetData>
  <mergeCells count="1">
    <mergeCell ref="C49:E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F29"/>
  <sheetViews>
    <sheetView zoomScaleNormal="100" workbookViewId="0">
      <selection activeCell="E59" sqref="E59"/>
    </sheetView>
  </sheetViews>
  <sheetFormatPr baseColWidth="10" defaultColWidth="9.109375" defaultRowHeight="15" x14ac:dyDescent="0.25"/>
  <cols>
    <col min="1" max="1" width="25.88671875" style="485" customWidth="1"/>
    <col min="2" max="6" width="12.88671875" style="485" customWidth="1"/>
    <col min="7" max="7" width="16.109375" style="485" customWidth="1"/>
    <col min="8" max="8" width="16.33203125" style="485" customWidth="1"/>
    <col min="9" max="13" width="9.109375" style="485"/>
    <col min="14" max="14" width="9.109375" style="485" customWidth="1"/>
    <col min="15" max="254" width="9.109375" style="485"/>
    <col min="255" max="255" width="22.88671875" style="485" customWidth="1"/>
    <col min="256" max="256" width="16" style="485" customWidth="1"/>
    <col min="257" max="257" width="15.88671875" style="485" customWidth="1"/>
    <col min="258" max="258" width="12.109375" style="485" customWidth="1"/>
    <col min="259" max="259" width="16" style="485" customWidth="1"/>
    <col min="260" max="260" width="14.33203125" style="485" customWidth="1"/>
    <col min="261" max="261" width="16.109375" style="485" customWidth="1"/>
    <col min="262" max="262" width="16.33203125" style="485" customWidth="1"/>
    <col min="263" max="269" width="9.109375" style="485"/>
    <col min="270" max="270" width="9.109375" style="485" customWidth="1"/>
    <col min="271" max="510" width="9.109375" style="485"/>
    <col min="511" max="511" width="22.88671875" style="485" customWidth="1"/>
    <col min="512" max="512" width="16" style="485" customWidth="1"/>
    <col min="513" max="513" width="15.88671875" style="485" customWidth="1"/>
    <col min="514" max="514" width="12.109375" style="485" customWidth="1"/>
    <col min="515" max="515" width="16" style="485" customWidth="1"/>
    <col min="516" max="516" width="14.33203125" style="485" customWidth="1"/>
    <col min="517" max="517" width="16.109375" style="485" customWidth="1"/>
    <col min="518" max="518" width="16.33203125" style="485" customWidth="1"/>
    <col min="519" max="525" width="9.109375" style="485"/>
    <col min="526" max="526" width="9.109375" style="485" customWidth="1"/>
    <col min="527" max="766" width="9.109375" style="485"/>
    <col min="767" max="767" width="22.88671875" style="485" customWidth="1"/>
    <col min="768" max="768" width="16" style="485" customWidth="1"/>
    <col min="769" max="769" width="15.88671875" style="485" customWidth="1"/>
    <col min="770" max="770" width="12.109375" style="485" customWidth="1"/>
    <col min="771" max="771" width="16" style="485" customWidth="1"/>
    <col min="772" max="772" width="14.33203125" style="485" customWidth="1"/>
    <col min="773" max="773" width="16.109375" style="485" customWidth="1"/>
    <col min="774" max="774" width="16.33203125" style="485" customWidth="1"/>
    <col min="775" max="781" width="9.109375" style="485"/>
    <col min="782" max="782" width="9.109375" style="485" customWidth="1"/>
    <col min="783" max="1022" width="9.109375" style="485"/>
    <col min="1023" max="1023" width="22.88671875" style="485" customWidth="1"/>
    <col min="1024" max="1024" width="16" style="485" customWidth="1"/>
    <col min="1025" max="1025" width="15.88671875" style="485" customWidth="1"/>
    <col min="1026" max="1026" width="12.109375" style="485" customWidth="1"/>
    <col min="1027" max="1027" width="16" style="485" customWidth="1"/>
    <col min="1028" max="1028" width="14.33203125" style="485" customWidth="1"/>
    <col min="1029" max="1029" width="16.109375" style="485" customWidth="1"/>
    <col min="1030" max="1030" width="16.33203125" style="485" customWidth="1"/>
    <col min="1031" max="1037" width="9.109375" style="485"/>
    <col min="1038" max="1038" width="9.109375" style="485" customWidth="1"/>
    <col min="1039" max="1278" width="9.109375" style="485"/>
    <col min="1279" max="1279" width="22.88671875" style="485" customWidth="1"/>
    <col min="1280" max="1280" width="16" style="485" customWidth="1"/>
    <col min="1281" max="1281" width="15.88671875" style="485" customWidth="1"/>
    <col min="1282" max="1282" width="12.109375" style="485" customWidth="1"/>
    <col min="1283" max="1283" width="16" style="485" customWidth="1"/>
    <col min="1284" max="1284" width="14.33203125" style="485" customWidth="1"/>
    <col min="1285" max="1285" width="16.109375" style="485" customWidth="1"/>
    <col min="1286" max="1286" width="16.33203125" style="485" customWidth="1"/>
    <col min="1287" max="1293" width="9.109375" style="485"/>
    <col min="1294" max="1294" width="9.109375" style="485" customWidth="1"/>
    <col min="1295" max="1534" width="9.109375" style="485"/>
    <col min="1535" max="1535" width="22.88671875" style="485" customWidth="1"/>
    <col min="1536" max="1536" width="16" style="485" customWidth="1"/>
    <col min="1537" max="1537" width="15.88671875" style="485" customWidth="1"/>
    <col min="1538" max="1538" width="12.109375" style="485" customWidth="1"/>
    <col min="1539" max="1539" width="16" style="485" customWidth="1"/>
    <col min="1540" max="1540" width="14.33203125" style="485" customWidth="1"/>
    <col min="1541" max="1541" width="16.109375" style="485" customWidth="1"/>
    <col min="1542" max="1542" width="16.33203125" style="485" customWidth="1"/>
    <col min="1543" max="1549" width="9.109375" style="485"/>
    <col min="1550" max="1550" width="9.109375" style="485" customWidth="1"/>
    <col min="1551" max="1790" width="9.109375" style="485"/>
    <col min="1791" max="1791" width="22.88671875" style="485" customWidth="1"/>
    <col min="1792" max="1792" width="16" style="485" customWidth="1"/>
    <col min="1793" max="1793" width="15.88671875" style="485" customWidth="1"/>
    <col min="1794" max="1794" width="12.109375" style="485" customWidth="1"/>
    <col min="1795" max="1795" width="16" style="485" customWidth="1"/>
    <col min="1796" max="1796" width="14.33203125" style="485" customWidth="1"/>
    <col min="1797" max="1797" width="16.109375" style="485" customWidth="1"/>
    <col min="1798" max="1798" width="16.33203125" style="485" customWidth="1"/>
    <col min="1799" max="1805" width="9.109375" style="485"/>
    <col min="1806" max="1806" width="9.109375" style="485" customWidth="1"/>
    <col min="1807" max="2046" width="9.109375" style="485"/>
    <col min="2047" max="2047" width="22.88671875" style="485" customWidth="1"/>
    <col min="2048" max="2048" width="16" style="485" customWidth="1"/>
    <col min="2049" max="2049" width="15.88671875" style="485" customWidth="1"/>
    <col min="2050" max="2050" width="12.109375" style="485" customWidth="1"/>
    <col min="2051" max="2051" width="16" style="485" customWidth="1"/>
    <col min="2052" max="2052" width="14.33203125" style="485" customWidth="1"/>
    <col min="2053" max="2053" width="16.109375" style="485" customWidth="1"/>
    <col min="2054" max="2054" width="16.33203125" style="485" customWidth="1"/>
    <col min="2055" max="2061" width="9.109375" style="485"/>
    <col min="2062" max="2062" width="9.109375" style="485" customWidth="1"/>
    <col min="2063" max="2302" width="9.109375" style="485"/>
    <col min="2303" max="2303" width="22.88671875" style="485" customWidth="1"/>
    <col min="2304" max="2304" width="16" style="485" customWidth="1"/>
    <col min="2305" max="2305" width="15.88671875" style="485" customWidth="1"/>
    <col min="2306" max="2306" width="12.109375" style="485" customWidth="1"/>
    <col min="2307" max="2307" width="16" style="485" customWidth="1"/>
    <col min="2308" max="2308" width="14.33203125" style="485" customWidth="1"/>
    <col min="2309" max="2309" width="16.109375" style="485" customWidth="1"/>
    <col min="2310" max="2310" width="16.33203125" style="485" customWidth="1"/>
    <col min="2311" max="2317" width="9.109375" style="485"/>
    <col min="2318" max="2318" width="9.109375" style="485" customWidth="1"/>
    <col min="2319" max="2558" width="9.109375" style="485"/>
    <col min="2559" max="2559" width="22.88671875" style="485" customWidth="1"/>
    <col min="2560" max="2560" width="16" style="485" customWidth="1"/>
    <col min="2561" max="2561" width="15.88671875" style="485" customWidth="1"/>
    <col min="2562" max="2562" width="12.109375" style="485" customWidth="1"/>
    <col min="2563" max="2563" width="16" style="485" customWidth="1"/>
    <col min="2564" max="2564" width="14.33203125" style="485" customWidth="1"/>
    <col min="2565" max="2565" width="16.109375" style="485" customWidth="1"/>
    <col min="2566" max="2566" width="16.33203125" style="485" customWidth="1"/>
    <col min="2567" max="2573" width="9.109375" style="485"/>
    <col min="2574" max="2574" width="9.109375" style="485" customWidth="1"/>
    <col min="2575" max="2814" width="9.109375" style="485"/>
    <col min="2815" max="2815" width="22.88671875" style="485" customWidth="1"/>
    <col min="2816" max="2816" width="16" style="485" customWidth="1"/>
    <col min="2817" max="2817" width="15.88671875" style="485" customWidth="1"/>
    <col min="2818" max="2818" width="12.109375" style="485" customWidth="1"/>
    <col min="2819" max="2819" width="16" style="485" customWidth="1"/>
    <col min="2820" max="2820" width="14.33203125" style="485" customWidth="1"/>
    <col min="2821" max="2821" width="16.109375" style="485" customWidth="1"/>
    <col min="2822" max="2822" width="16.33203125" style="485" customWidth="1"/>
    <col min="2823" max="2829" width="9.109375" style="485"/>
    <col min="2830" max="2830" width="9.109375" style="485" customWidth="1"/>
    <col min="2831" max="3070" width="9.109375" style="485"/>
    <col min="3071" max="3071" width="22.88671875" style="485" customWidth="1"/>
    <col min="3072" max="3072" width="16" style="485" customWidth="1"/>
    <col min="3073" max="3073" width="15.88671875" style="485" customWidth="1"/>
    <col min="3074" max="3074" width="12.109375" style="485" customWidth="1"/>
    <col min="3075" max="3075" width="16" style="485" customWidth="1"/>
    <col min="3076" max="3076" width="14.33203125" style="485" customWidth="1"/>
    <col min="3077" max="3077" width="16.109375" style="485" customWidth="1"/>
    <col min="3078" max="3078" width="16.33203125" style="485" customWidth="1"/>
    <col min="3079" max="3085" width="9.109375" style="485"/>
    <col min="3086" max="3086" width="9.109375" style="485" customWidth="1"/>
    <col min="3087" max="3326" width="9.109375" style="485"/>
    <col min="3327" max="3327" width="22.88671875" style="485" customWidth="1"/>
    <col min="3328" max="3328" width="16" style="485" customWidth="1"/>
    <col min="3329" max="3329" width="15.88671875" style="485" customWidth="1"/>
    <col min="3330" max="3330" width="12.109375" style="485" customWidth="1"/>
    <col min="3331" max="3331" width="16" style="485" customWidth="1"/>
    <col min="3332" max="3332" width="14.33203125" style="485" customWidth="1"/>
    <col min="3333" max="3333" width="16.109375" style="485" customWidth="1"/>
    <col min="3334" max="3334" width="16.33203125" style="485" customWidth="1"/>
    <col min="3335" max="3341" width="9.109375" style="485"/>
    <col min="3342" max="3342" width="9.109375" style="485" customWidth="1"/>
    <col min="3343" max="3582" width="9.109375" style="485"/>
    <col min="3583" max="3583" width="22.88671875" style="485" customWidth="1"/>
    <col min="3584" max="3584" width="16" style="485" customWidth="1"/>
    <col min="3585" max="3585" width="15.88671875" style="485" customWidth="1"/>
    <col min="3586" max="3586" width="12.109375" style="485" customWidth="1"/>
    <col min="3587" max="3587" width="16" style="485" customWidth="1"/>
    <col min="3588" max="3588" width="14.33203125" style="485" customWidth="1"/>
    <col min="3589" max="3589" width="16.109375" style="485" customWidth="1"/>
    <col min="3590" max="3590" width="16.33203125" style="485" customWidth="1"/>
    <col min="3591" max="3597" width="9.109375" style="485"/>
    <col min="3598" max="3598" width="9.109375" style="485" customWidth="1"/>
    <col min="3599" max="3838" width="9.109375" style="485"/>
    <col min="3839" max="3839" width="22.88671875" style="485" customWidth="1"/>
    <col min="3840" max="3840" width="16" style="485" customWidth="1"/>
    <col min="3841" max="3841" width="15.88671875" style="485" customWidth="1"/>
    <col min="3842" max="3842" width="12.109375" style="485" customWidth="1"/>
    <col min="3843" max="3843" width="16" style="485" customWidth="1"/>
    <col min="3844" max="3844" width="14.33203125" style="485" customWidth="1"/>
    <col min="3845" max="3845" width="16.109375" style="485" customWidth="1"/>
    <col min="3846" max="3846" width="16.33203125" style="485" customWidth="1"/>
    <col min="3847" max="3853" width="9.109375" style="485"/>
    <col min="3854" max="3854" width="9.109375" style="485" customWidth="1"/>
    <col min="3855" max="4094" width="9.109375" style="485"/>
    <col min="4095" max="4095" width="22.88671875" style="485" customWidth="1"/>
    <col min="4096" max="4096" width="16" style="485" customWidth="1"/>
    <col min="4097" max="4097" width="15.88671875" style="485" customWidth="1"/>
    <col min="4098" max="4098" width="12.109375" style="485" customWidth="1"/>
    <col min="4099" max="4099" width="16" style="485" customWidth="1"/>
    <col min="4100" max="4100" width="14.33203125" style="485" customWidth="1"/>
    <col min="4101" max="4101" width="16.109375" style="485" customWidth="1"/>
    <col min="4102" max="4102" width="16.33203125" style="485" customWidth="1"/>
    <col min="4103" max="4109" width="9.109375" style="485"/>
    <col min="4110" max="4110" width="9.109375" style="485" customWidth="1"/>
    <col min="4111" max="4350" width="9.109375" style="485"/>
    <col min="4351" max="4351" width="22.88671875" style="485" customWidth="1"/>
    <col min="4352" max="4352" width="16" style="485" customWidth="1"/>
    <col min="4353" max="4353" width="15.88671875" style="485" customWidth="1"/>
    <col min="4354" max="4354" width="12.109375" style="485" customWidth="1"/>
    <col min="4355" max="4355" width="16" style="485" customWidth="1"/>
    <col min="4356" max="4356" width="14.33203125" style="485" customWidth="1"/>
    <col min="4357" max="4357" width="16.109375" style="485" customWidth="1"/>
    <col min="4358" max="4358" width="16.33203125" style="485" customWidth="1"/>
    <col min="4359" max="4365" width="9.109375" style="485"/>
    <col min="4366" max="4366" width="9.109375" style="485" customWidth="1"/>
    <col min="4367" max="4606" width="9.109375" style="485"/>
    <col min="4607" max="4607" width="22.88671875" style="485" customWidth="1"/>
    <col min="4608" max="4608" width="16" style="485" customWidth="1"/>
    <col min="4609" max="4609" width="15.88671875" style="485" customWidth="1"/>
    <col min="4610" max="4610" width="12.109375" style="485" customWidth="1"/>
    <col min="4611" max="4611" width="16" style="485" customWidth="1"/>
    <col min="4612" max="4612" width="14.33203125" style="485" customWidth="1"/>
    <col min="4613" max="4613" width="16.109375" style="485" customWidth="1"/>
    <col min="4614" max="4614" width="16.33203125" style="485" customWidth="1"/>
    <col min="4615" max="4621" width="9.109375" style="485"/>
    <col min="4622" max="4622" width="9.109375" style="485" customWidth="1"/>
    <col min="4623" max="4862" width="9.109375" style="485"/>
    <col min="4863" max="4863" width="22.88671875" style="485" customWidth="1"/>
    <col min="4864" max="4864" width="16" style="485" customWidth="1"/>
    <col min="4865" max="4865" width="15.88671875" style="485" customWidth="1"/>
    <col min="4866" max="4866" width="12.109375" style="485" customWidth="1"/>
    <col min="4867" max="4867" width="16" style="485" customWidth="1"/>
    <col min="4868" max="4868" width="14.33203125" style="485" customWidth="1"/>
    <col min="4869" max="4869" width="16.109375" style="485" customWidth="1"/>
    <col min="4870" max="4870" width="16.33203125" style="485" customWidth="1"/>
    <col min="4871" max="4877" width="9.109375" style="485"/>
    <col min="4878" max="4878" width="9.109375" style="485" customWidth="1"/>
    <col min="4879" max="5118" width="9.109375" style="485"/>
    <col min="5119" max="5119" width="22.88671875" style="485" customWidth="1"/>
    <col min="5120" max="5120" width="16" style="485" customWidth="1"/>
    <col min="5121" max="5121" width="15.88671875" style="485" customWidth="1"/>
    <col min="5122" max="5122" width="12.109375" style="485" customWidth="1"/>
    <col min="5123" max="5123" width="16" style="485" customWidth="1"/>
    <col min="5124" max="5124" width="14.33203125" style="485" customWidth="1"/>
    <col min="5125" max="5125" width="16.109375" style="485" customWidth="1"/>
    <col min="5126" max="5126" width="16.33203125" style="485" customWidth="1"/>
    <col min="5127" max="5133" width="9.109375" style="485"/>
    <col min="5134" max="5134" width="9.109375" style="485" customWidth="1"/>
    <col min="5135" max="5374" width="9.109375" style="485"/>
    <col min="5375" max="5375" width="22.88671875" style="485" customWidth="1"/>
    <col min="5376" max="5376" width="16" style="485" customWidth="1"/>
    <col min="5377" max="5377" width="15.88671875" style="485" customWidth="1"/>
    <col min="5378" max="5378" width="12.109375" style="485" customWidth="1"/>
    <col min="5379" max="5379" width="16" style="485" customWidth="1"/>
    <col min="5380" max="5380" width="14.33203125" style="485" customWidth="1"/>
    <col min="5381" max="5381" width="16.109375" style="485" customWidth="1"/>
    <col min="5382" max="5382" width="16.33203125" style="485" customWidth="1"/>
    <col min="5383" max="5389" width="9.109375" style="485"/>
    <col min="5390" max="5390" width="9.109375" style="485" customWidth="1"/>
    <col min="5391" max="5630" width="9.109375" style="485"/>
    <col min="5631" max="5631" width="22.88671875" style="485" customWidth="1"/>
    <col min="5632" max="5632" width="16" style="485" customWidth="1"/>
    <col min="5633" max="5633" width="15.88671875" style="485" customWidth="1"/>
    <col min="5634" max="5634" width="12.109375" style="485" customWidth="1"/>
    <col min="5635" max="5635" width="16" style="485" customWidth="1"/>
    <col min="5636" max="5636" width="14.33203125" style="485" customWidth="1"/>
    <col min="5637" max="5637" width="16.109375" style="485" customWidth="1"/>
    <col min="5638" max="5638" width="16.33203125" style="485" customWidth="1"/>
    <col min="5639" max="5645" width="9.109375" style="485"/>
    <col min="5646" max="5646" width="9.109375" style="485" customWidth="1"/>
    <col min="5647" max="5886" width="9.109375" style="485"/>
    <col min="5887" max="5887" width="22.88671875" style="485" customWidth="1"/>
    <col min="5888" max="5888" width="16" style="485" customWidth="1"/>
    <col min="5889" max="5889" width="15.88671875" style="485" customWidth="1"/>
    <col min="5890" max="5890" width="12.109375" style="485" customWidth="1"/>
    <col min="5891" max="5891" width="16" style="485" customWidth="1"/>
    <col min="5892" max="5892" width="14.33203125" style="485" customWidth="1"/>
    <col min="5893" max="5893" width="16.109375" style="485" customWidth="1"/>
    <col min="5894" max="5894" width="16.33203125" style="485" customWidth="1"/>
    <col min="5895" max="5901" width="9.109375" style="485"/>
    <col min="5902" max="5902" width="9.109375" style="485" customWidth="1"/>
    <col min="5903" max="6142" width="9.109375" style="485"/>
    <col min="6143" max="6143" width="22.88671875" style="485" customWidth="1"/>
    <col min="6144" max="6144" width="16" style="485" customWidth="1"/>
    <col min="6145" max="6145" width="15.88671875" style="485" customWidth="1"/>
    <col min="6146" max="6146" width="12.109375" style="485" customWidth="1"/>
    <col min="6147" max="6147" width="16" style="485" customWidth="1"/>
    <col min="6148" max="6148" width="14.33203125" style="485" customWidth="1"/>
    <col min="6149" max="6149" width="16.109375" style="485" customWidth="1"/>
    <col min="6150" max="6150" width="16.33203125" style="485" customWidth="1"/>
    <col min="6151" max="6157" width="9.109375" style="485"/>
    <col min="6158" max="6158" width="9.109375" style="485" customWidth="1"/>
    <col min="6159" max="6398" width="9.109375" style="485"/>
    <col min="6399" max="6399" width="22.88671875" style="485" customWidth="1"/>
    <col min="6400" max="6400" width="16" style="485" customWidth="1"/>
    <col min="6401" max="6401" width="15.88671875" style="485" customWidth="1"/>
    <col min="6402" max="6402" width="12.109375" style="485" customWidth="1"/>
    <col min="6403" max="6403" width="16" style="485" customWidth="1"/>
    <col min="6404" max="6404" width="14.33203125" style="485" customWidth="1"/>
    <col min="6405" max="6405" width="16.109375" style="485" customWidth="1"/>
    <col min="6406" max="6406" width="16.33203125" style="485" customWidth="1"/>
    <col min="6407" max="6413" width="9.109375" style="485"/>
    <col min="6414" max="6414" width="9.109375" style="485" customWidth="1"/>
    <col min="6415" max="6654" width="9.109375" style="485"/>
    <col min="6655" max="6655" width="22.88671875" style="485" customWidth="1"/>
    <col min="6656" max="6656" width="16" style="485" customWidth="1"/>
    <col min="6657" max="6657" width="15.88671875" style="485" customWidth="1"/>
    <col min="6658" max="6658" width="12.109375" style="485" customWidth="1"/>
    <col min="6659" max="6659" width="16" style="485" customWidth="1"/>
    <col min="6660" max="6660" width="14.33203125" style="485" customWidth="1"/>
    <col min="6661" max="6661" width="16.109375" style="485" customWidth="1"/>
    <col min="6662" max="6662" width="16.33203125" style="485" customWidth="1"/>
    <col min="6663" max="6669" width="9.109375" style="485"/>
    <col min="6670" max="6670" width="9.109375" style="485" customWidth="1"/>
    <col min="6671" max="6910" width="9.109375" style="485"/>
    <col min="6911" max="6911" width="22.88671875" style="485" customWidth="1"/>
    <col min="6912" max="6912" width="16" style="485" customWidth="1"/>
    <col min="6913" max="6913" width="15.88671875" style="485" customWidth="1"/>
    <col min="6914" max="6914" width="12.109375" style="485" customWidth="1"/>
    <col min="6915" max="6915" width="16" style="485" customWidth="1"/>
    <col min="6916" max="6916" width="14.33203125" style="485" customWidth="1"/>
    <col min="6917" max="6917" width="16.109375" style="485" customWidth="1"/>
    <col min="6918" max="6918" width="16.33203125" style="485" customWidth="1"/>
    <col min="6919" max="6925" width="9.109375" style="485"/>
    <col min="6926" max="6926" width="9.109375" style="485" customWidth="1"/>
    <col min="6927" max="7166" width="9.109375" style="485"/>
    <col min="7167" max="7167" width="22.88671875" style="485" customWidth="1"/>
    <col min="7168" max="7168" width="16" style="485" customWidth="1"/>
    <col min="7169" max="7169" width="15.88671875" style="485" customWidth="1"/>
    <col min="7170" max="7170" width="12.109375" style="485" customWidth="1"/>
    <col min="7171" max="7171" width="16" style="485" customWidth="1"/>
    <col min="7172" max="7172" width="14.33203125" style="485" customWidth="1"/>
    <col min="7173" max="7173" width="16.109375" style="485" customWidth="1"/>
    <col min="7174" max="7174" width="16.33203125" style="485" customWidth="1"/>
    <col min="7175" max="7181" width="9.109375" style="485"/>
    <col min="7182" max="7182" width="9.109375" style="485" customWidth="1"/>
    <col min="7183" max="7422" width="9.109375" style="485"/>
    <col min="7423" max="7423" width="22.88671875" style="485" customWidth="1"/>
    <col min="7424" max="7424" width="16" style="485" customWidth="1"/>
    <col min="7425" max="7425" width="15.88671875" style="485" customWidth="1"/>
    <col min="7426" max="7426" width="12.109375" style="485" customWidth="1"/>
    <col min="7427" max="7427" width="16" style="485" customWidth="1"/>
    <col min="7428" max="7428" width="14.33203125" style="485" customWidth="1"/>
    <col min="7429" max="7429" width="16.109375" style="485" customWidth="1"/>
    <col min="7430" max="7430" width="16.33203125" style="485" customWidth="1"/>
    <col min="7431" max="7437" width="9.109375" style="485"/>
    <col min="7438" max="7438" width="9.109375" style="485" customWidth="1"/>
    <col min="7439" max="7678" width="9.109375" style="485"/>
    <col min="7679" max="7679" width="22.88671875" style="485" customWidth="1"/>
    <col min="7680" max="7680" width="16" style="485" customWidth="1"/>
    <col min="7681" max="7681" width="15.88671875" style="485" customWidth="1"/>
    <col min="7682" max="7682" width="12.109375" style="485" customWidth="1"/>
    <col min="7683" max="7683" width="16" style="485" customWidth="1"/>
    <col min="7684" max="7684" width="14.33203125" style="485" customWidth="1"/>
    <col min="7685" max="7685" width="16.109375" style="485" customWidth="1"/>
    <col min="7686" max="7686" width="16.33203125" style="485" customWidth="1"/>
    <col min="7687" max="7693" width="9.109375" style="485"/>
    <col min="7694" max="7694" width="9.109375" style="485" customWidth="1"/>
    <col min="7695" max="7934" width="9.109375" style="485"/>
    <col min="7935" max="7935" width="22.88671875" style="485" customWidth="1"/>
    <col min="7936" max="7936" width="16" style="485" customWidth="1"/>
    <col min="7937" max="7937" width="15.88671875" style="485" customWidth="1"/>
    <col min="7938" max="7938" width="12.109375" style="485" customWidth="1"/>
    <col min="7939" max="7939" width="16" style="485" customWidth="1"/>
    <col min="7940" max="7940" width="14.33203125" style="485" customWidth="1"/>
    <col min="7941" max="7941" width="16.109375" style="485" customWidth="1"/>
    <col min="7942" max="7942" width="16.33203125" style="485" customWidth="1"/>
    <col min="7943" max="7949" width="9.109375" style="485"/>
    <col min="7950" max="7950" width="9.109375" style="485" customWidth="1"/>
    <col min="7951" max="8190" width="9.109375" style="485"/>
    <col min="8191" max="8191" width="22.88671875" style="485" customWidth="1"/>
    <col min="8192" max="8192" width="16" style="485" customWidth="1"/>
    <col min="8193" max="8193" width="15.88671875" style="485" customWidth="1"/>
    <col min="8194" max="8194" width="12.109375" style="485" customWidth="1"/>
    <col min="8195" max="8195" width="16" style="485" customWidth="1"/>
    <col min="8196" max="8196" width="14.33203125" style="485" customWidth="1"/>
    <col min="8197" max="8197" width="16.109375" style="485" customWidth="1"/>
    <col min="8198" max="8198" width="16.33203125" style="485" customWidth="1"/>
    <col min="8199" max="8205" width="9.109375" style="485"/>
    <col min="8206" max="8206" width="9.109375" style="485" customWidth="1"/>
    <col min="8207" max="8446" width="9.109375" style="485"/>
    <col min="8447" max="8447" width="22.88671875" style="485" customWidth="1"/>
    <col min="8448" max="8448" width="16" style="485" customWidth="1"/>
    <col min="8449" max="8449" width="15.88671875" style="485" customWidth="1"/>
    <col min="8450" max="8450" width="12.109375" style="485" customWidth="1"/>
    <col min="8451" max="8451" width="16" style="485" customWidth="1"/>
    <col min="8452" max="8452" width="14.33203125" style="485" customWidth="1"/>
    <col min="8453" max="8453" width="16.109375" style="485" customWidth="1"/>
    <col min="8454" max="8454" width="16.33203125" style="485" customWidth="1"/>
    <col min="8455" max="8461" width="9.109375" style="485"/>
    <col min="8462" max="8462" width="9.109375" style="485" customWidth="1"/>
    <col min="8463" max="8702" width="9.109375" style="485"/>
    <col min="8703" max="8703" width="22.88671875" style="485" customWidth="1"/>
    <col min="8704" max="8704" width="16" style="485" customWidth="1"/>
    <col min="8705" max="8705" width="15.88671875" style="485" customWidth="1"/>
    <col min="8706" max="8706" width="12.109375" style="485" customWidth="1"/>
    <col min="8707" max="8707" width="16" style="485" customWidth="1"/>
    <col min="8708" max="8708" width="14.33203125" style="485" customWidth="1"/>
    <col min="8709" max="8709" width="16.109375" style="485" customWidth="1"/>
    <col min="8710" max="8710" width="16.33203125" style="485" customWidth="1"/>
    <col min="8711" max="8717" width="9.109375" style="485"/>
    <col min="8718" max="8718" width="9.109375" style="485" customWidth="1"/>
    <col min="8719" max="8958" width="9.109375" style="485"/>
    <col min="8959" max="8959" width="22.88671875" style="485" customWidth="1"/>
    <col min="8960" max="8960" width="16" style="485" customWidth="1"/>
    <col min="8961" max="8961" width="15.88671875" style="485" customWidth="1"/>
    <col min="8962" max="8962" width="12.109375" style="485" customWidth="1"/>
    <col min="8963" max="8963" width="16" style="485" customWidth="1"/>
    <col min="8964" max="8964" width="14.33203125" style="485" customWidth="1"/>
    <col min="8965" max="8965" width="16.109375" style="485" customWidth="1"/>
    <col min="8966" max="8966" width="16.33203125" style="485" customWidth="1"/>
    <col min="8967" max="8973" width="9.109375" style="485"/>
    <col min="8974" max="8974" width="9.109375" style="485" customWidth="1"/>
    <col min="8975" max="9214" width="9.109375" style="485"/>
    <col min="9215" max="9215" width="22.88671875" style="485" customWidth="1"/>
    <col min="9216" max="9216" width="16" style="485" customWidth="1"/>
    <col min="9217" max="9217" width="15.88671875" style="485" customWidth="1"/>
    <col min="9218" max="9218" width="12.109375" style="485" customWidth="1"/>
    <col min="9219" max="9219" width="16" style="485" customWidth="1"/>
    <col min="9220" max="9220" width="14.33203125" style="485" customWidth="1"/>
    <col min="9221" max="9221" width="16.109375" style="485" customWidth="1"/>
    <col min="9222" max="9222" width="16.33203125" style="485" customWidth="1"/>
    <col min="9223" max="9229" width="9.109375" style="485"/>
    <col min="9230" max="9230" width="9.109375" style="485" customWidth="1"/>
    <col min="9231" max="9470" width="9.109375" style="485"/>
    <col min="9471" max="9471" width="22.88671875" style="485" customWidth="1"/>
    <col min="9472" max="9472" width="16" style="485" customWidth="1"/>
    <col min="9473" max="9473" width="15.88671875" style="485" customWidth="1"/>
    <col min="9474" max="9474" width="12.109375" style="485" customWidth="1"/>
    <col min="9475" max="9475" width="16" style="485" customWidth="1"/>
    <col min="9476" max="9476" width="14.33203125" style="485" customWidth="1"/>
    <col min="9477" max="9477" width="16.109375" style="485" customWidth="1"/>
    <col min="9478" max="9478" width="16.33203125" style="485" customWidth="1"/>
    <col min="9479" max="9485" width="9.109375" style="485"/>
    <col min="9486" max="9486" width="9.109375" style="485" customWidth="1"/>
    <col min="9487" max="9726" width="9.109375" style="485"/>
    <col min="9727" max="9727" width="22.88671875" style="485" customWidth="1"/>
    <col min="9728" max="9728" width="16" style="485" customWidth="1"/>
    <col min="9729" max="9729" width="15.88671875" style="485" customWidth="1"/>
    <col min="9730" max="9730" width="12.109375" style="485" customWidth="1"/>
    <col min="9731" max="9731" width="16" style="485" customWidth="1"/>
    <col min="9732" max="9732" width="14.33203125" style="485" customWidth="1"/>
    <col min="9733" max="9733" width="16.109375" style="485" customWidth="1"/>
    <col min="9734" max="9734" width="16.33203125" style="485" customWidth="1"/>
    <col min="9735" max="9741" width="9.109375" style="485"/>
    <col min="9742" max="9742" width="9.109375" style="485" customWidth="1"/>
    <col min="9743" max="9982" width="9.109375" style="485"/>
    <col min="9983" max="9983" width="22.88671875" style="485" customWidth="1"/>
    <col min="9984" max="9984" width="16" style="485" customWidth="1"/>
    <col min="9985" max="9985" width="15.88671875" style="485" customWidth="1"/>
    <col min="9986" max="9986" width="12.109375" style="485" customWidth="1"/>
    <col min="9987" max="9987" width="16" style="485" customWidth="1"/>
    <col min="9988" max="9988" width="14.33203125" style="485" customWidth="1"/>
    <col min="9989" max="9989" width="16.109375" style="485" customWidth="1"/>
    <col min="9990" max="9990" width="16.33203125" style="485" customWidth="1"/>
    <col min="9991" max="9997" width="9.109375" style="485"/>
    <col min="9998" max="9998" width="9.109375" style="485" customWidth="1"/>
    <col min="9999" max="10238" width="9.109375" style="485"/>
    <col min="10239" max="10239" width="22.88671875" style="485" customWidth="1"/>
    <col min="10240" max="10240" width="16" style="485" customWidth="1"/>
    <col min="10241" max="10241" width="15.88671875" style="485" customWidth="1"/>
    <col min="10242" max="10242" width="12.109375" style="485" customWidth="1"/>
    <col min="10243" max="10243" width="16" style="485" customWidth="1"/>
    <col min="10244" max="10244" width="14.33203125" style="485" customWidth="1"/>
    <col min="10245" max="10245" width="16.109375" style="485" customWidth="1"/>
    <col min="10246" max="10246" width="16.33203125" style="485" customWidth="1"/>
    <col min="10247" max="10253" width="9.109375" style="485"/>
    <col min="10254" max="10254" width="9.109375" style="485" customWidth="1"/>
    <col min="10255" max="10494" width="9.109375" style="485"/>
    <col min="10495" max="10495" width="22.88671875" style="485" customWidth="1"/>
    <col min="10496" max="10496" width="16" style="485" customWidth="1"/>
    <col min="10497" max="10497" width="15.88671875" style="485" customWidth="1"/>
    <col min="10498" max="10498" width="12.109375" style="485" customWidth="1"/>
    <col min="10499" max="10499" width="16" style="485" customWidth="1"/>
    <col min="10500" max="10500" width="14.33203125" style="485" customWidth="1"/>
    <col min="10501" max="10501" width="16.109375" style="485" customWidth="1"/>
    <col min="10502" max="10502" width="16.33203125" style="485" customWidth="1"/>
    <col min="10503" max="10509" width="9.109375" style="485"/>
    <col min="10510" max="10510" width="9.109375" style="485" customWidth="1"/>
    <col min="10511" max="10750" width="9.109375" style="485"/>
    <col min="10751" max="10751" width="22.88671875" style="485" customWidth="1"/>
    <col min="10752" max="10752" width="16" style="485" customWidth="1"/>
    <col min="10753" max="10753" width="15.88671875" style="485" customWidth="1"/>
    <col min="10754" max="10754" width="12.109375" style="485" customWidth="1"/>
    <col min="10755" max="10755" width="16" style="485" customWidth="1"/>
    <col min="10756" max="10756" width="14.33203125" style="485" customWidth="1"/>
    <col min="10757" max="10757" width="16.109375" style="485" customWidth="1"/>
    <col min="10758" max="10758" width="16.33203125" style="485" customWidth="1"/>
    <col min="10759" max="10765" width="9.109375" style="485"/>
    <col min="10766" max="10766" width="9.109375" style="485" customWidth="1"/>
    <col min="10767" max="11006" width="9.109375" style="485"/>
    <col min="11007" max="11007" width="22.88671875" style="485" customWidth="1"/>
    <col min="11008" max="11008" width="16" style="485" customWidth="1"/>
    <col min="11009" max="11009" width="15.88671875" style="485" customWidth="1"/>
    <col min="11010" max="11010" width="12.109375" style="485" customWidth="1"/>
    <col min="11011" max="11011" width="16" style="485" customWidth="1"/>
    <col min="11012" max="11012" width="14.33203125" style="485" customWidth="1"/>
    <col min="11013" max="11013" width="16.109375" style="485" customWidth="1"/>
    <col min="11014" max="11014" width="16.33203125" style="485" customWidth="1"/>
    <col min="11015" max="11021" width="9.109375" style="485"/>
    <col min="11022" max="11022" width="9.109375" style="485" customWidth="1"/>
    <col min="11023" max="11262" width="9.109375" style="485"/>
    <col min="11263" max="11263" width="22.88671875" style="485" customWidth="1"/>
    <col min="11264" max="11264" width="16" style="485" customWidth="1"/>
    <col min="11265" max="11265" width="15.88671875" style="485" customWidth="1"/>
    <col min="11266" max="11266" width="12.109375" style="485" customWidth="1"/>
    <col min="11267" max="11267" width="16" style="485" customWidth="1"/>
    <col min="11268" max="11268" width="14.33203125" style="485" customWidth="1"/>
    <col min="11269" max="11269" width="16.109375" style="485" customWidth="1"/>
    <col min="11270" max="11270" width="16.33203125" style="485" customWidth="1"/>
    <col min="11271" max="11277" width="9.109375" style="485"/>
    <col min="11278" max="11278" width="9.109375" style="485" customWidth="1"/>
    <col min="11279" max="11518" width="9.109375" style="485"/>
    <col min="11519" max="11519" width="22.88671875" style="485" customWidth="1"/>
    <col min="11520" max="11520" width="16" style="485" customWidth="1"/>
    <col min="11521" max="11521" width="15.88671875" style="485" customWidth="1"/>
    <col min="11522" max="11522" width="12.109375" style="485" customWidth="1"/>
    <col min="11523" max="11523" width="16" style="485" customWidth="1"/>
    <col min="11524" max="11524" width="14.33203125" style="485" customWidth="1"/>
    <col min="11525" max="11525" width="16.109375" style="485" customWidth="1"/>
    <col min="11526" max="11526" width="16.33203125" style="485" customWidth="1"/>
    <col min="11527" max="11533" width="9.109375" style="485"/>
    <col min="11534" max="11534" width="9.109375" style="485" customWidth="1"/>
    <col min="11535" max="11774" width="9.109375" style="485"/>
    <col min="11775" max="11775" width="22.88671875" style="485" customWidth="1"/>
    <col min="11776" max="11776" width="16" style="485" customWidth="1"/>
    <col min="11777" max="11777" width="15.88671875" style="485" customWidth="1"/>
    <col min="11778" max="11778" width="12.109375" style="485" customWidth="1"/>
    <col min="11779" max="11779" width="16" style="485" customWidth="1"/>
    <col min="11780" max="11780" width="14.33203125" style="485" customWidth="1"/>
    <col min="11781" max="11781" width="16.109375" style="485" customWidth="1"/>
    <col min="11782" max="11782" width="16.33203125" style="485" customWidth="1"/>
    <col min="11783" max="11789" width="9.109375" style="485"/>
    <col min="11790" max="11790" width="9.109375" style="485" customWidth="1"/>
    <col min="11791" max="12030" width="9.109375" style="485"/>
    <col min="12031" max="12031" width="22.88671875" style="485" customWidth="1"/>
    <col min="12032" max="12032" width="16" style="485" customWidth="1"/>
    <col min="12033" max="12033" width="15.88671875" style="485" customWidth="1"/>
    <col min="12034" max="12034" width="12.109375" style="485" customWidth="1"/>
    <col min="12035" max="12035" width="16" style="485" customWidth="1"/>
    <col min="12036" max="12036" width="14.33203125" style="485" customWidth="1"/>
    <col min="12037" max="12037" width="16.109375" style="485" customWidth="1"/>
    <col min="12038" max="12038" width="16.33203125" style="485" customWidth="1"/>
    <col min="12039" max="12045" width="9.109375" style="485"/>
    <col min="12046" max="12046" width="9.109375" style="485" customWidth="1"/>
    <col min="12047" max="12286" width="9.109375" style="485"/>
    <col min="12287" max="12287" width="22.88671875" style="485" customWidth="1"/>
    <col min="12288" max="12288" width="16" style="485" customWidth="1"/>
    <col min="12289" max="12289" width="15.88671875" style="485" customWidth="1"/>
    <col min="12290" max="12290" width="12.109375" style="485" customWidth="1"/>
    <col min="12291" max="12291" width="16" style="485" customWidth="1"/>
    <col min="12292" max="12292" width="14.33203125" style="485" customWidth="1"/>
    <col min="12293" max="12293" width="16.109375" style="485" customWidth="1"/>
    <col min="12294" max="12294" width="16.33203125" style="485" customWidth="1"/>
    <col min="12295" max="12301" width="9.109375" style="485"/>
    <col min="12302" max="12302" width="9.109375" style="485" customWidth="1"/>
    <col min="12303" max="12542" width="9.109375" style="485"/>
    <col min="12543" max="12543" width="22.88671875" style="485" customWidth="1"/>
    <col min="12544" max="12544" width="16" style="485" customWidth="1"/>
    <col min="12545" max="12545" width="15.88671875" style="485" customWidth="1"/>
    <col min="12546" max="12546" width="12.109375" style="485" customWidth="1"/>
    <col min="12547" max="12547" width="16" style="485" customWidth="1"/>
    <col min="12548" max="12548" width="14.33203125" style="485" customWidth="1"/>
    <col min="12549" max="12549" width="16.109375" style="485" customWidth="1"/>
    <col min="12550" max="12550" width="16.33203125" style="485" customWidth="1"/>
    <col min="12551" max="12557" width="9.109375" style="485"/>
    <col min="12558" max="12558" width="9.109375" style="485" customWidth="1"/>
    <col min="12559" max="12798" width="9.109375" style="485"/>
    <col min="12799" max="12799" width="22.88671875" style="485" customWidth="1"/>
    <col min="12800" max="12800" width="16" style="485" customWidth="1"/>
    <col min="12801" max="12801" width="15.88671875" style="485" customWidth="1"/>
    <col min="12802" max="12802" width="12.109375" style="485" customWidth="1"/>
    <col min="12803" max="12803" width="16" style="485" customWidth="1"/>
    <col min="12804" max="12804" width="14.33203125" style="485" customWidth="1"/>
    <col min="12805" max="12805" width="16.109375" style="485" customWidth="1"/>
    <col min="12806" max="12806" width="16.33203125" style="485" customWidth="1"/>
    <col min="12807" max="12813" width="9.109375" style="485"/>
    <col min="12814" max="12814" width="9.109375" style="485" customWidth="1"/>
    <col min="12815" max="13054" width="9.109375" style="485"/>
    <col min="13055" max="13055" width="22.88671875" style="485" customWidth="1"/>
    <col min="13056" max="13056" width="16" style="485" customWidth="1"/>
    <col min="13057" max="13057" width="15.88671875" style="485" customWidth="1"/>
    <col min="13058" max="13058" width="12.109375" style="485" customWidth="1"/>
    <col min="13059" max="13059" width="16" style="485" customWidth="1"/>
    <col min="13060" max="13060" width="14.33203125" style="485" customWidth="1"/>
    <col min="13061" max="13061" width="16.109375" style="485" customWidth="1"/>
    <col min="13062" max="13062" width="16.33203125" style="485" customWidth="1"/>
    <col min="13063" max="13069" width="9.109375" style="485"/>
    <col min="13070" max="13070" width="9.109375" style="485" customWidth="1"/>
    <col min="13071" max="13310" width="9.109375" style="485"/>
    <col min="13311" max="13311" width="22.88671875" style="485" customWidth="1"/>
    <col min="13312" max="13312" width="16" style="485" customWidth="1"/>
    <col min="13313" max="13313" width="15.88671875" style="485" customWidth="1"/>
    <col min="13314" max="13314" width="12.109375" style="485" customWidth="1"/>
    <col min="13315" max="13315" width="16" style="485" customWidth="1"/>
    <col min="13316" max="13316" width="14.33203125" style="485" customWidth="1"/>
    <col min="13317" max="13317" width="16.109375" style="485" customWidth="1"/>
    <col min="13318" max="13318" width="16.33203125" style="485" customWidth="1"/>
    <col min="13319" max="13325" width="9.109375" style="485"/>
    <col min="13326" max="13326" width="9.109375" style="485" customWidth="1"/>
    <col min="13327" max="13566" width="9.109375" style="485"/>
    <col min="13567" max="13567" width="22.88671875" style="485" customWidth="1"/>
    <col min="13568" max="13568" width="16" style="485" customWidth="1"/>
    <col min="13569" max="13569" width="15.88671875" style="485" customWidth="1"/>
    <col min="13570" max="13570" width="12.109375" style="485" customWidth="1"/>
    <col min="13571" max="13571" width="16" style="485" customWidth="1"/>
    <col min="13572" max="13572" width="14.33203125" style="485" customWidth="1"/>
    <col min="13573" max="13573" width="16.109375" style="485" customWidth="1"/>
    <col min="13574" max="13574" width="16.33203125" style="485" customWidth="1"/>
    <col min="13575" max="13581" width="9.109375" style="485"/>
    <col min="13582" max="13582" width="9.109375" style="485" customWidth="1"/>
    <col min="13583" max="13822" width="9.109375" style="485"/>
    <col min="13823" max="13823" width="22.88671875" style="485" customWidth="1"/>
    <col min="13824" max="13824" width="16" style="485" customWidth="1"/>
    <col min="13825" max="13825" width="15.88671875" style="485" customWidth="1"/>
    <col min="13826" max="13826" width="12.109375" style="485" customWidth="1"/>
    <col min="13827" max="13827" width="16" style="485" customWidth="1"/>
    <col min="13828" max="13828" width="14.33203125" style="485" customWidth="1"/>
    <col min="13829" max="13829" width="16.109375" style="485" customWidth="1"/>
    <col min="13830" max="13830" width="16.33203125" style="485" customWidth="1"/>
    <col min="13831" max="13837" width="9.109375" style="485"/>
    <col min="13838" max="13838" width="9.109375" style="485" customWidth="1"/>
    <col min="13839" max="14078" width="9.109375" style="485"/>
    <col min="14079" max="14079" width="22.88671875" style="485" customWidth="1"/>
    <col min="14080" max="14080" width="16" style="485" customWidth="1"/>
    <col min="14081" max="14081" width="15.88671875" style="485" customWidth="1"/>
    <col min="14082" max="14082" width="12.109375" style="485" customWidth="1"/>
    <col min="14083" max="14083" width="16" style="485" customWidth="1"/>
    <col min="14084" max="14084" width="14.33203125" style="485" customWidth="1"/>
    <col min="14085" max="14085" width="16.109375" style="485" customWidth="1"/>
    <col min="14086" max="14086" width="16.33203125" style="485" customWidth="1"/>
    <col min="14087" max="14093" width="9.109375" style="485"/>
    <col min="14094" max="14094" width="9.109375" style="485" customWidth="1"/>
    <col min="14095" max="14334" width="9.109375" style="485"/>
    <col min="14335" max="14335" width="22.88671875" style="485" customWidth="1"/>
    <col min="14336" max="14336" width="16" style="485" customWidth="1"/>
    <col min="14337" max="14337" width="15.88671875" style="485" customWidth="1"/>
    <col min="14338" max="14338" width="12.109375" style="485" customWidth="1"/>
    <col min="14339" max="14339" width="16" style="485" customWidth="1"/>
    <col min="14340" max="14340" width="14.33203125" style="485" customWidth="1"/>
    <col min="14341" max="14341" width="16.109375" style="485" customWidth="1"/>
    <col min="14342" max="14342" width="16.33203125" style="485" customWidth="1"/>
    <col min="14343" max="14349" width="9.109375" style="485"/>
    <col min="14350" max="14350" width="9.109375" style="485" customWidth="1"/>
    <col min="14351" max="14590" width="9.109375" style="485"/>
    <col min="14591" max="14591" width="22.88671875" style="485" customWidth="1"/>
    <col min="14592" max="14592" width="16" style="485" customWidth="1"/>
    <col min="14593" max="14593" width="15.88671875" style="485" customWidth="1"/>
    <col min="14594" max="14594" width="12.109375" style="485" customWidth="1"/>
    <col min="14595" max="14595" width="16" style="485" customWidth="1"/>
    <col min="14596" max="14596" width="14.33203125" style="485" customWidth="1"/>
    <col min="14597" max="14597" width="16.109375" style="485" customWidth="1"/>
    <col min="14598" max="14598" width="16.33203125" style="485" customWidth="1"/>
    <col min="14599" max="14605" width="9.109375" style="485"/>
    <col min="14606" max="14606" width="9.109375" style="485" customWidth="1"/>
    <col min="14607" max="14846" width="9.109375" style="485"/>
    <col min="14847" max="14847" width="22.88671875" style="485" customWidth="1"/>
    <col min="14848" max="14848" width="16" style="485" customWidth="1"/>
    <col min="14849" max="14849" width="15.88671875" style="485" customWidth="1"/>
    <col min="14850" max="14850" width="12.109375" style="485" customWidth="1"/>
    <col min="14851" max="14851" width="16" style="485" customWidth="1"/>
    <col min="14852" max="14852" width="14.33203125" style="485" customWidth="1"/>
    <col min="14853" max="14853" width="16.109375" style="485" customWidth="1"/>
    <col min="14854" max="14854" width="16.33203125" style="485" customWidth="1"/>
    <col min="14855" max="14861" width="9.109375" style="485"/>
    <col min="14862" max="14862" width="9.109375" style="485" customWidth="1"/>
    <col min="14863" max="15102" width="9.109375" style="485"/>
    <col min="15103" max="15103" width="22.88671875" style="485" customWidth="1"/>
    <col min="15104" max="15104" width="16" style="485" customWidth="1"/>
    <col min="15105" max="15105" width="15.88671875" style="485" customWidth="1"/>
    <col min="15106" max="15106" width="12.109375" style="485" customWidth="1"/>
    <col min="15107" max="15107" width="16" style="485" customWidth="1"/>
    <col min="15108" max="15108" width="14.33203125" style="485" customWidth="1"/>
    <col min="15109" max="15109" width="16.109375" style="485" customWidth="1"/>
    <col min="15110" max="15110" width="16.33203125" style="485" customWidth="1"/>
    <col min="15111" max="15117" width="9.109375" style="485"/>
    <col min="15118" max="15118" width="9.109375" style="485" customWidth="1"/>
    <col min="15119" max="15358" width="9.109375" style="485"/>
    <col min="15359" max="15359" width="22.88671875" style="485" customWidth="1"/>
    <col min="15360" max="15360" width="16" style="485" customWidth="1"/>
    <col min="15361" max="15361" width="15.88671875" style="485" customWidth="1"/>
    <col min="15362" max="15362" width="12.109375" style="485" customWidth="1"/>
    <col min="15363" max="15363" width="16" style="485" customWidth="1"/>
    <col min="15364" max="15364" width="14.33203125" style="485" customWidth="1"/>
    <col min="15365" max="15365" width="16.109375" style="485" customWidth="1"/>
    <col min="15366" max="15366" width="16.33203125" style="485" customWidth="1"/>
    <col min="15367" max="15373" width="9.109375" style="485"/>
    <col min="15374" max="15374" width="9.109375" style="485" customWidth="1"/>
    <col min="15375" max="15614" width="9.109375" style="485"/>
    <col min="15615" max="15615" width="22.88671875" style="485" customWidth="1"/>
    <col min="15616" max="15616" width="16" style="485" customWidth="1"/>
    <col min="15617" max="15617" width="15.88671875" style="485" customWidth="1"/>
    <col min="15618" max="15618" width="12.109375" style="485" customWidth="1"/>
    <col min="15619" max="15619" width="16" style="485" customWidth="1"/>
    <col min="15620" max="15620" width="14.33203125" style="485" customWidth="1"/>
    <col min="15621" max="15621" width="16.109375" style="485" customWidth="1"/>
    <col min="15622" max="15622" width="16.33203125" style="485" customWidth="1"/>
    <col min="15623" max="15629" width="9.109375" style="485"/>
    <col min="15630" max="15630" width="9.109375" style="485" customWidth="1"/>
    <col min="15631" max="15870" width="9.109375" style="485"/>
    <col min="15871" max="15871" width="22.88671875" style="485" customWidth="1"/>
    <col min="15872" max="15872" width="16" style="485" customWidth="1"/>
    <col min="15873" max="15873" width="15.88671875" style="485" customWidth="1"/>
    <col min="15874" max="15874" width="12.109375" style="485" customWidth="1"/>
    <col min="15875" max="15875" width="16" style="485" customWidth="1"/>
    <col min="15876" max="15876" width="14.33203125" style="485" customWidth="1"/>
    <col min="15877" max="15877" width="16.109375" style="485" customWidth="1"/>
    <col min="15878" max="15878" width="16.33203125" style="485" customWidth="1"/>
    <col min="15879" max="15885" width="9.109375" style="485"/>
    <col min="15886" max="15886" width="9.109375" style="485" customWidth="1"/>
    <col min="15887" max="16126" width="9.109375" style="485"/>
    <col min="16127" max="16127" width="22.88671875" style="485" customWidth="1"/>
    <col min="16128" max="16128" width="16" style="485" customWidth="1"/>
    <col min="16129" max="16129" width="15.88671875" style="485" customWidth="1"/>
    <col min="16130" max="16130" width="12.109375" style="485" customWidth="1"/>
    <col min="16131" max="16131" width="16" style="485" customWidth="1"/>
    <col min="16132" max="16132" width="14.33203125" style="485" customWidth="1"/>
    <col min="16133" max="16133" width="16.109375" style="485" customWidth="1"/>
    <col min="16134" max="16134" width="16.33203125" style="485" customWidth="1"/>
    <col min="16135" max="16141" width="9.109375" style="485"/>
    <col min="16142" max="16142" width="9.109375" style="485" customWidth="1"/>
    <col min="16143" max="16384" width="9.109375" style="485"/>
  </cols>
  <sheetData>
    <row r="1" spans="1:6" x14ac:dyDescent="0.25">
      <c r="A1" s="485" t="s">
        <v>483</v>
      </c>
    </row>
    <row r="3" spans="1:6" ht="15.75" customHeight="1" x14ac:dyDescent="0.25">
      <c r="A3" s="485" t="s">
        <v>469</v>
      </c>
    </row>
    <row r="4" spans="1:6" ht="15.75" customHeight="1" x14ac:dyDescent="0.25">
      <c r="A4" s="486" t="s">
        <v>470</v>
      </c>
      <c r="B4" s="492">
        <v>360</v>
      </c>
    </row>
    <row r="5" spans="1:6" ht="15.75" customHeight="1" x14ac:dyDescent="0.25">
      <c r="A5" s="486" t="s">
        <v>471</v>
      </c>
      <c r="B5" s="492">
        <v>1700</v>
      </c>
    </row>
    <row r="6" spans="1:6" ht="15.75" customHeight="1" x14ac:dyDescent="0.25">
      <c r="A6" s="486" t="s">
        <v>472</v>
      </c>
      <c r="B6" s="492">
        <v>750</v>
      </c>
    </row>
    <row r="7" spans="1:6" ht="15.75" customHeight="1" x14ac:dyDescent="0.25">
      <c r="A7" s="488" t="s">
        <v>282</v>
      </c>
      <c r="B7" s="497">
        <f>SUM(B4:B6)</f>
        <v>2810</v>
      </c>
    </row>
    <row r="8" spans="1:6" ht="15.75" customHeight="1" x14ac:dyDescent="0.25">
      <c r="B8" s="491"/>
    </row>
    <row r="9" spans="1:6" ht="15.75" customHeight="1" x14ac:dyDescent="0.25">
      <c r="A9" s="486" t="s">
        <v>473</v>
      </c>
      <c r="B9" s="491">
        <v>3700</v>
      </c>
    </row>
    <row r="10" spans="1:6" ht="15.75" customHeight="1" x14ac:dyDescent="0.25">
      <c r="A10" s="486" t="s">
        <v>474</v>
      </c>
      <c r="B10" s="492">
        <v>4000000</v>
      </c>
    </row>
    <row r="11" spans="1:6" ht="15.75" customHeight="1" x14ac:dyDescent="0.25">
      <c r="A11" s="486" t="s">
        <v>475</v>
      </c>
      <c r="B11" s="492">
        <v>6000</v>
      </c>
    </row>
    <row r="12" spans="1:6" ht="15.75" customHeight="1" x14ac:dyDescent="0.25">
      <c r="A12" s="486" t="s">
        <v>476</v>
      </c>
      <c r="B12" s="492">
        <v>7000</v>
      </c>
    </row>
    <row r="13" spans="1:6" ht="15.75" customHeight="1" x14ac:dyDescent="0.25"/>
    <row r="15" spans="1:6" ht="39.75" customHeight="1" x14ac:dyDescent="0.25">
      <c r="A15" s="498"/>
      <c r="B15" s="499" t="s">
        <v>199</v>
      </c>
      <c r="C15" s="499" t="s">
        <v>490</v>
      </c>
      <c r="D15" s="499" t="s">
        <v>376</v>
      </c>
      <c r="E15" s="499" t="s">
        <v>478</v>
      </c>
      <c r="F15" s="499" t="s">
        <v>479</v>
      </c>
    </row>
    <row r="16" spans="1:6" x14ac:dyDescent="0.25">
      <c r="A16" s="500" t="s">
        <v>480</v>
      </c>
      <c r="B16" s="493">
        <f>B12</f>
        <v>7000</v>
      </c>
      <c r="C16" s="501"/>
      <c r="D16" s="493">
        <f>B12</f>
        <v>7000</v>
      </c>
      <c r="E16" s="501"/>
      <c r="F16" s="493">
        <f>B11</f>
        <v>6000</v>
      </c>
    </row>
    <row r="17" spans="1:6" x14ac:dyDescent="0.25">
      <c r="A17" s="502"/>
      <c r="B17" s="503"/>
      <c r="C17" s="504"/>
      <c r="D17" s="503"/>
      <c r="E17" s="504"/>
      <c r="F17" s="503"/>
    </row>
    <row r="18" spans="1:6" x14ac:dyDescent="0.25">
      <c r="A18" s="500" t="s">
        <v>96</v>
      </c>
      <c r="B18" s="493">
        <v>25000000</v>
      </c>
      <c r="C18" s="501">
        <f>B18-D18</f>
        <v>-900000</v>
      </c>
      <c r="D18" s="493">
        <f>B12*B9</f>
        <v>25900000</v>
      </c>
      <c r="E18" s="501">
        <f>D18-F18</f>
        <v>3700000</v>
      </c>
      <c r="F18" s="493">
        <f>B9*B11</f>
        <v>22200000</v>
      </c>
    </row>
    <row r="19" spans="1:6" x14ac:dyDescent="0.25">
      <c r="A19" s="505"/>
      <c r="B19" s="506"/>
      <c r="C19" s="491"/>
      <c r="D19" s="506"/>
      <c r="E19" s="491"/>
      <c r="F19" s="506"/>
    </row>
    <row r="20" spans="1:6" x14ac:dyDescent="0.25">
      <c r="A20" s="505" t="s">
        <v>470</v>
      </c>
      <c r="B20" s="506">
        <v>3100000</v>
      </c>
      <c r="C20" s="491">
        <f t="shared" ref="C20:C25" si="0">D20-B20</f>
        <v>-580000</v>
      </c>
      <c r="D20" s="506">
        <f>B12*B4</f>
        <v>2520000</v>
      </c>
      <c r="E20" s="491">
        <f t="shared" ref="E20:E25" si="1">F20-D20</f>
        <v>-360000</v>
      </c>
      <c r="F20" s="506">
        <f>B4*B11</f>
        <v>2160000</v>
      </c>
    </row>
    <row r="21" spans="1:6" x14ac:dyDescent="0.25">
      <c r="A21" s="505" t="s">
        <v>471</v>
      </c>
      <c r="B21" s="506">
        <v>12470000</v>
      </c>
      <c r="C21" s="491">
        <f t="shared" si="0"/>
        <v>-570000</v>
      </c>
      <c r="D21" s="506">
        <f>B12*B5</f>
        <v>11900000</v>
      </c>
      <c r="E21" s="491">
        <f t="shared" si="1"/>
        <v>-1700000</v>
      </c>
      <c r="F21" s="506">
        <f>B5*B11</f>
        <v>10200000</v>
      </c>
    </row>
    <row r="22" spans="1:6" x14ac:dyDescent="0.25">
      <c r="A22" s="507" t="s">
        <v>484</v>
      </c>
      <c r="B22" s="508">
        <v>5075000</v>
      </c>
      <c r="C22" s="509">
        <f t="shared" si="0"/>
        <v>175000</v>
      </c>
      <c r="D22" s="508">
        <f>B6*B12</f>
        <v>5250000</v>
      </c>
      <c r="E22" s="509">
        <f t="shared" si="1"/>
        <v>-750000</v>
      </c>
      <c r="F22" s="508">
        <f>B11*B6</f>
        <v>4500000</v>
      </c>
    </row>
    <row r="23" spans="1:6" x14ac:dyDescent="0.25">
      <c r="A23" s="510" t="s">
        <v>481</v>
      </c>
      <c r="B23" s="508">
        <f>SUM(B20:B22)</f>
        <v>20645000</v>
      </c>
      <c r="C23" s="509">
        <f t="shared" si="0"/>
        <v>-975000</v>
      </c>
      <c r="D23" s="508">
        <f>SUM(D20:D22)</f>
        <v>19670000</v>
      </c>
      <c r="E23" s="509">
        <f t="shared" si="1"/>
        <v>-2810000</v>
      </c>
      <c r="F23" s="508">
        <f>SUM(F20:F22)</f>
        <v>16860000</v>
      </c>
    </row>
    <row r="24" spans="1:6" x14ac:dyDescent="0.25">
      <c r="A24" s="505" t="s">
        <v>131</v>
      </c>
      <c r="B24" s="506">
        <f>B18-B23</f>
        <v>4355000</v>
      </c>
      <c r="C24" s="538">
        <f>B24-D24</f>
        <v>-1875000</v>
      </c>
      <c r="D24" s="539">
        <f>D18-D23</f>
        <v>6230000</v>
      </c>
      <c r="E24" s="538">
        <f>D24-F24</f>
        <v>890000</v>
      </c>
      <c r="F24" s="506">
        <f>F18-F23</f>
        <v>5340000</v>
      </c>
    </row>
    <row r="25" spans="1:6" x14ac:dyDescent="0.25">
      <c r="A25" s="510" t="s">
        <v>132</v>
      </c>
      <c r="B25" s="508">
        <v>4100000</v>
      </c>
      <c r="C25" s="509">
        <f t="shared" si="0"/>
        <v>-100000</v>
      </c>
      <c r="D25" s="508">
        <f>B10</f>
        <v>4000000</v>
      </c>
      <c r="E25" s="509">
        <f t="shared" si="1"/>
        <v>0</v>
      </c>
      <c r="F25" s="508">
        <f>B10</f>
        <v>4000000</v>
      </c>
    </row>
    <row r="26" spans="1:6" x14ac:dyDescent="0.25">
      <c r="A26" s="510" t="s">
        <v>133</v>
      </c>
      <c r="B26" s="508">
        <f>B24-B25</f>
        <v>255000</v>
      </c>
      <c r="C26" s="509">
        <f>B26-D26</f>
        <v>-1975000</v>
      </c>
      <c r="D26" s="508">
        <f>D24-D25</f>
        <v>2230000</v>
      </c>
      <c r="E26" s="509">
        <f>D26-F26</f>
        <v>890000</v>
      </c>
      <c r="F26" s="508">
        <f>F24-F25</f>
        <v>1340000</v>
      </c>
    </row>
    <row r="29" spans="1:6" ht="15.6" x14ac:dyDescent="0.3">
      <c r="A29" s="496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&amp;C&amp;A&amp;R&amp;P</oddHeader>
    <oddFooter>&amp;CLøsninger kapittel 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20"/>
  <sheetViews>
    <sheetView workbookViewId="0">
      <selection activeCell="J27" sqref="J27"/>
    </sheetView>
  </sheetViews>
  <sheetFormatPr baseColWidth="10" defaultColWidth="11.33203125" defaultRowHeight="14.4" x14ac:dyDescent="0.3"/>
  <cols>
    <col min="1" max="1" width="4.33203125" style="576" customWidth="1"/>
    <col min="2" max="2" width="25.88671875" style="576" customWidth="1"/>
    <col min="3" max="7" width="11.33203125" style="576"/>
    <col min="8" max="9" width="14.6640625" style="576" customWidth="1"/>
    <col min="10" max="10" width="16.109375" style="576" customWidth="1"/>
    <col min="11" max="11" width="14.109375" style="576" customWidth="1"/>
    <col min="12" max="16384" width="11.33203125" style="576"/>
  </cols>
  <sheetData>
    <row r="1" spans="2:10" x14ac:dyDescent="0.3">
      <c r="B1" s="576" t="s">
        <v>1037</v>
      </c>
      <c r="E1" s="637"/>
    </row>
    <row r="2" spans="2:10" x14ac:dyDescent="0.3">
      <c r="B2" s="623" t="s">
        <v>919</v>
      </c>
    </row>
    <row r="4" spans="2:10" x14ac:dyDescent="0.3">
      <c r="B4" s="622" t="s">
        <v>918</v>
      </c>
      <c r="D4" s="623" t="s">
        <v>839</v>
      </c>
    </row>
    <row r="5" spans="2:10" ht="15" thickBot="1" x14ac:dyDescent="0.35">
      <c r="B5" s="623" t="s">
        <v>1036</v>
      </c>
      <c r="C5" s="598"/>
      <c r="D5" s="763" t="s">
        <v>916</v>
      </c>
      <c r="E5" s="764" t="s">
        <v>915</v>
      </c>
      <c r="H5" s="623"/>
    </row>
    <row r="6" spans="2:10" ht="16.8" thickBot="1" x14ac:dyDescent="0.35">
      <c r="B6" s="639" t="s">
        <v>914</v>
      </c>
      <c r="C6" s="696">
        <v>1200</v>
      </c>
      <c r="D6" s="696">
        <v>3</v>
      </c>
      <c r="E6" s="696">
        <v>6</v>
      </c>
      <c r="F6" s="594" t="s">
        <v>912</v>
      </c>
      <c r="J6" s="700"/>
    </row>
    <row r="7" spans="2:10" ht="16.8" thickBot="1" x14ac:dyDescent="0.35">
      <c r="B7" s="639" t="s">
        <v>913</v>
      </c>
      <c r="C7" s="696">
        <v>1650</v>
      </c>
      <c r="D7" s="696">
        <v>2</v>
      </c>
      <c r="E7" s="696">
        <v>4</v>
      </c>
      <c r="F7" s="638" t="s">
        <v>912</v>
      </c>
    </row>
    <row r="8" spans="2:10" ht="15" thickBot="1" x14ac:dyDescent="0.35">
      <c r="B8" s="636" t="s">
        <v>911</v>
      </c>
      <c r="C8" s="765">
        <v>400</v>
      </c>
      <c r="D8" s="696">
        <v>5</v>
      </c>
      <c r="E8" s="696">
        <v>7</v>
      </c>
      <c r="F8" s="595" t="s">
        <v>447</v>
      </c>
      <c r="J8" s="700"/>
    </row>
    <row r="9" spans="2:10" ht="17.100000000000001" customHeight="1" x14ac:dyDescent="0.3">
      <c r="B9" s="632" t="s">
        <v>1035</v>
      </c>
      <c r="C9" s="730"/>
      <c r="D9" s="598"/>
      <c r="E9" s="598"/>
    </row>
    <row r="10" spans="2:10" ht="19.2" customHeight="1" thickBot="1" x14ac:dyDescent="0.35">
      <c r="B10" s="636" t="s">
        <v>1034</v>
      </c>
      <c r="C10" s="765">
        <v>800</v>
      </c>
      <c r="D10" s="598"/>
      <c r="E10" s="598"/>
    </row>
    <row r="11" spans="2:10" ht="17.100000000000001" customHeight="1" x14ac:dyDescent="0.3">
      <c r="B11" s="699" t="s">
        <v>1033</v>
      </c>
      <c r="C11" s="730"/>
      <c r="D11" s="598"/>
      <c r="E11" s="598"/>
    </row>
    <row r="12" spans="2:10" ht="16.8" thickBot="1" x14ac:dyDescent="0.35">
      <c r="B12" s="636" t="s">
        <v>1032</v>
      </c>
      <c r="C12" s="765">
        <v>1000</v>
      </c>
      <c r="D12" s="598"/>
      <c r="E12" s="598"/>
    </row>
    <row r="13" spans="2:10" x14ac:dyDescent="0.3">
      <c r="B13" s="698" t="s">
        <v>1031</v>
      </c>
      <c r="C13" s="730"/>
      <c r="D13" s="598"/>
      <c r="E13" s="598"/>
    </row>
    <row r="14" spans="2:10" ht="18" customHeight="1" thickBot="1" x14ac:dyDescent="0.35">
      <c r="B14" s="636" t="s">
        <v>84</v>
      </c>
      <c r="C14" s="765">
        <v>2500</v>
      </c>
      <c r="D14" s="598" t="s">
        <v>1030</v>
      </c>
      <c r="E14" s="598"/>
    </row>
    <row r="15" spans="2:10" ht="15" thickBot="1" x14ac:dyDescent="0.35">
      <c r="B15" s="697" t="s">
        <v>1029</v>
      </c>
      <c r="C15" s="598"/>
      <c r="D15" s="696">
        <v>25000</v>
      </c>
      <c r="E15" s="696">
        <v>35000</v>
      </c>
    </row>
    <row r="16" spans="2:10" ht="18.600000000000001" customHeight="1" x14ac:dyDescent="0.3">
      <c r="C16" s="598"/>
      <c r="D16" s="598"/>
      <c r="E16" s="598"/>
    </row>
    <row r="17" spans="2:8" x14ac:dyDescent="0.3">
      <c r="B17" s="623" t="s">
        <v>910</v>
      </c>
    </row>
    <row r="18" spans="2:8" ht="17.7" customHeight="1" x14ac:dyDescent="0.3"/>
    <row r="20" spans="2:8" ht="15" thickBot="1" x14ac:dyDescent="0.35"/>
    <row r="21" spans="2:8" ht="15" thickBot="1" x14ac:dyDescent="0.35">
      <c r="B21" s="627" t="s">
        <v>909</v>
      </c>
      <c r="C21" s="891" t="s">
        <v>908</v>
      </c>
      <c r="D21" s="892"/>
      <c r="E21" s="893" t="s">
        <v>907</v>
      </c>
      <c r="F21" s="893"/>
      <c r="G21" s="894" t="s">
        <v>114</v>
      </c>
      <c r="H21" s="895"/>
    </row>
    <row r="22" spans="2:8" x14ac:dyDescent="0.3">
      <c r="B22" s="632" t="str">
        <f>D5</f>
        <v>Skrog 1</v>
      </c>
      <c r="C22" s="896">
        <v>120</v>
      </c>
      <c r="D22" s="897"/>
      <c r="E22" s="896">
        <v>120</v>
      </c>
      <c r="F22" s="897"/>
      <c r="G22" s="898">
        <v>120</v>
      </c>
      <c r="H22" s="897"/>
    </row>
    <row r="23" spans="2:8" ht="15" thickBot="1" x14ac:dyDescent="0.35">
      <c r="B23" s="631" t="str">
        <f>E5</f>
        <v>Skrog 2</v>
      </c>
      <c r="C23" s="899">
        <v>170</v>
      </c>
      <c r="D23" s="900"/>
      <c r="E23" s="899">
        <v>170</v>
      </c>
      <c r="F23" s="900"/>
      <c r="G23" s="901">
        <v>170</v>
      </c>
      <c r="H23" s="900"/>
    </row>
    <row r="24" spans="2:8" ht="15" thickBot="1" x14ac:dyDescent="0.35"/>
    <row r="25" spans="2:8" ht="16.8" thickBot="1" x14ac:dyDescent="0.35">
      <c r="B25" s="630" t="s">
        <v>906</v>
      </c>
      <c r="C25" s="603"/>
      <c r="D25" s="894" t="s">
        <v>905</v>
      </c>
      <c r="E25" s="895"/>
      <c r="F25" s="894" t="s">
        <v>904</v>
      </c>
      <c r="G25" s="902"/>
      <c r="H25" s="895"/>
    </row>
    <row r="26" spans="2:8" ht="15" thickBot="1" x14ac:dyDescent="0.35">
      <c r="B26" s="629" t="s">
        <v>889</v>
      </c>
      <c r="C26" s="628"/>
      <c r="D26" s="906">
        <v>1050</v>
      </c>
      <c r="E26" s="908"/>
      <c r="F26" s="906">
        <v>1332000</v>
      </c>
      <c r="G26" s="907"/>
      <c r="H26" s="908"/>
    </row>
    <row r="27" spans="2:8" ht="15" thickBot="1" x14ac:dyDescent="0.35">
      <c r="B27" s="629" t="s">
        <v>888</v>
      </c>
      <c r="C27" s="628"/>
      <c r="D27" s="906">
        <v>935</v>
      </c>
      <c r="E27" s="908"/>
      <c r="F27" s="906">
        <v>1485000</v>
      </c>
      <c r="G27" s="907"/>
      <c r="H27" s="908"/>
    </row>
    <row r="28" spans="2:8" ht="15" thickBot="1" x14ac:dyDescent="0.35">
      <c r="B28" s="629" t="s">
        <v>90</v>
      </c>
      <c r="C28" s="628"/>
      <c r="D28" s="906">
        <v>1436</v>
      </c>
      <c r="E28" s="908"/>
      <c r="F28" s="906">
        <v>592000</v>
      </c>
      <c r="G28" s="907"/>
      <c r="H28" s="908"/>
    </row>
    <row r="29" spans="2:8" ht="15" thickBot="1" x14ac:dyDescent="0.35">
      <c r="B29" s="629" t="s">
        <v>1028</v>
      </c>
      <c r="C29" s="628"/>
      <c r="D29" s="882"/>
      <c r="E29" s="883"/>
      <c r="F29" s="906">
        <v>1215000</v>
      </c>
      <c r="G29" s="907"/>
      <c r="H29" s="908"/>
    </row>
    <row r="30" spans="2:8" ht="15" thickBot="1" x14ac:dyDescent="0.35">
      <c r="B30" s="639" t="s">
        <v>1027</v>
      </c>
      <c r="C30" s="695"/>
      <c r="D30" s="882"/>
      <c r="E30" s="883"/>
      <c r="F30" s="906">
        <v>1520000</v>
      </c>
      <c r="G30" s="907"/>
      <c r="H30" s="908"/>
    </row>
    <row r="31" spans="2:8" ht="15" thickBot="1" x14ac:dyDescent="0.35">
      <c r="B31" s="629" t="s">
        <v>1026</v>
      </c>
      <c r="C31" s="694"/>
      <c r="D31" s="882"/>
      <c r="E31" s="883"/>
      <c r="F31" s="906">
        <v>685000</v>
      </c>
      <c r="G31" s="907"/>
      <c r="H31" s="908"/>
    </row>
    <row r="32" spans="2:8" ht="15" thickBot="1" x14ac:dyDescent="0.35">
      <c r="B32" s="639" t="s">
        <v>1025</v>
      </c>
      <c r="C32" s="694"/>
      <c r="D32" s="882"/>
      <c r="E32" s="883"/>
      <c r="F32" s="906">
        <v>2695000</v>
      </c>
      <c r="G32" s="907"/>
      <c r="H32" s="908"/>
    </row>
    <row r="33" spans="1:11" ht="15" thickBot="1" x14ac:dyDescent="0.35">
      <c r="B33" s="636" t="s">
        <v>1024</v>
      </c>
      <c r="C33" s="693"/>
      <c r="D33" s="882"/>
      <c r="E33" s="883"/>
      <c r="F33" s="906">
        <v>5890000</v>
      </c>
      <c r="G33" s="907"/>
      <c r="H33" s="908"/>
      <c r="J33" s="586"/>
    </row>
    <row r="34" spans="1:11" x14ac:dyDescent="0.3">
      <c r="D34" s="598"/>
      <c r="E34" s="598"/>
      <c r="F34" s="598"/>
      <c r="G34" s="598"/>
      <c r="H34" s="598"/>
    </row>
    <row r="35" spans="1:11" x14ac:dyDescent="0.3">
      <c r="D35" s="598"/>
      <c r="E35" s="598"/>
      <c r="F35" s="598"/>
      <c r="G35" s="598"/>
      <c r="H35" s="598"/>
    </row>
    <row r="37" spans="1:11" x14ac:dyDescent="0.3">
      <c r="B37" s="623" t="s">
        <v>903</v>
      </c>
    </row>
    <row r="39" spans="1:11" ht="15" thickBot="1" x14ac:dyDescent="0.35"/>
    <row r="40" spans="1:11" ht="15" thickBot="1" x14ac:dyDescent="0.35">
      <c r="A40" s="576" t="s">
        <v>189</v>
      </c>
      <c r="B40" s="623" t="s">
        <v>1023</v>
      </c>
      <c r="D40" s="912" t="str">
        <f>D5</f>
        <v>Skrog 1</v>
      </c>
      <c r="E40" s="913"/>
      <c r="F40" s="912" t="str">
        <f>E5</f>
        <v>Skrog 2</v>
      </c>
      <c r="G40" s="913"/>
      <c r="H40" s="903"/>
      <c r="I40" s="903"/>
      <c r="J40" s="903"/>
      <c r="K40" s="903"/>
    </row>
    <row r="41" spans="1:11" ht="15" thickBot="1" x14ac:dyDescent="0.35">
      <c r="B41" s="627"/>
      <c r="C41" s="626"/>
      <c r="D41" s="914" t="s">
        <v>900</v>
      </c>
      <c r="E41" s="915"/>
      <c r="F41" s="914" t="s">
        <v>900</v>
      </c>
      <c r="G41" s="913"/>
      <c r="H41" s="916"/>
      <c r="I41" s="903"/>
      <c r="J41" s="916"/>
      <c r="K41" s="903"/>
    </row>
    <row r="42" spans="1:11" x14ac:dyDescent="0.3">
      <c r="B42" s="625" t="s">
        <v>889</v>
      </c>
      <c r="C42" s="624"/>
      <c r="D42" s="924">
        <f>C6*D6</f>
        <v>3600</v>
      </c>
      <c r="E42" s="925"/>
      <c r="F42" s="924">
        <f>C6*E6</f>
        <v>7200</v>
      </c>
      <c r="G42" s="925"/>
      <c r="H42" s="911"/>
      <c r="I42" s="911"/>
      <c r="J42" s="911"/>
      <c r="K42" s="911"/>
    </row>
    <row r="43" spans="1:11" x14ac:dyDescent="0.3">
      <c r="B43" s="625" t="s">
        <v>888</v>
      </c>
      <c r="C43" s="624"/>
      <c r="D43" s="926">
        <f>C7*D7</f>
        <v>3300</v>
      </c>
      <c r="E43" s="927"/>
      <c r="F43" s="926">
        <f>C7*E7</f>
        <v>6600</v>
      </c>
      <c r="G43" s="927"/>
      <c r="H43" s="911"/>
      <c r="I43" s="911"/>
      <c r="J43" s="911"/>
      <c r="K43" s="911"/>
    </row>
    <row r="44" spans="1:11" x14ac:dyDescent="0.3">
      <c r="B44" s="625" t="s">
        <v>90</v>
      </c>
      <c r="C44" s="624"/>
      <c r="D44" s="926">
        <f>C8*D8</f>
        <v>2000</v>
      </c>
      <c r="E44" s="927"/>
      <c r="F44" s="926">
        <f>C8*E8</f>
        <v>2800</v>
      </c>
      <c r="G44" s="927"/>
      <c r="H44" s="911"/>
      <c r="I44" s="911"/>
      <c r="J44" s="911"/>
      <c r="K44" s="911"/>
    </row>
    <row r="45" spans="1:11" x14ac:dyDescent="0.3">
      <c r="B45" s="625" t="str">
        <f>B29</f>
        <v>Indirekte variable tilv.kostnader</v>
      </c>
      <c r="C45" s="624"/>
      <c r="D45" s="926">
        <f>C10*D8</f>
        <v>4000</v>
      </c>
      <c r="E45" s="927"/>
      <c r="F45" s="926">
        <f>C10*E8</f>
        <v>5600</v>
      </c>
      <c r="G45" s="927"/>
      <c r="H45" s="911"/>
      <c r="I45" s="911"/>
      <c r="J45" s="911"/>
      <c r="K45" s="911"/>
    </row>
    <row r="46" spans="1:11" x14ac:dyDescent="0.3">
      <c r="B46" s="625" t="str">
        <f>B30</f>
        <v>Indirekte faste tilv. kostnader</v>
      </c>
      <c r="C46" s="624"/>
      <c r="D46" s="926">
        <f>C12*D8</f>
        <v>5000</v>
      </c>
      <c r="E46" s="927"/>
      <c r="F46" s="926">
        <f>C12*E8</f>
        <v>7000</v>
      </c>
      <c r="G46" s="927"/>
      <c r="H46" s="911"/>
      <c r="I46" s="911"/>
      <c r="J46" s="911"/>
      <c r="K46" s="911"/>
    </row>
    <row r="47" spans="1:11" ht="15" thickBot="1" x14ac:dyDescent="0.35">
      <c r="B47" s="625" t="s">
        <v>93</v>
      </c>
      <c r="C47" s="624"/>
      <c r="D47" s="928">
        <f>D42+D43+D44+D46+D45</f>
        <v>17900</v>
      </c>
      <c r="E47" s="929"/>
      <c r="F47" s="928">
        <f>F42+F43+F44+F45+F46</f>
        <v>29200</v>
      </c>
      <c r="G47" s="929"/>
      <c r="H47" s="903"/>
      <c r="I47" s="903"/>
      <c r="J47" s="903"/>
      <c r="K47" s="903"/>
    </row>
    <row r="48" spans="1:11" ht="15" thickBot="1" x14ac:dyDescent="0.35">
      <c r="B48" s="625" t="str">
        <f>B31</f>
        <v>Salgs- og adminstrasjonskostnader</v>
      </c>
      <c r="C48" s="624"/>
      <c r="D48" s="930">
        <f>C14</f>
        <v>2500</v>
      </c>
      <c r="E48" s="931"/>
      <c r="F48" s="932">
        <f>C14</f>
        <v>2500</v>
      </c>
      <c r="G48" s="933"/>
      <c r="H48" s="911"/>
      <c r="I48" s="911"/>
      <c r="J48" s="911"/>
      <c r="K48" s="911"/>
    </row>
    <row r="49" spans="1:11" ht="15" thickBot="1" x14ac:dyDescent="0.35">
      <c r="B49" s="630" t="s">
        <v>95</v>
      </c>
      <c r="C49" s="687"/>
      <c r="D49" s="934">
        <f>D42+D43+D45+D44+D46+D48+0</f>
        <v>20400</v>
      </c>
      <c r="E49" s="935"/>
      <c r="F49" s="934">
        <f>F47+F48</f>
        <v>31700</v>
      </c>
      <c r="G49" s="935"/>
      <c r="H49" s="911"/>
      <c r="I49" s="911"/>
      <c r="J49" s="911"/>
      <c r="K49" s="911"/>
    </row>
    <row r="50" spans="1:11" ht="15" thickBot="1" x14ac:dyDescent="0.35">
      <c r="B50" s="688" t="s">
        <v>1022</v>
      </c>
      <c r="C50" s="687"/>
      <c r="D50" s="936">
        <f>D51-D49</f>
        <v>4600</v>
      </c>
      <c r="E50" s="937"/>
      <c r="F50" s="936">
        <f>F51-F49</f>
        <v>3300</v>
      </c>
      <c r="G50" s="937"/>
      <c r="H50" s="911"/>
      <c r="I50" s="911"/>
      <c r="J50" s="911"/>
      <c r="K50" s="911"/>
    </row>
    <row r="51" spans="1:11" ht="15" thickBot="1" x14ac:dyDescent="0.35">
      <c r="B51" s="692" t="s">
        <v>123</v>
      </c>
      <c r="C51" s="691"/>
      <c r="D51" s="928">
        <f>D15</f>
        <v>25000</v>
      </c>
      <c r="E51" s="929"/>
      <c r="F51" s="928">
        <f>E15</f>
        <v>35000</v>
      </c>
      <c r="G51" s="929"/>
      <c r="H51" s="911"/>
      <c r="I51" s="911"/>
      <c r="J51" s="911"/>
      <c r="K51" s="911"/>
    </row>
    <row r="52" spans="1:11" x14ac:dyDescent="0.3">
      <c r="D52" s="598"/>
      <c r="E52" s="598"/>
      <c r="F52" s="598"/>
      <c r="G52" s="598"/>
    </row>
    <row r="55" spans="1:11" x14ac:dyDescent="0.3">
      <c r="A55" s="576" t="s">
        <v>191</v>
      </c>
      <c r="B55" s="622" t="s">
        <v>899</v>
      </c>
    </row>
    <row r="56" spans="1:11" x14ac:dyDescent="0.3">
      <c r="B56" s="577" t="s">
        <v>893</v>
      </c>
      <c r="C56" s="576">
        <f>C22</f>
        <v>120</v>
      </c>
      <c r="D56" s="598">
        <f>D6*C56</f>
        <v>360</v>
      </c>
      <c r="E56" s="576" t="str">
        <f>D40</f>
        <v>Skrog 1</v>
      </c>
    </row>
    <row r="57" spans="1:11" x14ac:dyDescent="0.3">
      <c r="B57" s="577" t="s">
        <v>893</v>
      </c>
      <c r="C57" s="576">
        <f>C23</f>
        <v>170</v>
      </c>
      <c r="D57" s="598">
        <f>E6*C57</f>
        <v>1020</v>
      </c>
      <c r="E57" s="576" t="str">
        <f>F40</f>
        <v>Skrog 2</v>
      </c>
    </row>
    <row r="58" spans="1:11" ht="15.6" x14ac:dyDescent="0.35">
      <c r="B58" s="576" t="s">
        <v>899</v>
      </c>
      <c r="D58" s="766">
        <f>D56+D57</f>
        <v>1380</v>
      </c>
      <c r="E58" s="752" t="s">
        <v>1130</v>
      </c>
    </row>
    <row r="60" spans="1:11" ht="15" thickBot="1" x14ac:dyDescent="0.35"/>
    <row r="61" spans="1:11" x14ac:dyDescent="0.3">
      <c r="A61" s="576" t="s">
        <v>197</v>
      </c>
      <c r="B61" s="585" t="s">
        <v>81</v>
      </c>
      <c r="C61" s="884" t="s">
        <v>679</v>
      </c>
      <c r="D61" s="885"/>
      <c r="E61" s="886" t="s">
        <v>755</v>
      </c>
      <c r="F61" s="885"/>
      <c r="G61" s="886" t="s">
        <v>734</v>
      </c>
      <c r="H61" s="885"/>
      <c r="I61" s="584" t="s">
        <v>141</v>
      </c>
      <c r="J61" s="584" t="s">
        <v>140</v>
      </c>
      <c r="K61" s="583" t="s">
        <v>733</v>
      </c>
    </row>
    <row r="62" spans="1:11" ht="15" thickBot="1" x14ac:dyDescent="0.35">
      <c r="B62" s="587" t="s">
        <v>898</v>
      </c>
      <c r="C62" s="889" t="s">
        <v>754</v>
      </c>
      <c r="D62" s="888"/>
      <c r="E62" s="889" t="s">
        <v>753</v>
      </c>
      <c r="F62" s="888"/>
      <c r="G62" s="887"/>
      <c r="H62" s="888"/>
      <c r="I62" s="581" t="s">
        <v>261</v>
      </c>
      <c r="J62" s="581" t="s">
        <v>262</v>
      </c>
      <c r="K62" s="581" t="s">
        <v>729</v>
      </c>
    </row>
    <row r="63" spans="1:11" ht="15" thickBot="1" x14ac:dyDescent="0.35">
      <c r="B63" s="595"/>
      <c r="C63" s="882">
        <f>D58*C6</f>
        <v>1656000</v>
      </c>
      <c r="D63" s="883"/>
      <c r="E63" s="882">
        <f>D26*C6</f>
        <v>1260000</v>
      </c>
      <c r="F63" s="883"/>
      <c r="G63" s="882">
        <f>F26</f>
        <v>1332000</v>
      </c>
      <c r="H63" s="919"/>
      <c r="I63" s="579">
        <f>C63-E63</f>
        <v>396000</v>
      </c>
      <c r="J63" s="579">
        <f>E63-G63</f>
        <v>-72000</v>
      </c>
      <c r="K63" s="578">
        <f>C63-G63</f>
        <v>324000</v>
      </c>
    </row>
    <row r="65" spans="1:11" x14ac:dyDescent="0.3">
      <c r="A65" s="576" t="str">
        <f>A55</f>
        <v>b)</v>
      </c>
      <c r="B65" s="622" t="s">
        <v>897</v>
      </c>
    </row>
    <row r="66" spans="1:11" x14ac:dyDescent="0.3">
      <c r="B66" s="577" t="s">
        <v>893</v>
      </c>
      <c r="C66" s="576">
        <f>E22</f>
        <v>120</v>
      </c>
      <c r="D66" s="576">
        <f>C66*D7</f>
        <v>240</v>
      </c>
      <c r="E66" s="576" t="str">
        <f>D40</f>
        <v>Skrog 1</v>
      </c>
    </row>
    <row r="67" spans="1:11" x14ac:dyDescent="0.3">
      <c r="B67" s="577" t="s">
        <v>893</v>
      </c>
      <c r="C67" s="576">
        <f>E23</f>
        <v>170</v>
      </c>
      <c r="D67" s="576">
        <f>C67*E7</f>
        <v>680</v>
      </c>
      <c r="E67" s="576" t="str">
        <f>F40</f>
        <v>Skrog 2</v>
      </c>
    </row>
    <row r="68" spans="1:11" ht="15.6" x14ac:dyDescent="0.35">
      <c r="B68" s="577" t="s">
        <v>897</v>
      </c>
      <c r="D68" s="623">
        <f>SUM(D66:D67)</f>
        <v>920</v>
      </c>
      <c r="E68" s="752" t="s">
        <v>1131</v>
      </c>
    </row>
    <row r="70" spans="1:11" ht="15" thickBot="1" x14ac:dyDescent="0.35"/>
    <row r="71" spans="1:11" x14ac:dyDescent="0.3">
      <c r="A71" s="576" t="str">
        <f>A61</f>
        <v>c)</v>
      </c>
      <c r="B71" s="585" t="s">
        <v>81</v>
      </c>
      <c r="C71" s="884" t="s">
        <v>679</v>
      </c>
      <c r="D71" s="885"/>
      <c r="E71" s="886" t="s">
        <v>735</v>
      </c>
      <c r="F71" s="885"/>
      <c r="G71" s="886" t="s">
        <v>734</v>
      </c>
      <c r="H71" s="885"/>
      <c r="I71" s="584" t="s">
        <v>141</v>
      </c>
      <c r="J71" s="584" t="s">
        <v>140</v>
      </c>
      <c r="K71" s="583" t="s">
        <v>733</v>
      </c>
    </row>
    <row r="72" spans="1:11" ht="15" thickBot="1" x14ac:dyDescent="0.35">
      <c r="B72" s="587" t="s">
        <v>896</v>
      </c>
      <c r="C72" s="889" t="s">
        <v>895</v>
      </c>
      <c r="D72" s="888"/>
      <c r="E72" s="889" t="s">
        <v>894</v>
      </c>
      <c r="F72" s="888"/>
      <c r="G72" s="889" t="s">
        <v>770</v>
      </c>
      <c r="H72" s="888"/>
      <c r="I72" s="581" t="s">
        <v>261</v>
      </c>
      <c r="J72" s="581" t="s">
        <v>262</v>
      </c>
      <c r="K72" s="581" t="s">
        <v>729</v>
      </c>
    </row>
    <row r="73" spans="1:11" ht="15" thickBot="1" x14ac:dyDescent="0.35">
      <c r="B73" s="595"/>
      <c r="C73" s="882">
        <f>D68*C7</f>
        <v>1518000</v>
      </c>
      <c r="D73" s="883"/>
      <c r="E73" s="882">
        <f>D27*C7</f>
        <v>1542750</v>
      </c>
      <c r="F73" s="883"/>
      <c r="G73" s="882">
        <f>F27</f>
        <v>1485000</v>
      </c>
      <c r="H73" s="883"/>
      <c r="I73" s="579">
        <f>C73-E73</f>
        <v>-24750</v>
      </c>
      <c r="J73" s="579">
        <f>E73-G73</f>
        <v>57750</v>
      </c>
      <c r="K73" s="578">
        <f>C73-G73</f>
        <v>33000</v>
      </c>
    </row>
    <row r="75" spans="1:11" x14ac:dyDescent="0.3">
      <c r="A75" s="576" t="str">
        <f>A55</f>
        <v>b)</v>
      </c>
      <c r="B75" s="622" t="s">
        <v>892</v>
      </c>
      <c r="D75" s="586" t="s">
        <v>512</v>
      </c>
    </row>
    <row r="76" spans="1:11" x14ac:dyDescent="0.3">
      <c r="B76" s="577" t="s">
        <v>893</v>
      </c>
      <c r="C76" s="576">
        <f>C66</f>
        <v>120</v>
      </c>
      <c r="D76" s="576">
        <f>C76*D8</f>
        <v>600</v>
      </c>
      <c r="E76" s="576" t="str">
        <f>D40</f>
        <v>Skrog 1</v>
      </c>
    </row>
    <row r="77" spans="1:11" x14ac:dyDescent="0.3">
      <c r="B77" s="577" t="s">
        <v>893</v>
      </c>
      <c r="C77" s="576">
        <f>C67</f>
        <v>170</v>
      </c>
      <c r="D77" s="576">
        <f>C77*E8</f>
        <v>1190</v>
      </c>
      <c r="E77" s="576" t="str">
        <f>F40</f>
        <v>Skrog 2</v>
      </c>
    </row>
    <row r="78" spans="1:11" x14ac:dyDescent="0.3">
      <c r="B78" s="576" t="s">
        <v>884</v>
      </c>
      <c r="C78" s="576">
        <f>C22-E22</f>
        <v>0</v>
      </c>
      <c r="D78" s="576">
        <f>C78*J8*D8</f>
        <v>0</v>
      </c>
    </row>
    <row r="79" spans="1:11" x14ac:dyDescent="0.3">
      <c r="B79" s="576" t="s">
        <v>892</v>
      </c>
      <c r="D79" s="623">
        <f>SUM(D76:D78)</f>
        <v>1790</v>
      </c>
    </row>
    <row r="81" spans="1:11" ht="15" thickBot="1" x14ac:dyDescent="0.35">
      <c r="B81" s="577"/>
    </row>
    <row r="82" spans="1:11" x14ac:dyDescent="0.3">
      <c r="A82" s="576" t="str">
        <f>A61</f>
        <v>c)</v>
      </c>
      <c r="B82" s="585" t="s">
        <v>736</v>
      </c>
      <c r="C82" s="884" t="s">
        <v>679</v>
      </c>
      <c r="D82" s="885"/>
      <c r="E82" s="886" t="s">
        <v>735</v>
      </c>
      <c r="F82" s="885"/>
      <c r="G82" s="886" t="s">
        <v>734</v>
      </c>
      <c r="H82" s="885"/>
      <c r="I82" s="584" t="s">
        <v>79</v>
      </c>
      <c r="J82" s="584" t="s">
        <v>78</v>
      </c>
      <c r="K82" s="583" t="s">
        <v>733</v>
      </c>
    </row>
    <row r="83" spans="1:11" ht="15" thickBot="1" x14ac:dyDescent="0.35">
      <c r="B83" s="587"/>
      <c r="C83" s="887" t="s">
        <v>732</v>
      </c>
      <c r="D83" s="888"/>
      <c r="E83" s="889" t="s">
        <v>731</v>
      </c>
      <c r="F83" s="890"/>
      <c r="G83" s="889" t="s">
        <v>770</v>
      </c>
      <c r="H83" s="888"/>
      <c r="I83" s="581" t="s">
        <v>261</v>
      </c>
      <c r="J83" s="581" t="s">
        <v>262</v>
      </c>
      <c r="K83" s="581" t="s">
        <v>729</v>
      </c>
    </row>
    <row r="84" spans="1:11" ht="15" thickBot="1" x14ac:dyDescent="0.35">
      <c r="B84" s="595"/>
      <c r="C84" s="882">
        <f>D79*C8</f>
        <v>716000</v>
      </c>
      <c r="D84" s="883"/>
      <c r="E84" s="882">
        <f>D28*C8</f>
        <v>574400</v>
      </c>
      <c r="F84" s="883"/>
      <c r="G84" s="882">
        <f>F28</f>
        <v>592000</v>
      </c>
      <c r="H84" s="883"/>
      <c r="I84" s="579">
        <f>C84-E84</f>
        <v>141600</v>
      </c>
      <c r="J84" s="579">
        <f>E84-G84</f>
        <v>-17600</v>
      </c>
      <c r="K84" s="578">
        <f>C84-G84</f>
        <v>124000</v>
      </c>
    </row>
    <row r="86" spans="1:11" ht="18" x14ac:dyDescent="0.35">
      <c r="B86" s="938" t="s">
        <v>891</v>
      </c>
      <c r="C86" s="911"/>
      <c r="D86" s="911"/>
      <c r="E86" s="911"/>
      <c r="F86" s="911"/>
      <c r="G86" s="911"/>
      <c r="H86" s="911"/>
      <c r="I86" s="911"/>
      <c r="J86" s="911"/>
      <c r="K86" s="911"/>
    </row>
    <row r="87" spans="1:11" x14ac:dyDescent="0.3">
      <c r="A87" s="576" t="s">
        <v>203</v>
      </c>
      <c r="B87" s="760"/>
      <c r="C87" s="939" t="s">
        <v>322</v>
      </c>
      <c r="D87" s="939"/>
      <c r="E87" s="939"/>
      <c r="F87" s="939"/>
      <c r="G87" s="939"/>
      <c r="H87" s="939"/>
      <c r="I87" s="939"/>
      <c r="J87" s="760"/>
      <c r="K87" s="760"/>
    </row>
    <row r="88" spans="1:11" x14ac:dyDescent="0.3">
      <c r="B88" s="760"/>
      <c r="C88" s="939" t="str">
        <f>D5</f>
        <v>Skrog 1</v>
      </c>
      <c r="D88" s="939"/>
      <c r="E88" s="939"/>
      <c r="F88" s="939" t="str">
        <f>E5</f>
        <v>Skrog 2</v>
      </c>
      <c r="G88" s="939"/>
      <c r="H88" s="939"/>
      <c r="I88" s="760"/>
      <c r="J88" s="760"/>
      <c r="K88" s="760"/>
    </row>
    <row r="89" spans="1:11" x14ac:dyDescent="0.3">
      <c r="B89" s="753"/>
      <c r="C89" s="759" t="s">
        <v>175</v>
      </c>
      <c r="D89" s="759" t="s">
        <v>176</v>
      </c>
      <c r="E89" s="759" t="s">
        <v>145</v>
      </c>
      <c r="F89" s="759" t="s">
        <v>175</v>
      </c>
      <c r="G89" s="759" t="s">
        <v>176</v>
      </c>
      <c r="H89" s="759" t="s">
        <v>145</v>
      </c>
      <c r="I89" s="759" t="s">
        <v>298</v>
      </c>
      <c r="J89" s="759" t="s">
        <v>890</v>
      </c>
      <c r="K89" s="759" t="s">
        <v>378</v>
      </c>
    </row>
    <row r="90" spans="1:11" x14ac:dyDescent="0.3">
      <c r="B90" s="754" t="s">
        <v>96</v>
      </c>
      <c r="C90" s="756">
        <f>G22</f>
        <v>120</v>
      </c>
      <c r="D90" s="756">
        <f>F32/G22</f>
        <v>22458.333333333332</v>
      </c>
      <c r="E90" s="756">
        <f>C90*D90</f>
        <v>2695000</v>
      </c>
      <c r="F90" s="756">
        <f>G23</f>
        <v>170</v>
      </c>
      <c r="G90" s="756">
        <f>F33/G23</f>
        <v>34647.058823529413</v>
      </c>
      <c r="H90" s="756">
        <f>F90*G90</f>
        <v>5890000</v>
      </c>
      <c r="I90" s="756">
        <f>E90+H90</f>
        <v>8585000</v>
      </c>
      <c r="J90" s="758">
        <f>I90</f>
        <v>8585000</v>
      </c>
      <c r="K90" s="756">
        <f>I90-J90</f>
        <v>0</v>
      </c>
    </row>
    <row r="91" spans="1:11" x14ac:dyDescent="0.3">
      <c r="B91" s="754"/>
      <c r="C91" s="756"/>
      <c r="D91" s="756"/>
      <c r="E91" s="756"/>
      <c r="F91" s="756"/>
      <c r="G91" s="756"/>
      <c r="H91" s="756"/>
      <c r="I91" s="756"/>
      <c r="J91" s="756"/>
      <c r="K91" s="756"/>
    </row>
    <row r="92" spans="1:11" x14ac:dyDescent="0.3">
      <c r="B92" s="754" t="s">
        <v>889</v>
      </c>
      <c r="C92" s="756">
        <f>D56</f>
        <v>360</v>
      </c>
      <c r="D92" s="756">
        <f>C6</f>
        <v>1200</v>
      </c>
      <c r="E92" s="756">
        <f>C92*D92</f>
        <v>432000</v>
      </c>
      <c r="F92" s="756">
        <f>D57</f>
        <v>1020</v>
      </c>
      <c r="G92" s="756">
        <f>D92</f>
        <v>1200</v>
      </c>
      <c r="H92" s="756">
        <f>F92*G92</f>
        <v>1224000</v>
      </c>
      <c r="I92" s="756">
        <f>E92+H92</f>
        <v>1656000</v>
      </c>
      <c r="J92" s="758">
        <f>F26</f>
        <v>1332000</v>
      </c>
      <c r="K92" s="756">
        <f>I92-J92</f>
        <v>324000</v>
      </c>
    </row>
    <row r="93" spans="1:11" x14ac:dyDescent="0.3">
      <c r="B93" s="754" t="s">
        <v>888</v>
      </c>
      <c r="C93" s="756">
        <f>D66</f>
        <v>240</v>
      </c>
      <c r="D93" s="756">
        <f>C7</f>
        <v>1650</v>
      </c>
      <c r="E93" s="756">
        <f>C93*D93</f>
        <v>396000</v>
      </c>
      <c r="F93" s="756">
        <f>D67</f>
        <v>680</v>
      </c>
      <c r="G93" s="756">
        <f>D93</f>
        <v>1650</v>
      </c>
      <c r="H93" s="756">
        <f>F93*G93</f>
        <v>1122000</v>
      </c>
      <c r="I93" s="756">
        <f>E93+H93</f>
        <v>1518000</v>
      </c>
      <c r="J93" s="758">
        <f>F27</f>
        <v>1485000</v>
      </c>
      <c r="K93" s="756">
        <f>I93-J93</f>
        <v>33000</v>
      </c>
    </row>
    <row r="94" spans="1:11" x14ac:dyDescent="0.3">
      <c r="B94" s="754" t="s">
        <v>90</v>
      </c>
      <c r="C94" s="756">
        <f>D76+D78</f>
        <v>600</v>
      </c>
      <c r="D94" s="756">
        <f>C8</f>
        <v>400</v>
      </c>
      <c r="E94" s="756">
        <f>C94*D94</f>
        <v>240000</v>
      </c>
      <c r="F94" s="756">
        <f>D77</f>
        <v>1190</v>
      </c>
      <c r="G94" s="756">
        <f>C8</f>
        <v>400</v>
      </c>
      <c r="H94" s="756">
        <f>F94*G94</f>
        <v>476000</v>
      </c>
      <c r="I94" s="756">
        <f>E94+H94</f>
        <v>716000</v>
      </c>
      <c r="J94" s="756">
        <f>F28</f>
        <v>592000</v>
      </c>
      <c r="K94" s="757">
        <f>I94-J94</f>
        <v>124000</v>
      </c>
    </row>
    <row r="95" spans="1:11" x14ac:dyDescent="0.3">
      <c r="B95" s="754" t="s">
        <v>887</v>
      </c>
      <c r="C95" s="756"/>
      <c r="D95" s="756"/>
      <c r="E95" s="756"/>
      <c r="F95" s="756"/>
      <c r="G95" s="756"/>
      <c r="H95" s="756"/>
      <c r="I95" s="756"/>
      <c r="J95" s="756"/>
      <c r="K95" s="761">
        <f>K92+K93+K94</f>
        <v>481000</v>
      </c>
    </row>
    <row r="96" spans="1:11" x14ac:dyDescent="0.3">
      <c r="B96" s="754" t="s">
        <v>886</v>
      </c>
      <c r="C96" s="756">
        <f>C94</f>
        <v>600</v>
      </c>
      <c r="D96" s="756">
        <f>C12</f>
        <v>1000</v>
      </c>
      <c r="E96" s="756">
        <f>C96*D96</f>
        <v>600000</v>
      </c>
      <c r="F96" s="756">
        <f>F94</f>
        <v>1190</v>
      </c>
      <c r="G96" s="756">
        <f>D96</f>
        <v>1000</v>
      </c>
      <c r="H96" s="756">
        <f>F96*G96</f>
        <v>1190000</v>
      </c>
      <c r="I96" s="756">
        <f>E96+H96</f>
        <v>1790000</v>
      </c>
      <c r="J96" s="756">
        <f>F30</f>
        <v>1520000</v>
      </c>
      <c r="K96" s="756">
        <f>I96-J96</f>
        <v>270000</v>
      </c>
    </row>
    <row r="97" spans="1:11" x14ac:dyDescent="0.3">
      <c r="B97" s="755" t="s">
        <v>885</v>
      </c>
      <c r="C97" s="757">
        <f>C96</f>
        <v>600</v>
      </c>
      <c r="D97" s="757">
        <f>C10</f>
        <v>800</v>
      </c>
      <c r="E97" s="757">
        <f>C97*D97</f>
        <v>480000</v>
      </c>
      <c r="F97" s="757">
        <f>F96</f>
        <v>1190</v>
      </c>
      <c r="G97" s="757">
        <f>D97</f>
        <v>800</v>
      </c>
      <c r="H97" s="757">
        <f>F97*G97</f>
        <v>952000</v>
      </c>
      <c r="I97" s="757">
        <f>E97+H97</f>
        <v>1432000</v>
      </c>
      <c r="J97" s="756">
        <f>F29</f>
        <v>1215000</v>
      </c>
      <c r="K97" s="756">
        <f>I97-J97</f>
        <v>217000</v>
      </c>
    </row>
    <row r="98" spans="1:11" x14ac:dyDescent="0.3">
      <c r="B98" s="754" t="s">
        <v>394</v>
      </c>
      <c r="C98" s="756"/>
      <c r="D98" s="756"/>
      <c r="E98" s="756">
        <f>E92+E93+E94+E96+E97</f>
        <v>2148000</v>
      </c>
      <c r="F98" s="756"/>
      <c r="G98" s="756"/>
      <c r="H98" s="756">
        <f>H92+H93+H94+H96+H97</f>
        <v>4964000</v>
      </c>
      <c r="I98" s="758">
        <f>E98+H98</f>
        <v>7112000</v>
      </c>
      <c r="J98" s="756"/>
      <c r="K98" s="756"/>
    </row>
    <row r="99" spans="1:11" x14ac:dyDescent="0.3">
      <c r="B99" s="755" t="s">
        <v>884</v>
      </c>
      <c r="C99" s="757">
        <f>C22-E22</f>
        <v>0</v>
      </c>
      <c r="D99" s="757">
        <f>H47</f>
        <v>0</v>
      </c>
      <c r="E99" s="757">
        <f>-C99*D99</f>
        <v>0</v>
      </c>
      <c r="F99" s="757">
        <f>C23-E23</f>
        <v>0</v>
      </c>
      <c r="G99" s="757">
        <f>J47</f>
        <v>0</v>
      </c>
      <c r="H99" s="757">
        <f>-F99*G99</f>
        <v>0</v>
      </c>
      <c r="I99" s="757">
        <f>(E99+H99)</f>
        <v>0</v>
      </c>
      <c r="J99" s="756">
        <f>I99</f>
        <v>0</v>
      </c>
      <c r="K99" s="756"/>
    </row>
    <row r="100" spans="1:11" ht="28.8" x14ac:dyDescent="0.3">
      <c r="B100" s="754" t="s">
        <v>883</v>
      </c>
      <c r="C100" s="756"/>
      <c r="D100" s="756"/>
      <c r="E100" s="756">
        <f>E98+E99</f>
        <v>2148000</v>
      </c>
      <c r="F100" s="756"/>
      <c r="G100" s="756"/>
      <c r="H100" s="756">
        <f>H98+H99</f>
        <v>4964000</v>
      </c>
      <c r="I100" s="758">
        <f>I98+I99</f>
        <v>7112000</v>
      </c>
      <c r="J100" s="756"/>
      <c r="K100" s="756"/>
    </row>
    <row r="101" spans="1:11" x14ac:dyDescent="0.3">
      <c r="B101" s="755" t="s">
        <v>882</v>
      </c>
      <c r="C101" s="757">
        <f>E22-G22</f>
        <v>0</v>
      </c>
      <c r="D101" s="757">
        <f>D47</f>
        <v>17900</v>
      </c>
      <c r="E101" s="757">
        <f>-C101*D101</f>
        <v>0</v>
      </c>
      <c r="F101" s="757">
        <f>E23-G23</f>
        <v>0</v>
      </c>
      <c r="G101" s="757">
        <f>F47</f>
        <v>29200</v>
      </c>
      <c r="H101" s="757">
        <f>-F101*G101</f>
        <v>0</v>
      </c>
      <c r="I101" s="757">
        <f>(E101+H101)</f>
        <v>0</v>
      </c>
      <c r="J101" s="756">
        <f>I101</f>
        <v>0</v>
      </c>
      <c r="K101" s="756"/>
    </row>
    <row r="102" spans="1:11" x14ac:dyDescent="0.3">
      <c r="B102" s="754" t="s">
        <v>383</v>
      </c>
      <c r="C102" s="756"/>
      <c r="D102" s="756"/>
      <c r="E102" s="756">
        <f>E100+E101</f>
        <v>2148000</v>
      </c>
      <c r="F102" s="756"/>
      <c r="G102" s="756"/>
      <c r="H102" s="756">
        <f>H100+H101</f>
        <v>4964000</v>
      </c>
      <c r="I102" s="758">
        <f>I100+I101</f>
        <v>7112000</v>
      </c>
      <c r="J102" s="756"/>
      <c r="K102" s="756"/>
    </row>
    <row r="103" spans="1:11" ht="28.8" x14ac:dyDescent="0.3">
      <c r="B103" s="755" t="s">
        <v>881</v>
      </c>
      <c r="C103" s="757">
        <f>G22</f>
        <v>120</v>
      </c>
      <c r="D103" s="757">
        <f>C14</f>
        <v>2500</v>
      </c>
      <c r="E103" s="757">
        <f>C103*D103</f>
        <v>300000</v>
      </c>
      <c r="F103" s="757">
        <f>G23</f>
        <v>170</v>
      </c>
      <c r="G103" s="757">
        <f>D103</f>
        <v>2500</v>
      </c>
      <c r="H103" s="757">
        <f>F103*G103</f>
        <v>425000</v>
      </c>
      <c r="I103" s="757">
        <f>E103+H103</f>
        <v>725000</v>
      </c>
      <c r="J103" s="756">
        <f>F31</f>
        <v>685000</v>
      </c>
      <c r="K103" s="756">
        <f>I103-J103</f>
        <v>40000</v>
      </c>
    </row>
    <row r="104" spans="1:11" x14ac:dyDescent="0.3">
      <c r="B104" s="755" t="s">
        <v>384</v>
      </c>
      <c r="C104" s="757"/>
      <c r="D104" s="757"/>
      <c r="E104" s="757">
        <f>E102+E103</f>
        <v>2448000</v>
      </c>
      <c r="F104" s="757"/>
      <c r="G104" s="757"/>
      <c r="H104" s="757">
        <f>H102+H103</f>
        <v>5389000</v>
      </c>
      <c r="I104" s="762">
        <f>I102+I103</f>
        <v>7837000</v>
      </c>
      <c r="J104" s="756"/>
      <c r="K104" s="756"/>
    </row>
    <row r="105" spans="1:11" x14ac:dyDescent="0.3">
      <c r="B105" s="754" t="s">
        <v>385</v>
      </c>
      <c r="C105" s="756"/>
      <c r="D105" s="756"/>
      <c r="E105" s="756">
        <f>E90-E104</f>
        <v>247000</v>
      </c>
      <c r="F105" s="756"/>
      <c r="G105" s="756"/>
      <c r="H105" s="756">
        <f>H90-H104</f>
        <v>501000</v>
      </c>
      <c r="I105" s="758">
        <f>I90-I104</f>
        <v>748000</v>
      </c>
      <c r="J105" s="756"/>
      <c r="K105" s="756"/>
    </row>
    <row r="106" spans="1:11" x14ac:dyDescent="0.3">
      <c r="B106" s="754" t="s">
        <v>379</v>
      </c>
      <c r="C106" s="756"/>
      <c r="D106" s="756"/>
      <c r="E106" s="756"/>
      <c r="F106" s="756"/>
      <c r="G106" s="756"/>
      <c r="H106" s="756"/>
      <c r="I106" s="756">
        <f>K95</f>
        <v>481000</v>
      </c>
      <c r="J106" s="756"/>
      <c r="K106" s="756"/>
    </row>
    <row r="107" spans="1:11" x14ac:dyDescent="0.3">
      <c r="B107" s="755" t="s">
        <v>386</v>
      </c>
      <c r="C107" s="757"/>
      <c r="D107" s="757"/>
      <c r="E107" s="757"/>
      <c r="F107" s="757"/>
      <c r="G107" s="757"/>
      <c r="H107" s="757"/>
      <c r="I107" s="757">
        <f>K107</f>
        <v>527000</v>
      </c>
      <c r="J107" s="757"/>
      <c r="K107" s="757">
        <f>K96+K97+K103</f>
        <v>527000</v>
      </c>
    </row>
    <row r="108" spans="1:11" x14ac:dyDescent="0.3">
      <c r="B108" s="755" t="s">
        <v>187</v>
      </c>
      <c r="C108" s="757"/>
      <c r="D108" s="757"/>
      <c r="E108" s="757"/>
      <c r="F108" s="757"/>
      <c r="G108" s="757"/>
      <c r="H108" s="757"/>
      <c r="I108" s="757">
        <f>I105+I106+I107</f>
        <v>1756000</v>
      </c>
      <c r="J108" s="757">
        <f>J90-J92-J93-J94-J96-J97-J99-J101-J103</f>
        <v>1756000</v>
      </c>
      <c r="K108" s="757"/>
    </row>
    <row r="110" spans="1:11" ht="15" thickBot="1" x14ac:dyDescent="0.35"/>
    <row r="111" spans="1:11" x14ac:dyDescent="0.3">
      <c r="A111" s="576" t="s">
        <v>204</v>
      </c>
      <c r="B111" s="585" t="s">
        <v>957</v>
      </c>
      <c r="C111" s="884" t="s">
        <v>679</v>
      </c>
      <c r="D111" s="885"/>
      <c r="E111" s="886" t="s">
        <v>390</v>
      </c>
      <c r="F111" s="885"/>
      <c r="G111" s="886" t="s">
        <v>734</v>
      </c>
      <c r="H111" s="885"/>
      <c r="I111" s="584" t="s">
        <v>370</v>
      </c>
      <c r="J111" s="584" t="s">
        <v>293</v>
      </c>
      <c r="K111" s="583" t="s">
        <v>733</v>
      </c>
    </row>
    <row r="112" spans="1:11" ht="17.399999999999999" thickBot="1" x14ac:dyDescent="0.4">
      <c r="B112" s="587" t="s">
        <v>956</v>
      </c>
      <c r="C112" s="889" t="s">
        <v>955</v>
      </c>
      <c r="D112" s="888"/>
      <c r="E112" s="889" t="s">
        <v>954</v>
      </c>
      <c r="F112" s="890"/>
      <c r="G112" s="690"/>
      <c r="H112" s="689"/>
      <c r="I112" s="581" t="s">
        <v>261</v>
      </c>
      <c r="J112" s="581" t="s">
        <v>262</v>
      </c>
      <c r="K112" s="581" t="s">
        <v>729</v>
      </c>
    </row>
    <row r="113" spans="2:11" ht="15" thickBot="1" x14ac:dyDescent="0.35">
      <c r="B113" s="595"/>
      <c r="C113" s="882">
        <f>D79*C10</f>
        <v>1432000</v>
      </c>
      <c r="D113" s="883"/>
      <c r="E113" s="882">
        <f>D28*C10</f>
        <v>1148800</v>
      </c>
      <c r="F113" s="883"/>
      <c r="G113" s="882">
        <f>F29</f>
        <v>1215000</v>
      </c>
      <c r="H113" s="883"/>
      <c r="I113" s="579">
        <f>C113-E113</f>
        <v>283200</v>
      </c>
      <c r="J113" s="579">
        <f>E113-G113</f>
        <v>-66200</v>
      </c>
      <c r="K113" s="578">
        <f>C113-G113</f>
        <v>217000</v>
      </c>
    </row>
    <row r="115" spans="2:11" ht="15" thickBot="1" x14ac:dyDescent="0.35"/>
    <row r="116" spans="2:11" x14ac:dyDescent="0.3">
      <c r="B116" s="585" t="s">
        <v>957</v>
      </c>
      <c r="C116" s="884" t="s">
        <v>679</v>
      </c>
      <c r="D116" s="885"/>
      <c r="E116" s="886" t="s">
        <v>388</v>
      </c>
      <c r="F116" s="885"/>
      <c r="G116" s="886" t="s">
        <v>734</v>
      </c>
      <c r="H116" s="885"/>
      <c r="I116" s="584" t="s">
        <v>249</v>
      </c>
      <c r="J116" s="584" t="s">
        <v>293</v>
      </c>
      <c r="K116" s="583" t="s">
        <v>733</v>
      </c>
    </row>
    <row r="117" spans="2:11" ht="17.399999999999999" thickBot="1" x14ac:dyDescent="0.4">
      <c r="B117" s="587" t="s">
        <v>959</v>
      </c>
      <c r="C117" s="889" t="s">
        <v>958</v>
      </c>
      <c r="D117" s="888"/>
      <c r="E117" s="889"/>
      <c r="F117" s="890"/>
      <c r="G117" s="690"/>
      <c r="H117" s="689"/>
      <c r="I117" s="581" t="s">
        <v>261</v>
      </c>
      <c r="J117" s="581" t="s">
        <v>262</v>
      </c>
      <c r="K117" s="581" t="s">
        <v>729</v>
      </c>
    </row>
    <row r="118" spans="2:11" ht="15" thickBot="1" x14ac:dyDescent="0.35">
      <c r="B118" s="595"/>
      <c r="C118" s="882">
        <f>D79*C12</f>
        <v>1790000</v>
      </c>
      <c r="D118" s="883"/>
      <c r="E118" s="882">
        <f>D28*C12</f>
        <v>1436000</v>
      </c>
      <c r="F118" s="883"/>
      <c r="G118" s="882">
        <f>F30</f>
        <v>1520000</v>
      </c>
      <c r="H118" s="883"/>
      <c r="I118" s="579">
        <f>C118-E118</f>
        <v>354000</v>
      </c>
      <c r="J118" s="579">
        <f>E118-G118</f>
        <v>-84000</v>
      </c>
      <c r="K118" s="578">
        <f>C118-G118</f>
        <v>270000</v>
      </c>
    </row>
    <row r="120" spans="2:11" x14ac:dyDescent="0.3">
      <c r="B120" s="576" t="s">
        <v>1132</v>
      </c>
    </row>
  </sheetData>
  <mergeCells count="122">
    <mergeCell ref="B86:K86"/>
    <mergeCell ref="C87:I87"/>
    <mergeCell ref="C88:E88"/>
    <mergeCell ref="F88:H88"/>
    <mergeCell ref="C116:D116"/>
    <mergeCell ref="E116:F116"/>
    <mergeCell ref="G116:H116"/>
    <mergeCell ref="C117:D117"/>
    <mergeCell ref="E117:F117"/>
    <mergeCell ref="E118:F118"/>
    <mergeCell ref="G118:H118"/>
    <mergeCell ref="C111:D111"/>
    <mergeCell ref="E111:F111"/>
    <mergeCell ref="G111:H111"/>
    <mergeCell ref="C112:D112"/>
    <mergeCell ref="E112:F112"/>
    <mergeCell ref="C113:D113"/>
    <mergeCell ref="E113:F113"/>
    <mergeCell ref="G113:H113"/>
    <mergeCell ref="C118:D118"/>
    <mergeCell ref="C82:D82"/>
    <mergeCell ref="E82:F82"/>
    <mergeCell ref="G82:H82"/>
    <mergeCell ref="C83:D83"/>
    <mergeCell ref="E83:F83"/>
    <mergeCell ref="G83:H83"/>
    <mergeCell ref="C84:D84"/>
    <mergeCell ref="E84:F84"/>
    <mergeCell ref="G84:H84"/>
    <mergeCell ref="C71:D71"/>
    <mergeCell ref="E71:F71"/>
    <mergeCell ref="G71:H71"/>
    <mergeCell ref="C72:D72"/>
    <mergeCell ref="E72:F72"/>
    <mergeCell ref="G72:H72"/>
    <mergeCell ref="C73:D73"/>
    <mergeCell ref="E73:F73"/>
    <mergeCell ref="G73:H73"/>
    <mergeCell ref="C61:D61"/>
    <mergeCell ref="E61:F61"/>
    <mergeCell ref="G61:H61"/>
    <mergeCell ref="C62:D62"/>
    <mergeCell ref="E62:F62"/>
    <mergeCell ref="G62:H62"/>
    <mergeCell ref="C63:D63"/>
    <mergeCell ref="E63:F63"/>
    <mergeCell ref="G63:H63"/>
    <mergeCell ref="D49:E49"/>
    <mergeCell ref="F49:G49"/>
    <mergeCell ref="H49:I49"/>
    <mergeCell ref="J49:K49"/>
    <mergeCell ref="D50:E50"/>
    <mergeCell ref="F50:G50"/>
    <mergeCell ref="H50:I50"/>
    <mergeCell ref="J50:K50"/>
    <mergeCell ref="D51:E51"/>
    <mergeCell ref="F51:G51"/>
    <mergeCell ref="H51:I51"/>
    <mergeCell ref="J51:K51"/>
    <mergeCell ref="D46:E46"/>
    <mergeCell ref="F46:G46"/>
    <mergeCell ref="H46:I46"/>
    <mergeCell ref="J46:K46"/>
    <mergeCell ref="D47:E47"/>
    <mergeCell ref="F47:G47"/>
    <mergeCell ref="H47:I47"/>
    <mergeCell ref="J47:K47"/>
    <mergeCell ref="D48:E48"/>
    <mergeCell ref="F48:G48"/>
    <mergeCell ref="H48:I48"/>
    <mergeCell ref="J48:K48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30:E30"/>
    <mergeCell ref="F30:H30"/>
    <mergeCell ref="D31:E31"/>
    <mergeCell ref="F31:H31"/>
    <mergeCell ref="D32:E32"/>
    <mergeCell ref="F32:H32"/>
    <mergeCell ref="D33:E33"/>
    <mergeCell ref="F33:H33"/>
    <mergeCell ref="D40:E40"/>
    <mergeCell ref="F40:G40"/>
    <mergeCell ref="H40:I40"/>
    <mergeCell ref="C21:D21"/>
    <mergeCell ref="E21:F21"/>
    <mergeCell ref="G21:H21"/>
    <mergeCell ref="C22:D22"/>
    <mergeCell ref="E22:F22"/>
    <mergeCell ref="G22:H22"/>
    <mergeCell ref="D29:E29"/>
    <mergeCell ref="F29:H29"/>
    <mergeCell ref="C23:D23"/>
    <mergeCell ref="E23:F23"/>
    <mergeCell ref="G23:H23"/>
    <mergeCell ref="D25:E25"/>
    <mergeCell ref="F25:H25"/>
    <mergeCell ref="D26:E26"/>
    <mergeCell ref="F26:H26"/>
    <mergeCell ref="D27:E27"/>
    <mergeCell ref="F27:H27"/>
    <mergeCell ref="D28:E28"/>
    <mergeCell ref="F28:H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5"/>
  <sheetViews>
    <sheetView workbookViewId="0">
      <selection activeCell="G28" sqref="G28"/>
    </sheetView>
  </sheetViews>
  <sheetFormatPr baseColWidth="10" defaultColWidth="11.33203125" defaultRowHeight="14.4" x14ac:dyDescent="0.3"/>
  <cols>
    <col min="1" max="1" width="21.88671875" style="576" customWidth="1"/>
    <col min="2" max="2" width="16.33203125" style="576" bestFit="1" customWidth="1"/>
    <col min="3" max="3" width="8.109375" style="576" customWidth="1"/>
    <col min="4" max="4" width="11.33203125" style="576"/>
    <col min="5" max="5" width="5.33203125" style="576" customWidth="1"/>
    <col min="6" max="6" width="11.33203125" style="576"/>
    <col min="7" max="7" width="18.6640625" style="576" customWidth="1"/>
    <col min="8" max="16384" width="11.33203125" style="576"/>
  </cols>
  <sheetData>
    <row r="1" spans="1:8" x14ac:dyDescent="0.3">
      <c r="A1" s="576" t="s">
        <v>1059</v>
      </c>
    </row>
    <row r="3" spans="1:8" x14ac:dyDescent="0.3">
      <c r="A3" s="576" t="s">
        <v>763</v>
      </c>
    </row>
    <row r="5" spans="1:8" x14ac:dyDescent="0.3">
      <c r="A5" s="577" t="s">
        <v>821</v>
      </c>
      <c r="B5" s="723">
        <v>2</v>
      </c>
      <c r="C5" s="723">
        <v>50</v>
      </c>
      <c r="D5" s="598">
        <f>B5*C5</f>
        <v>100</v>
      </c>
      <c r="F5" s="576" t="s">
        <v>1058</v>
      </c>
    </row>
    <row r="6" spans="1:8" x14ac:dyDescent="0.3">
      <c r="A6" s="576" t="s">
        <v>90</v>
      </c>
      <c r="B6" s="723">
        <v>3</v>
      </c>
      <c r="C6" s="723">
        <v>300</v>
      </c>
      <c r="D6" s="598">
        <f>B6*C6</f>
        <v>900</v>
      </c>
      <c r="F6" s="576" t="s">
        <v>1057</v>
      </c>
      <c r="H6" s="723">
        <v>1</v>
      </c>
    </row>
    <row r="7" spans="1:8" x14ac:dyDescent="0.3">
      <c r="A7" s="576" t="s">
        <v>927</v>
      </c>
      <c r="B7" s="723">
        <f>B6</f>
        <v>3</v>
      </c>
      <c r="C7" s="723">
        <v>30</v>
      </c>
      <c r="D7" s="598">
        <f>B7*C7</f>
        <v>90</v>
      </c>
      <c r="F7" s="576" t="s">
        <v>1056</v>
      </c>
      <c r="H7" s="723">
        <v>0.5</v>
      </c>
    </row>
    <row r="8" spans="1:8" x14ac:dyDescent="0.3">
      <c r="A8" s="719" t="s">
        <v>926</v>
      </c>
      <c r="B8" s="728">
        <f>B7</f>
        <v>3</v>
      </c>
      <c r="C8" s="728">
        <v>20</v>
      </c>
      <c r="D8" s="715">
        <f>B8*C8</f>
        <v>60</v>
      </c>
    </row>
    <row r="9" spans="1:8" x14ac:dyDescent="0.3">
      <c r="A9" s="576" t="s">
        <v>93</v>
      </c>
      <c r="D9" s="598">
        <f>SUM(D5:D8)</f>
        <v>1150</v>
      </c>
    </row>
    <row r="10" spans="1:8" x14ac:dyDescent="0.3">
      <c r="A10" s="708" t="s">
        <v>818</v>
      </c>
      <c r="B10" s="728">
        <v>1</v>
      </c>
      <c r="C10" s="728">
        <v>100</v>
      </c>
      <c r="D10" s="715">
        <f>B10*C10</f>
        <v>100</v>
      </c>
      <c r="F10" s="576" t="s">
        <v>1055</v>
      </c>
    </row>
    <row r="11" spans="1:8" x14ac:dyDescent="0.3">
      <c r="A11" s="708" t="s">
        <v>95</v>
      </c>
      <c r="B11" s="708"/>
      <c r="C11" s="708"/>
      <c r="D11" s="715">
        <f>SUM(D9:D10)</f>
        <v>1250</v>
      </c>
    </row>
    <row r="12" spans="1:8" x14ac:dyDescent="0.3">
      <c r="F12" s="576" t="s">
        <v>969</v>
      </c>
      <c r="H12" s="576">
        <f>H6*B5*C5</f>
        <v>100</v>
      </c>
    </row>
    <row r="13" spans="1:8" x14ac:dyDescent="0.3">
      <c r="F13" s="576" t="s">
        <v>90</v>
      </c>
      <c r="H13" s="576">
        <f>H7*B6*C6</f>
        <v>450</v>
      </c>
    </row>
    <row r="14" spans="1:8" x14ac:dyDescent="0.3">
      <c r="A14" s="576" t="s">
        <v>1047</v>
      </c>
      <c r="C14" s="725">
        <v>3200</v>
      </c>
      <c r="F14" s="577" t="s">
        <v>1054</v>
      </c>
      <c r="H14" s="576">
        <f>H7*B7*C7</f>
        <v>45</v>
      </c>
    </row>
    <row r="15" spans="1:8" x14ac:dyDescent="0.3">
      <c r="A15" s="576" t="s">
        <v>1046</v>
      </c>
      <c r="C15" s="725">
        <v>3100</v>
      </c>
      <c r="F15" s="576" t="s">
        <v>1028</v>
      </c>
      <c r="H15" s="576">
        <f>H7*B8*C8</f>
        <v>30</v>
      </c>
    </row>
    <row r="16" spans="1:8" x14ac:dyDescent="0.3">
      <c r="A16" s="576" t="s">
        <v>1045</v>
      </c>
      <c r="C16" s="725">
        <v>2800</v>
      </c>
      <c r="F16" s="577" t="s">
        <v>93</v>
      </c>
      <c r="H16" s="576">
        <f>SUM(H12:H15)</f>
        <v>625</v>
      </c>
    </row>
    <row r="19" spans="1:8" x14ac:dyDescent="0.3">
      <c r="A19" s="577" t="s">
        <v>1044</v>
      </c>
    </row>
    <row r="20" spans="1:8" x14ac:dyDescent="0.3">
      <c r="A20" s="576" t="s">
        <v>1043</v>
      </c>
      <c r="B20" s="701" t="s">
        <v>1053</v>
      </c>
      <c r="C20" s="598">
        <f>C15*B5</f>
        <v>6200</v>
      </c>
    </row>
    <row r="21" spans="1:8" x14ac:dyDescent="0.3">
      <c r="A21" s="708" t="s">
        <v>1052</v>
      </c>
      <c r="B21" s="708" t="s">
        <v>1051</v>
      </c>
      <c r="C21" s="715">
        <f>(C15-C14)*B5</f>
        <v>-200</v>
      </c>
    </row>
    <row r="22" spans="1:8" x14ac:dyDescent="0.3">
      <c r="A22" s="708" t="s">
        <v>1041</v>
      </c>
      <c r="B22" s="708"/>
      <c r="C22" s="715">
        <f>C20-C21</f>
        <v>6400</v>
      </c>
      <c r="H22" s="708"/>
    </row>
    <row r="23" spans="1:8" x14ac:dyDescent="0.3">
      <c r="C23" s="598"/>
    </row>
    <row r="24" spans="1:8" x14ac:dyDescent="0.3">
      <c r="A24" s="576" t="s">
        <v>774</v>
      </c>
      <c r="C24" s="598"/>
    </row>
    <row r="25" spans="1:8" x14ac:dyDescent="0.3">
      <c r="A25" s="576" t="s">
        <v>1040</v>
      </c>
      <c r="B25" s="576" t="s">
        <v>1050</v>
      </c>
      <c r="C25" s="598">
        <f>C15*B6</f>
        <v>9300</v>
      </c>
    </row>
    <row r="26" spans="1:8" x14ac:dyDescent="0.3">
      <c r="A26" s="708" t="s">
        <v>1049</v>
      </c>
      <c r="B26" s="719" t="s">
        <v>1048</v>
      </c>
      <c r="C26" s="715">
        <f>H7*B6*(C15-C14)</f>
        <v>-150</v>
      </c>
    </row>
    <row r="27" spans="1:8" x14ac:dyDescent="0.3">
      <c r="A27" s="708" t="s">
        <v>774</v>
      </c>
      <c r="B27" s="708"/>
      <c r="C27" s="715">
        <f>C25-C26</f>
        <v>9450</v>
      </c>
    </row>
    <row r="28" spans="1:8" x14ac:dyDescent="0.3">
      <c r="C28" s="598"/>
    </row>
    <row r="29" spans="1:8" x14ac:dyDescent="0.3">
      <c r="C29" s="598"/>
    </row>
    <row r="30" spans="1:8" x14ac:dyDescent="0.3">
      <c r="A30" s="576" t="s">
        <v>751</v>
      </c>
      <c r="C30" s="598"/>
    </row>
    <row r="31" spans="1:8" x14ac:dyDescent="0.3">
      <c r="C31" s="598"/>
    </row>
    <row r="32" spans="1:8" x14ac:dyDescent="0.3">
      <c r="A32" s="576" t="s">
        <v>1047</v>
      </c>
      <c r="C32" s="725">
        <v>3200</v>
      </c>
    </row>
    <row r="33" spans="1:3" x14ac:dyDescent="0.3">
      <c r="A33" s="576" t="s">
        <v>1046</v>
      </c>
      <c r="C33" s="725">
        <v>2700</v>
      </c>
    </row>
    <row r="34" spans="1:3" x14ac:dyDescent="0.3">
      <c r="A34" s="576" t="s">
        <v>1045</v>
      </c>
      <c r="C34" s="725">
        <v>2800</v>
      </c>
    </row>
    <row r="37" spans="1:3" x14ac:dyDescent="0.3">
      <c r="A37" s="577" t="s">
        <v>1044</v>
      </c>
    </row>
    <row r="38" spans="1:3" x14ac:dyDescent="0.3">
      <c r="A38" s="576" t="s">
        <v>1043</v>
      </c>
      <c r="B38" s="701" t="s">
        <v>1042</v>
      </c>
      <c r="C38" s="598">
        <f>C33*B5</f>
        <v>5400</v>
      </c>
    </row>
    <row r="39" spans="1:3" x14ac:dyDescent="0.3">
      <c r="A39" s="708" t="s">
        <v>1038</v>
      </c>
      <c r="B39" s="879" t="s">
        <v>1154</v>
      </c>
      <c r="C39" s="715">
        <f>(C32-C33)*B5</f>
        <v>1000</v>
      </c>
    </row>
    <row r="40" spans="1:3" x14ac:dyDescent="0.3">
      <c r="A40" s="708" t="s">
        <v>1041</v>
      </c>
      <c r="B40" s="708"/>
      <c r="C40" s="715">
        <f>C38+C39</f>
        <v>6400</v>
      </c>
    </row>
    <row r="41" spans="1:3" x14ac:dyDescent="0.3">
      <c r="C41" s="598"/>
    </row>
    <row r="42" spans="1:3" x14ac:dyDescent="0.3">
      <c r="A42" s="576" t="s">
        <v>774</v>
      </c>
      <c r="C42" s="598"/>
    </row>
    <row r="43" spans="1:3" x14ac:dyDescent="0.3">
      <c r="A43" s="576" t="s">
        <v>1040</v>
      </c>
      <c r="B43" s="577" t="s">
        <v>1039</v>
      </c>
      <c r="C43" s="598">
        <f>C33*B6</f>
        <v>8100</v>
      </c>
    </row>
    <row r="44" spans="1:3" x14ac:dyDescent="0.3">
      <c r="A44" s="708" t="s">
        <v>1038</v>
      </c>
      <c r="B44" s="879" t="s">
        <v>1155</v>
      </c>
      <c r="C44" s="715">
        <f>(C32-C33)*H7*B6</f>
        <v>750</v>
      </c>
    </row>
    <row r="45" spans="1:3" x14ac:dyDescent="0.3">
      <c r="A45" s="708" t="s">
        <v>774</v>
      </c>
      <c r="B45" s="708"/>
      <c r="C45" s="715">
        <f>C43+C44</f>
        <v>8850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workbookViewId="0">
      <selection activeCell="F36" sqref="F36"/>
    </sheetView>
  </sheetViews>
  <sheetFormatPr baseColWidth="10" defaultColWidth="11.33203125" defaultRowHeight="14.4" x14ac:dyDescent="0.3"/>
  <cols>
    <col min="1" max="1" width="17.109375" style="576" customWidth="1"/>
    <col min="2" max="2" width="20" style="576" bestFit="1" customWidth="1"/>
    <col min="3" max="3" width="17.109375" style="576" customWidth="1"/>
    <col min="4" max="4" width="20.88671875" style="576" customWidth="1"/>
    <col min="5" max="5" width="16.6640625" style="576" customWidth="1"/>
    <col min="6" max="16384" width="11.33203125" style="576"/>
  </cols>
  <sheetData>
    <row r="1" spans="1:4" x14ac:dyDescent="0.3">
      <c r="A1" s="576" t="s">
        <v>1075</v>
      </c>
    </row>
    <row r="4" spans="1:4" x14ac:dyDescent="0.3">
      <c r="A4" s="577" t="s">
        <v>788</v>
      </c>
    </row>
    <row r="6" spans="1:4" x14ac:dyDescent="0.3">
      <c r="A6" s="576" t="s">
        <v>1074</v>
      </c>
    </row>
    <row r="8" spans="1:4" x14ac:dyDescent="0.3">
      <c r="A8" s="576" t="s">
        <v>1073</v>
      </c>
      <c r="C8" s="723">
        <v>7.5</v>
      </c>
    </row>
    <row r="9" spans="1:4" x14ac:dyDescent="0.3">
      <c r="A9" s="576" t="s">
        <v>1072</v>
      </c>
      <c r="C9" s="723">
        <v>20</v>
      </c>
    </row>
    <row r="10" spans="1:4" x14ac:dyDescent="0.3">
      <c r="A10" s="576" t="s">
        <v>1069</v>
      </c>
      <c r="C10" s="723">
        <v>1.5</v>
      </c>
    </row>
    <row r="11" spans="1:4" x14ac:dyDescent="0.3">
      <c r="A11" s="576" t="s">
        <v>1068</v>
      </c>
      <c r="C11" s="723">
        <v>240</v>
      </c>
    </row>
    <row r="13" spans="1:4" x14ac:dyDescent="0.3">
      <c r="A13" s="576" t="s">
        <v>1058</v>
      </c>
      <c r="C13" s="723"/>
    </row>
    <row r="14" spans="1:4" x14ac:dyDescent="0.3">
      <c r="A14" s="576" t="s">
        <v>1071</v>
      </c>
      <c r="C14" s="767">
        <v>1</v>
      </c>
      <c r="D14" s="576" t="s">
        <v>1070</v>
      </c>
    </row>
    <row r="15" spans="1:4" x14ac:dyDescent="0.3">
      <c r="A15" s="576" t="s">
        <v>90</v>
      </c>
      <c r="C15" s="767">
        <v>0.5</v>
      </c>
    </row>
    <row r="18" spans="1:3" x14ac:dyDescent="0.3">
      <c r="A18" s="577" t="s">
        <v>1067</v>
      </c>
      <c r="C18" s="723">
        <v>300</v>
      </c>
    </row>
    <row r="19" spans="1:3" x14ac:dyDescent="0.3">
      <c r="A19" s="577" t="s">
        <v>884</v>
      </c>
      <c r="C19" s="723">
        <v>10</v>
      </c>
    </row>
    <row r="24" spans="1:3" x14ac:dyDescent="0.3">
      <c r="A24" s="577" t="s">
        <v>1066</v>
      </c>
      <c r="C24" s="723">
        <v>2460</v>
      </c>
    </row>
    <row r="25" spans="1:3" x14ac:dyDescent="0.3">
      <c r="A25" s="576" t="s">
        <v>1065</v>
      </c>
      <c r="C25" s="723">
        <v>480</v>
      </c>
    </row>
    <row r="26" spans="1:3" x14ac:dyDescent="0.3">
      <c r="A26" s="576" t="s">
        <v>1064</v>
      </c>
      <c r="C26" s="723">
        <v>47700</v>
      </c>
    </row>
    <row r="27" spans="1:3" x14ac:dyDescent="0.3">
      <c r="A27" s="576" t="s">
        <v>1063</v>
      </c>
      <c r="C27" s="723">
        <v>111450</v>
      </c>
    </row>
    <row r="30" spans="1:3" x14ac:dyDescent="0.3">
      <c r="A30" s="576" t="s">
        <v>763</v>
      </c>
    </row>
    <row r="32" spans="1:3" x14ac:dyDescent="0.3">
      <c r="A32" s="576" t="s">
        <v>1062</v>
      </c>
      <c r="C32" s="576">
        <f>(C18+C19)*C8</f>
        <v>2325</v>
      </c>
    </row>
    <row r="33" spans="1:6" x14ac:dyDescent="0.3">
      <c r="A33" s="577" t="s">
        <v>1061</v>
      </c>
      <c r="C33" s="576">
        <f>C18*C10+(C15*C19*C10)</f>
        <v>457.5</v>
      </c>
    </row>
    <row r="36" spans="1:6" x14ac:dyDescent="0.3">
      <c r="A36" s="576" t="s">
        <v>751</v>
      </c>
    </row>
    <row r="37" spans="1:6" ht="15" thickBot="1" x14ac:dyDescent="0.35"/>
    <row r="38" spans="1:6" x14ac:dyDescent="0.3">
      <c r="A38" s="594" t="s">
        <v>81</v>
      </c>
    </row>
    <row r="39" spans="1:6" ht="15" thickBot="1" x14ac:dyDescent="0.35">
      <c r="A39" s="595"/>
    </row>
    <row r="40" spans="1:6" x14ac:dyDescent="0.3">
      <c r="A40" s="583" t="s">
        <v>679</v>
      </c>
      <c r="B40" s="584" t="s">
        <v>735</v>
      </c>
      <c r="C40" s="583" t="s">
        <v>734</v>
      </c>
      <c r="D40" s="584" t="s">
        <v>141</v>
      </c>
      <c r="E40" s="584" t="s">
        <v>140</v>
      </c>
      <c r="F40" s="584" t="s">
        <v>733</v>
      </c>
    </row>
    <row r="41" spans="1:6" ht="15" thickBot="1" x14ac:dyDescent="0.35">
      <c r="A41" s="581" t="s">
        <v>754</v>
      </c>
      <c r="B41" s="581" t="s">
        <v>771</v>
      </c>
      <c r="C41" s="581" t="s">
        <v>770</v>
      </c>
      <c r="D41" s="721" t="s">
        <v>766</v>
      </c>
      <c r="E41" s="581" t="s">
        <v>262</v>
      </c>
      <c r="F41" s="581" t="s">
        <v>729</v>
      </c>
    </row>
    <row r="42" spans="1:6" ht="15" thickBot="1" x14ac:dyDescent="0.35">
      <c r="A42" s="590">
        <f>C9*C32</f>
        <v>46500</v>
      </c>
      <c r="B42" s="589">
        <f>C9*C24</f>
        <v>49200</v>
      </c>
      <c r="C42" s="589">
        <f>C26</f>
        <v>47700</v>
      </c>
      <c r="D42" s="589">
        <f>A42-B42</f>
        <v>-2700</v>
      </c>
      <c r="E42" s="589">
        <f>B42-C42</f>
        <v>1500</v>
      </c>
      <c r="F42" s="589">
        <f>A42-C42</f>
        <v>-1200</v>
      </c>
    </row>
    <row r="45" spans="1:6" ht="15" thickBot="1" x14ac:dyDescent="0.35"/>
    <row r="46" spans="1:6" x14ac:dyDescent="0.3">
      <c r="A46" s="594" t="s">
        <v>406</v>
      </c>
    </row>
    <row r="47" spans="1:6" ht="15" thickBot="1" x14ac:dyDescent="0.35">
      <c r="A47" s="591"/>
    </row>
    <row r="48" spans="1:6" x14ac:dyDescent="0.3">
      <c r="A48" s="583" t="s">
        <v>679</v>
      </c>
      <c r="B48" s="584" t="s">
        <v>735</v>
      </c>
      <c r="C48" s="583" t="s">
        <v>734</v>
      </c>
      <c r="D48" s="584" t="s">
        <v>79</v>
      </c>
      <c r="E48" s="584" t="s">
        <v>769</v>
      </c>
      <c r="F48" s="584" t="s">
        <v>733</v>
      </c>
    </row>
    <row r="49" spans="1:6" ht="15" thickBot="1" x14ac:dyDescent="0.35">
      <c r="A49" s="581" t="s">
        <v>768</v>
      </c>
      <c r="B49" s="581" t="s">
        <v>767</v>
      </c>
      <c r="C49" s="581" t="s">
        <v>730</v>
      </c>
      <c r="D49" s="721" t="s">
        <v>766</v>
      </c>
      <c r="E49" s="581" t="s">
        <v>262</v>
      </c>
      <c r="F49" s="581" t="s">
        <v>729</v>
      </c>
    </row>
    <row r="50" spans="1:6" ht="15" thickBot="1" x14ac:dyDescent="0.35">
      <c r="A50" s="590">
        <f>C11*C33</f>
        <v>109800</v>
      </c>
      <c r="B50" s="589">
        <f>C11*C25</f>
        <v>115200</v>
      </c>
      <c r="C50" s="589">
        <f>C27</f>
        <v>111450</v>
      </c>
      <c r="D50" s="589">
        <f>A50-B50</f>
        <v>-5400</v>
      </c>
      <c r="E50" s="589">
        <f>B50-C50</f>
        <v>3750</v>
      </c>
      <c r="F50" s="589">
        <f>A50-C50</f>
        <v>-1650</v>
      </c>
    </row>
    <row r="52" spans="1:6" x14ac:dyDescent="0.3">
      <c r="A52" s="576" t="s">
        <v>744</v>
      </c>
    </row>
    <row r="54" spans="1:6" x14ac:dyDescent="0.3">
      <c r="A54" s="576" t="s">
        <v>1060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>
    <pageSetUpPr fitToPage="1"/>
  </sheetPr>
  <dimension ref="B1:K50"/>
  <sheetViews>
    <sheetView showGridLines="0" workbookViewId="0">
      <selection activeCell="E16" sqref="E16"/>
    </sheetView>
  </sheetViews>
  <sheetFormatPr baseColWidth="10" defaultColWidth="9.109375" defaultRowHeight="15.6" x14ac:dyDescent="0.3"/>
  <cols>
    <col min="1" max="1" width="3.109375" style="768" customWidth="1"/>
    <col min="2" max="2" width="24.88671875" style="768" customWidth="1"/>
    <col min="3" max="3" width="15.33203125" style="768" customWidth="1"/>
    <col min="4" max="4" width="18.88671875" style="769" bestFit="1" customWidth="1"/>
    <col min="5" max="5" width="12.88671875" style="769" bestFit="1" customWidth="1"/>
    <col min="6" max="6" width="14.109375" style="769" bestFit="1" customWidth="1"/>
    <col min="7" max="10" width="10.88671875" style="769" customWidth="1"/>
    <col min="11" max="11" width="9.88671875" style="769" customWidth="1"/>
    <col min="12" max="257" width="9.109375" style="768"/>
    <col min="258" max="258" width="23.33203125" style="768" customWidth="1"/>
    <col min="259" max="259" width="10.88671875" style="768" customWidth="1"/>
    <col min="260" max="260" width="13.109375" style="768" customWidth="1"/>
    <col min="261" max="266" width="10.88671875" style="768" customWidth="1"/>
    <col min="267" max="267" width="9.88671875" style="768" customWidth="1"/>
    <col min="268" max="513" width="9.109375" style="768"/>
    <col min="514" max="514" width="23.33203125" style="768" customWidth="1"/>
    <col min="515" max="515" width="10.88671875" style="768" customWidth="1"/>
    <col min="516" max="516" width="13.109375" style="768" customWidth="1"/>
    <col min="517" max="522" width="10.88671875" style="768" customWidth="1"/>
    <col min="523" max="523" width="9.88671875" style="768" customWidth="1"/>
    <col min="524" max="769" width="9.109375" style="768"/>
    <col min="770" max="770" width="23.33203125" style="768" customWidth="1"/>
    <col min="771" max="771" width="10.88671875" style="768" customWidth="1"/>
    <col min="772" max="772" width="13.109375" style="768" customWidth="1"/>
    <col min="773" max="778" width="10.88671875" style="768" customWidth="1"/>
    <col min="779" max="779" width="9.88671875" style="768" customWidth="1"/>
    <col min="780" max="1025" width="9.109375" style="768"/>
    <col min="1026" max="1026" width="23.33203125" style="768" customWidth="1"/>
    <col min="1027" max="1027" width="10.88671875" style="768" customWidth="1"/>
    <col min="1028" max="1028" width="13.109375" style="768" customWidth="1"/>
    <col min="1029" max="1034" width="10.88671875" style="768" customWidth="1"/>
    <col min="1035" max="1035" width="9.88671875" style="768" customWidth="1"/>
    <col min="1036" max="1281" width="9.109375" style="768"/>
    <col min="1282" max="1282" width="23.33203125" style="768" customWidth="1"/>
    <col min="1283" max="1283" width="10.88671875" style="768" customWidth="1"/>
    <col min="1284" max="1284" width="13.109375" style="768" customWidth="1"/>
    <col min="1285" max="1290" width="10.88671875" style="768" customWidth="1"/>
    <col min="1291" max="1291" width="9.88671875" style="768" customWidth="1"/>
    <col min="1292" max="1537" width="9.109375" style="768"/>
    <col min="1538" max="1538" width="23.33203125" style="768" customWidth="1"/>
    <col min="1539" max="1539" width="10.88671875" style="768" customWidth="1"/>
    <col min="1540" max="1540" width="13.109375" style="768" customWidth="1"/>
    <col min="1541" max="1546" width="10.88671875" style="768" customWidth="1"/>
    <col min="1547" max="1547" width="9.88671875" style="768" customWidth="1"/>
    <col min="1548" max="1793" width="9.109375" style="768"/>
    <col min="1794" max="1794" width="23.33203125" style="768" customWidth="1"/>
    <col min="1795" max="1795" width="10.88671875" style="768" customWidth="1"/>
    <col min="1796" max="1796" width="13.109375" style="768" customWidth="1"/>
    <col min="1797" max="1802" width="10.88671875" style="768" customWidth="1"/>
    <col min="1803" max="1803" width="9.88671875" style="768" customWidth="1"/>
    <col min="1804" max="2049" width="9.109375" style="768"/>
    <col min="2050" max="2050" width="23.33203125" style="768" customWidth="1"/>
    <col min="2051" max="2051" width="10.88671875" style="768" customWidth="1"/>
    <col min="2052" max="2052" width="13.109375" style="768" customWidth="1"/>
    <col min="2053" max="2058" width="10.88671875" style="768" customWidth="1"/>
    <col min="2059" max="2059" width="9.88671875" style="768" customWidth="1"/>
    <col min="2060" max="2305" width="9.109375" style="768"/>
    <col min="2306" max="2306" width="23.33203125" style="768" customWidth="1"/>
    <col min="2307" max="2307" width="10.88671875" style="768" customWidth="1"/>
    <col min="2308" max="2308" width="13.109375" style="768" customWidth="1"/>
    <col min="2309" max="2314" width="10.88671875" style="768" customWidth="1"/>
    <col min="2315" max="2315" width="9.88671875" style="768" customWidth="1"/>
    <col min="2316" max="2561" width="9.109375" style="768"/>
    <col min="2562" max="2562" width="23.33203125" style="768" customWidth="1"/>
    <col min="2563" max="2563" width="10.88671875" style="768" customWidth="1"/>
    <col min="2564" max="2564" width="13.109375" style="768" customWidth="1"/>
    <col min="2565" max="2570" width="10.88671875" style="768" customWidth="1"/>
    <col min="2571" max="2571" width="9.88671875" style="768" customWidth="1"/>
    <col min="2572" max="2817" width="9.109375" style="768"/>
    <col min="2818" max="2818" width="23.33203125" style="768" customWidth="1"/>
    <col min="2819" max="2819" width="10.88671875" style="768" customWidth="1"/>
    <col min="2820" max="2820" width="13.109375" style="768" customWidth="1"/>
    <col min="2821" max="2826" width="10.88671875" style="768" customWidth="1"/>
    <col min="2827" max="2827" width="9.88671875" style="768" customWidth="1"/>
    <col min="2828" max="3073" width="9.109375" style="768"/>
    <col min="3074" max="3074" width="23.33203125" style="768" customWidth="1"/>
    <col min="3075" max="3075" width="10.88671875" style="768" customWidth="1"/>
    <col min="3076" max="3076" width="13.109375" style="768" customWidth="1"/>
    <col min="3077" max="3082" width="10.88671875" style="768" customWidth="1"/>
    <col min="3083" max="3083" width="9.88671875" style="768" customWidth="1"/>
    <col min="3084" max="3329" width="9.109375" style="768"/>
    <col min="3330" max="3330" width="23.33203125" style="768" customWidth="1"/>
    <col min="3331" max="3331" width="10.88671875" style="768" customWidth="1"/>
    <col min="3332" max="3332" width="13.109375" style="768" customWidth="1"/>
    <col min="3333" max="3338" width="10.88671875" style="768" customWidth="1"/>
    <col min="3339" max="3339" width="9.88671875" style="768" customWidth="1"/>
    <col min="3340" max="3585" width="9.109375" style="768"/>
    <col min="3586" max="3586" width="23.33203125" style="768" customWidth="1"/>
    <col min="3587" max="3587" width="10.88671875" style="768" customWidth="1"/>
    <col min="3588" max="3588" width="13.109375" style="768" customWidth="1"/>
    <col min="3589" max="3594" width="10.88671875" style="768" customWidth="1"/>
    <col min="3595" max="3595" width="9.88671875" style="768" customWidth="1"/>
    <col min="3596" max="3841" width="9.109375" style="768"/>
    <col min="3842" max="3842" width="23.33203125" style="768" customWidth="1"/>
    <col min="3843" max="3843" width="10.88671875" style="768" customWidth="1"/>
    <col min="3844" max="3844" width="13.109375" style="768" customWidth="1"/>
    <col min="3845" max="3850" width="10.88671875" style="768" customWidth="1"/>
    <col min="3851" max="3851" width="9.88671875" style="768" customWidth="1"/>
    <col min="3852" max="4097" width="9.109375" style="768"/>
    <col min="4098" max="4098" width="23.33203125" style="768" customWidth="1"/>
    <col min="4099" max="4099" width="10.88671875" style="768" customWidth="1"/>
    <col min="4100" max="4100" width="13.109375" style="768" customWidth="1"/>
    <col min="4101" max="4106" width="10.88671875" style="768" customWidth="1"/>
    <col min="4107" max="4107" width="9.88671875" style="768" customWidth="1"/>
    <col min="4108" max="4353" width="9.109375" style="768"/>
    <col min="4354" max="4354" width="23.33203125" style="768" customWidth="1"/>
    <col min="4355" max="4355" width="10.88671875" style="768" customWidth="1"/>
    <col min="4356" max="4356" width="13.109375" style="768" customWidth="1"/>
    <col min="4357" max="4362" width="10.88671875" style="768" customWidth="1"/>
    <col min="4363" max="4363" width="9.88671875" style="768" customWidth="1"/>
    <col min="4364" max="4609" width="9.109375" style="768"/>
    <col min="4610" max="4610" width="23.33203125" style="768" customWidth="1"/>
    <col min="4611" max="4611" width="10.88671875" style="768" customWidth="1"/>
    <col min="4612" max="4612" width="13.109375" style="768" customWidth="1"/>
    <col min="4613" max="4618" width="10.88671875" style="768" customWidth="1"/>
    <col min="4619" max="4619" width="9.88671875" style="768" customWidth="1"/>
    <col min="4620" max="4865" width="9.109375" style="768"/>
    <col min="4866" max="4866" width="23.33203125" style="768" customWidth="1"/>
    <col min="4867" max="4867" width="10.88671875" style="768" customWidth="1"/>
    <col min="4868" max="4868" width="13.109375" style="768" customWidth="1"/>
    <col min="4869" max="4874" width="10.88671875" style="768" customWidth="1"/>
    <col min="4875" max="4875" width="9.88671875" style="768" customWidth="1"/>
    <col min="4876" max="5121" width="9.109375" style="768"/>
    <col min="5122" max="5122" width="23.33203125" style="768" customWidth="1"/>
    <col min="5123" max="5123" width="10.88671875" style="768" customWidth="1"/>
    <col min="5124" max="5124" width="13.109375" style="768" customWidth="1"/>
    <col min="5125" max="5130" width="10.88671875" style="768" customWidth="1"/>
    <col min="5131" max="5131" width="9.88671875" style="768" customWidth="1"/>
    <col min="5132" max="5377" width="9.109375" style="768"/>
    <col min="5378" max="5378" width="23.33203125" style="768" customWidth="1"/>
    <col min="5379" max="5379" width="10.88671875" style="768" customWidth="1"/>
    <col min="5380" max="5380" width="13.109375" style="768" customWidth="1"/>
    <col min="5381" max="5386" width="10.88671875" style="768" customWidth="1"/>
    <col min="5387" max="5387" width="9.88671875" style="768" customWidth="1"/>
    <col min="5388" max="5633" width="9.109375" style="768"/>
    <col min="5634" max="5634" width="23.33203125" style="768" customWidth="1"/>
    <col min="5635" max="5635" width="10.88671875" style="768" customWidth="1"/>
    <col min="5636" max="5636" width="13.109375" style="768" customWidth="1"/>
    <col min="5637" max="5642" width="10.88671875" style="768" customWidth="1"/>
    <col min="5643" max="5643" width="9.88671875" style="768" customWidth="1"/>
    <col min="5644" max="5889" width="9.109375" style="768"/>
    <col min="5890" max="5890" width="23.33203125" style="768" customWidth="1"/>
    <col min="5891" max="5891" width="10.88671875" style="768" customWidth="1"/>
    <col min="5892" max="5892" width="13.109375" style="768" customWidth="1"/>
    <col min="5893" max="5898" width="10.88671875" style="768" customWidth="1"/>
    <col min="5899" max="5899" width="9.88671875" style="768" customWidth="1"/>
    <col min="5900" max="6145" width="9.109375" style="768"/>
    <col min="6146" max="6146" width="23.33203125" style="768" customWidth="1"/>
    <col min="6147" max="6147" width="10.88671875" style="768" customWidth="1"/>
    <col min="6148" max="6148" width="13.109375" style="768" customWidth="1"/>
    <col min="6149" max="6154" width="10.88671875" style="768" customWidth="1"/>
    <col min="6155" max="6155" width="9.88671875" style="768" customWidth="1"/>
    <col min="6156" max="6401" width="9.109375" style="768"/>
    <col min="6402" max="6402" width="23.33203125" style="768" customWidth="1"/>
    <col min="6403" max="6403" width="10.88671875" style="768" customWidth="1"/>
    <col min="6404" max="6404" width="13.109375" style="768" customWidth="1"/>
    <col min="6405" max="6410" width="10.88671875" style="768" customWidth="1"/>
    <col min="6411" max="6411" width="9.88671875" style="768" customWidth="1"/>
    <col min="6412" max="6657" width="9.109375" style="768"/>
    <col min="6658" max="6658" width="23.33203125" style="768" customWidth="1"/>
    <col min="6659" max="6659" width="10.88671875" style="768" customWidth="1"/>
    <col min="6660" max="6660" width="13.109375" style="768" customWidth="1"/>
    <col min="6661" max="6666" width="10.88671875" style="768" customWidth="1"/>
    <col min="6667" max="6667" width="9.88671875" style="768" customWidth="1"/>
    <col min="6668" max="6913" width="9.109375" style="768"/>
    <col min="6914" max="6914" width="23.33203125" style="768" customWidth="1"/>
    <col min="6915" max="6915" width="10.88671875" style="768" customWidth="1"/>
    <col min="6916" max="6916" width="13.109375" style="768" customWidth="1"/>
    <col min="6917" max="6922" width="10.88671875" style="768" customWidth="1"/>
    <col min="6923" max="6923" width="9.88671875" style="768" customWidth="1"/>
    <col min="6924" max="7169" width="9.109375" style="768"/>
    <col min="7170" max="7170" width="23.33203125" style="768" customWidth="1"/>
    <col min="7171" max="7171" width="10.88671875" style="768" customWidth="1"/>
    <col min="7172" max="7172" width="13.109375" style="768" customWidth="1"/>
    <col min="7173" max="7178" width="10.88671875" style="768" customWidth="1"/>
    <col min="7179" max="7179" width="9.88671875" style="768" customWidth="1"/>
    <col min="7180" max="7425" width="9.109375" style="768"/>
    <col min="7426" max="7426" width="23.33203125" style="768" customWidth="1"/>
    <col min="7427" max="7427" width="10.88671875" style="768" customWidth="1"/>
    <col min="7428" max="7428" width="13.109375" style="768" customWidth="1"/>
    <col min="7429" max="7434" width="10.88671875" style="768" customWidth="1"/>
    <col min="7435" max="7435" width="9.88671875" style="768" customWidth="1"/>
    <col min="7436" max="7681" width="9.109375" style="768"/>
    <col min="7682" max="7682" width="23.33203125" style="768" customWidth="1"/>
    <col min="7683" max="7683" width="10.88671875" style="768" customWidth="1"/>
    <col min="7684" max="7684" width="13.109375" style="768" customWidth="1"/>
    <col min="7685" max="7690" width="10.88671875" style="768" customWidth="1"/>
    <col min="7691" max="7691" width="9.88671875" style="768" customWidth="1"/>
    <col min="7692" max="7937" width="9.109375" style="768"/>
    <col min="7938" max="7938" width="23.33203125" style="768" customWidth="1"/>
    <col min="7939" max="7939" width="10.88671875" style="768" customWidth="1"/>
    <col min="7940" max="7940" width="13.109375" style="768" customWidth="1"/>
    <col min="7941" max="7946" width="10.88671875" style="768" customWidth="1"/>
    <col min="7947" max="7947" width="9.88671875" style="768" customWidth="1"/>
    <col min="7948" max="8193" width="9.109375" style="768"/>
    <col min="8194" max="8194" width="23.33203125" style="768" customWidth="1"/>
    <col min="8195" max="8195" width="10.88671875" style="768" customWidth="1"/>
    <col min="8196" max="8196" width="13.109375" style="768" customWidth="1"/>
    <col min="8197" max="8202" width="10.88671875" style="768" customWidth="1"/>
    <col min="8203" max="8203" width="9.88671875" style="768" customWidth="1"/>
    <col min="8204" max="8449" width="9.109375" style="768"/>
    <col min="8450" max="8450" width="23.33203125" style="768" customWidth="1"/>
    <col min="8451" max="8451" width="10.88671875" style="768" customWidth="1"/>
    <col min="8452" max="8452" width="13.109375" style="768" customWidth="1"/>
    <col min="8453" max="8458" width="10.88671875" style="768" customWidth="1"/>
    <col min="8459" max="8459" width="9.88671875" style="768" customWidth="1"/>
    <col min="8460" max="8705" width="9.109375" style="768"/>
    <col min="8706" max="8706" width="23.33203125" style="768" customWidth="1"/>
    <col min="8707" max="8707" width="10.88671875" style="768" customWidth="1"/>
    <col min="8708" max="8708" width="13.109375" style="768" customWidth="1"/>
    <col min="8709" max="8714" width="10.88671875" style="768" customWidth="1"/>
    <col min="8715" max="8715" width="9.88671875" style="768" customWidth="1"/>
    <col min="8716" max="8961" width="9.109375" style="768"/>
    <col min="8962" max="8962" width="23.33203125" style="768" customWidth="1"/>
    <col min="8963" max="8963" width="10.88671875" style="768" customWidth="1"/>
    <col min="8964" max="8964" width="13.109375" style="768" customWidth="1"/>
    <col min="8965" max="8970" width="10.88671875" style="768" customWidth="1"/>
    <col min="8971" max="8971" width="9.88671875" style="768" customWidth="1"/>
    <col min="8972" max="9217" width="9.109375" style="768"/>
    <col min="9218" max="9218" width="23.33203125" style="768" customWidth="1"/>
    <col min="9219" max="9219" width="10.88671875" style="768" customWidth="1"/>
    <col min="9220" max="9220" width="13.109375" style="768" customWidth="1"/>
    <col min="9221" max="9226" width="10.88671875" style="768" customWidth="1"/>
    <col min="9227" max="9227" width="9.88671875" style="768" customWidth="1"/>
    <col min="9228" max="9473" width="9.109375" style="768"/>
    <col min="9474" max="9474" width="23.33203125" style="768" customWidth="1"/>
    <col min="9475" max="9475" width="10.88671875" style="768" customWidth="1"/>
    <col min="9476" max="9476" width="13.109375" style="768" customWidth="1"/>
    <col min="9477" max="9482" width="10.88671875" style="768" customWidth="1"/>
    <col min="9483" max="9483" width="9.88671875" style="768" customWidth="1"/>
    <col min="9484" max="9729" width="9.109375" style="768"/>
    <col min="9730" max="9730" width="23.33203125" style="768" customWidth="1"/>
    <col min="9731" max="9731" width="10.88671875" style="768" customWidth="1"/>
    <col min="9732" max="9732" width="13.109375" style="768" customWidth="1"/>
    <col min="9733" max="9738" width="10.88671875" style="768" customWidth="1"/>
    <col min="9739" max="9739" width="9.88671875" style="768" customWidth="1"/>
    <col min="9740" max="9985" width="9.109375" style="768"/>
    <col min="9986" max="9986" width="23.33203125" style="768" customWidth="1"/>
    <col min="9987" max="9987" width="10.88671875" style="768" customWidth="1"/>
    <col min="9988" max="9988" width="13.109375" style="768" customWidth="1"/>
    <col min="9989" max="9994" width="10.88671875" style="768" customWidth="1"/>
    <col min="9995" max="9995" width="9.88671875" style="768" customWidth="1"/>
    <col min="9996" max="10241" width="9.109375" style="768"/>
    <col min="10242" max="10242" width="23.33203125" style="768" customWidth="1"/>
    <col min="10243" max="10243" width="10.88671875" style="768" customWidth="1"/>
    <col min="10244" max="10244" width="13.109375" style="768" customWidth="1"/>
    <col min="10245" max="10250" width="10.88671875" style="768" customWidth="1"/>
    <col min="10251" max="10251" width="9.88671875" style="768" customWidth="1"/>
    <col min="10252" max="10497" width="9.109375" style="768"/>
    <col min="10498" max="10498" width="23.33203125" style="768" customWidth="1"/>
    <col min="10499" max="10499" width="10.88671875" style="768" customWidth="1"/>
    <col min="10500" max="10500" width="13.109375" style="768" customWidth="1"/>
    <col min="10501" max="10506" width="10.88671875" style="768" customWidth="1"/>
    <col min="10507" max="10507" width="9.88671875" style="768" customWidth="1"/>
    <col min="10508" max="10753" width="9.109375" style="768"/>
    <col min="10754" max="10754" width="23.33203125" style="768" customWidth="1"/>
    <col min="10755" max="10755" width="10.88671875" style="768" customWidth="1"/>
    <col min="10756" max="10756" width="13.109375" style="768" customWidth="1"/>
    <col min="10757" max="10762" width="10.88671875" style="768" customWidth="1"/>
    <col min="10763" max="10763" width="9.88671875" style="768" customWidth="1"/>
    <col min="10764" max="11009" width="9.109375" style="768"/>
    <col min="11010" max="11010" width="23.33203125" style="768" customWidth="1"/>
    <col min="11011" max="11011" width="10.88671875" style="768" customWidth="1"/>
    <col min="11012" max="11012" width="13.109375" style="768" customWidth="1"/>
    <col min="11013" max="11018" width="10.88671875" style="768" customWidth="1"/>
    <col min="11019" max="11019" width="9.88671875" style="768" customWidth="1"/>
    <col min="11020" max="11265" width="9.109375" style="768"/>
    <col min="11266" max="11266" width="23.33203125" style="768" customWidth="1"/>
    <col min="11267" max="11267" width="10.88671875" style="768" customWidth="1"/>
    <col min="11268" max="11268" width="13.109375" style="768" customWidth="1"/>
    <col min="11269" max="11274" width="10.88671875" style="768" customWidth="1"/>
    <col min="11275" max="11275" width="9.88671875" style="768" customWidth="1"/>
    <col min="11276" max="11521" width="9.109375" style="768"/>
    <col min="11522" max="11522" width="23.33203125" style="768" customWidth="1"/>
    <col min="11523" max="11523" width="10.88671875" style="768" customWidth="1"/>
    <col min="11524" max="11524" width="13.109375" style="768" customWidth="1"/>
    <col min="11525" max="11530" width="10.88671875" style="768" customWidth="1"/>
    <col min="11531" max="11531" width="9.88671875" style="768" customWidth="1"/>
    <col min="11532" max="11777" width="9.109375" style="768"/>
    <col min="11778" max="11778" width="23.33203125" style="768" customWidth="1"/>
    <col min="11779" max="11779" width="10.88671875" style="768" customWidth="1"/>
    <col min="11780" max="11780" width="13.109375" style="768" customWidth="1"/>
    <col min="11781" max="11786" width="10.88671875" style="768" customWidth="1"/>
    <col min="11787" max="11787" width="9.88671875" style="768" customWidth="1"/>
    <col min="11788" max="12033" width="9.109375" style="768"/>
    <col min="12034" max="12034" width="23.33203125" style="768" customWidth="1"/>
    <col min="12035" max="12035" width="10.88671875" style="768" customWidth="1"/>
    <col min="12036" max="12036" width="13.109375" style="768" customWidth="1"/>
    <col min="12037" max="12042" width="10.88671875" style="768" customWidth="1"/>
    <col min="12043" max="12043" width="9.88671875" style="768" customWidth="1"/>
    <col min="12044" max="12289" width="9.109375" style="768"/>
    <col min="12290" max="12290" width="23.33203125" style="768" customWidth="1"/>
    <col min="12291" max="12291" width="10.88671875" style="768" customWidth="1"/>
    <col min="12292" max="12292" width="13.109375" style="768" customWidth="1"/>
    <col min="12293" max="12298" width="10.88671875" style="768" customWidth="1"/>
    <col min="12299" max="12299" width="9.88671875" style="768" customWidth="1"/>
    <col min="12300" max="12545" width="9.109375" style="768"/>
    <col min="12546" max="12546" width="23.33203125" style="768" customWidth="1"/>
    <col min="12547" max="12547" width="10.88671875" style="768" customWidth="1"/>
    <col min="12548" max="12548" width="13.109375" style="768" customWidth="1"/>
    <col min="12549" max="12554" width="10.88671875" style="768" customWidth="1"/>
    <col min="12555" max="12555" width="9.88671875" style="768" customWidth="1"/>
    <col min="12556" max="12801" width="9.109375" style="768"/>
    <col min="12802" max="12802" width="23.33203125" style="768" customWidth="1"/>
    <col min="12803" max="12803" width="10.88671875" style="768" customWidth="1"/>
    <col min="12804" max="12804" width="13.109375" style="768" customWidth="1"/>
    <col min="12805" max="12810" width="10.88671875" style="768" customWidth="1"/>
    <col min="12811" max="12811" width="9.88671875" style="768" customWidth="1"/>
    <col min="12812" max="13057" width="9.109375" style="768"/>
    <col min="13058" max="13058" width="23.33203125" style="768" customWidth="1"/>
    <col min="13059" max="13059" width="10.88671875" style="768" customWidth="1"/>
    <col min="13060" max="13060" width="13.109375" style="768" customWidth="1"/>
    <col min="13061" max="13066" width="10.88671875" style="768" customWidth="1"/>
    <col min="13067" max="13067" width="9.88671875" style="768" customWidth="1"/>
    <col min="13068" max="13313" width="9.109375" style="768"/>
    <col min="13314" max="13314" width="23.33203125" style="768" customWidth="1"/>
    <col min="13315" max="13315" width="10.88671875" style="768" customWidth="1"/>
    <col min="13316" max="13316" width="13.109375" style="768" customWidth="1"/>
    <col min="13317" max="13322" width="10.88671875" style="768" customWidth="1"/>
    <col min="13323" max="13323" width="9.88671875" style="768" customWidth="1"/>
    <col min="13324" max="13569" width="9.109375" style="768"/>
    <col min="13570" max="13570" width="23.33203125" style="768" customWidth="1"/>
    <col min="13571" max="13571" width="10.88671875" style="768" customWidth="1"/>
    <col min="13572" max="13572" width="13.109375" style="768" customWidth="1"/>
    <col min="13573" max="13578" width="10.88671875" style="768" customWidth="1"/>
    <col min="13579" max="13579" width="9.88671875" style="768" customWidth="1"/>
    <col min="13580" max="13825" width="9.109375" style="768"/>
    <col min="13826" max="13826" width="23.33203125" style="768" customWidth="1"/>
    <col min="13827" max="13827" width="10.88671875" style="768" customWidth="1"/>
    <col min="13828" max="13828" width="13.109375" style="768" customWidth="1"/>
    <col min="13829" max="13834" width="10.88671875" style="768" customWidth="1"/>
    <col min="13835" max="13835" width="9.88671875" style="768" customWidth="1"/>
    <col min="13836" max="14081" width="9.109375" style="768"/>
    <col min="14082" max="14082" width="23.33203125" style="768" customWidth="1"/>
    <col min="14083" max="14083" width="10.88671875" style="768" customWidth="1"/>
    <col min="14084" max="14084" width="13.109375" style="768" customWidth="1"/>
    <col min="14085" max="14090" width="10.88671875" style="768" customWidth="1"/>
    <col min="14091" max="14091" width="9.88671875" style="768" customWidth="1"/>
    <col min="14092" max="14337" width="9.109375" style="768"/>
    <col min="14338" max="14338" width="23.33203125" style="768" customWidth="1"/>
    <col min="14339" max="14339" width="10.88671875" style="768" customWidth="1"/>
    <col min="14340" max="14340" width="13.109375" style="768" customWidth="1"/>
    <col min="14341" max="14346" width="10.88671875" style="768" customWidth="1"/>
    <col min="14347" max="14347" width="9.88671875" style="768" customWidth="1"/>
    <col min="14348" max="14593" width="9.109375" style="768"/>
    <col min="14594" max="14594" width="23.33203125" style="768" customWidth="1"/>
    <col min="14595" max="14595" width="10.88671875" style="768" customWidth="1"/>
    <col min="14596" max="14596" width="13.109375" style="768" customWidth="1"/>
    <col min="14597" max="14602" width="10.88671875" style="768" customWidth="1"/>
    <col min="14603" max="14603" width="9.88671875" style="768" customWidth="1"/>
    <col min="14604" max="14849" width="9.109375" style="768"/>
    <col min="14850" max="14850" width="23.33203125" style="768" customWidth="1"/>
    <col min="14851" max="14851" width="10.88671875" style="768" customWidth="1"/>
    <col min="14852" max="14852" width="13.109375" style="768" customWidth="1"/>
    <col min="14853" max="14858" width="10.88671875" style="768" customWidth="1"/>
    <col min="14859" max="14859" width="9.88671875" style="768" customWidth="1"/>
    <col min="14860" max="15105" width="9.109375" style="768"/>
    <col min="15106" max="15106" width="23.33203125" style="768" customWidth="1"/>
    <col min="15107" max="15107" width="10.88671875" style="768" customWidth="1"/>
    <col min="15108" max="15108" width="13.109375" style="768" customWidth="1"/>
    <col min="15109" max="15114" width="10.88671875" style="768" customWidth="1"/>
    <col min="15115" max="15115" width="9.88671875" style="768" customWidth="1"/>
    <col min="15116" max="15361" width="9.109375" style="768"/>
    <col min="15362" max="15362" width="23.33203125" style="768" customWidth="1"/>
    <col min="15363" max="15363" width="10.88671875" style="768" customWidth="1"/>
    <col min="15364" max="15364" width="13.109375" style="768" customWidth="1"/>
    <col min="15365" max="15370" width="10.88671875" style="768" customWidth="1"/>
    <col min="15371" max="15371" width="9.88671875" style="768" customWidth="1"/>
    <col min="15372" max="15617" width="9.109375" style="768"/>
    <col min="15618" max="15618" width="23.33203125" style="768" customWidth="1"/>
    <col min="15619" max="15619" width="10.88671875" style="768" customWidth="1"/>
    <col min="15620" max="15620" width="13.109375" style="768" customWidth="1"/>
    <col min="15621" max="15626" width="10.88671875" style="768" customWidth="1"/>
    <col min="15627" max="15627" width="9.88671875" style="768" customWidth="1"/>
    <col min="15628" max="15873" width="9.109375" style="768"/>
    <col min="15874" max="15874" width="23.33203125" style="768" customWidth="1"/>
    <col min="15875" max="15875" width="10.88671875" style="768" customWidth="1"/>
    <col min="15876" max="15876" width="13.109375" style="768" customWidth="1"/>
    <col min="15877" max="15882" width="10.88671875" style="768" customWidth="1"/>
    <col min="15883" max="15883" width="9.88671875" style="768" customWidth="1"/>
    <col min="15884" max="16129" width="9.109375" style="768"/>
    <col min="16130" max="16130" width="23.33203125" style="768" customWidth="1"/>
    <col min="16131" max="16131" width="10.88671875" style="768" customWidth="1"/>
    <col min="16132" max="16132" width="13.109375" style="768" customWidth="1"/>
    <col min="16133" max="16138" width="10.88671875" style="768" customWidth="1"/>
    <col min="16139" max="16139" width="9.88671875" style="768" customWidth="1"/>
    <col min="16140" max="16384" width="9.109375" style="768"/>
  </cols>
  <sheetData>
    <row r="1" spans="2:4" ht="15" customHeight="1" x14ac:dyDescent="0.3">
      <c r="B1" s="768" t="s">
        <v>87</v>
      </c>
    </row>
    <row r="2" spans="2:4" ht="15" customHeight="1" x14ac:dyDescent="0.3">
      <c r="B2" s="3"/>
      <c r="C2" s="1"/>
      <c r="D2" s="1"/>
    </row>
    <row r="3" spans="2:4" ht="15" customHeight="1" x14ac:dyDescent="0.3">
      <c r="B3" s="29" t="s">
        <v>88</v>
      </c>
      <c r="C3" s="30">
        <v>300000</v>
      </c>
      <c r="D3" s="29" t="s">
        <v>89</v>
      </c>
    </row>
    <row r="4" spans="2:4" ht="15" customHeight="1" x14ac:dyDescent="0.3">
      <c r="B4" s="29" t="s">
        <v>90</v>
      </c>
      <c r="C4" s="30">
        <v>450000</v>
      </c>
      <c r="D4" s="29" t="s">
        <v>91</v>
      </c>
    </row>
    <row r="5" spans="2:4" ht="15" customHeight="1" x14ac:dyDescent="0.3">
      <c r="B5" s="34" t="s">
        <v>92</v>
      </c>
      <c r="C5" s="31"/>
    </row>
    <row r="6" spans="2:4" ht="15" customHeight="1" x14ac:dyDescent="0.3">
      <c r="B6" s="29" t="s">
        <v>529</v>
      </c>
      <c r="C6" s="30">
        <v>225000</v>
      </c>
      <c r="D6" s="29"/>
    </row>
    <row r="7" spans="2:4" ht="15" customHeight="1" thickBot="1" x14ac:dyDescent="0.35">
      <c r="B7" s="29" t="s">
        <v>549</v>
      </c>
      <c r="C7" s="32">
        <v>45000</v>
      </c>
      <c r="D7" s="29"/>
    </row>
    <row r="8" spans="2:4" ht="15" customHeight="1" x14ac:dyDescent="0.3">
      <c r="B8" s="29" t="s">
        <v>93</v>
      </c>
      <c r="C8" s="30">
        <f>SUM(C3:C7)</f>
        <v>1020000</v>
      </c>
      <c r="D8" s="29"/>
    </row>
    <row r="9" spans="2:4" ht="15" customHeight="1" thickBot="1" x14ac:dyDescent="0.35">
      <c r="B9" s="29" t="s">
        <v>94</v>
      </c>
      <c r="C9" s="32">
        <v>600000</v>
      </c>
      <c r="D9" s="29"/>
    </row>
    <row r="10" spans="2:4" ht="15" customHeight="1" x14ac:dyDescent="0.3">
      <c r="B10" s="29" t="s">
        <v>95</v>
      </c>
      <c r="C10" s="30">
        <f>SUM(C8:C9)</f>
        <v>1620000</v>
      </c>
      <c r="D10" s="29"/>
    </row>
    <row r="11" spans="2:4" ht="15" customHeight="1" thickBot="1" x14ac:dyDescent="0.35">
      <c r="B11" s="29" t="s">
        <v>96</v>
      </c>
      <c r="C11" s="30">
        <v>1800000</v>
      </c>
      <c r="D11" s="29"/>
    </row>
    <row r="12" spans="2:4" ht="15" customHeight="1" thickBot="1" x14ac:dyDescent="0.35">
      <c r="B12" s="29" t="s">
        <v>97</v>
      </c>
      <c r="C12" s="33">
        <f>C11-C10</f>
        <v>180000</v>
      </c>
      <c r="D12" s="29"/>
    </row>
    <row r="13" spans="2:4" ht="15" customHeight="1" x14ac:dyDescent="0.3"/>
    <row r="14" spans="2:4" ht="15" customHeight="1" x14ac:dyDescent="0.3">
      <c r="B14" s="768" t="s">
        <v>98</v>
      </c>
      <c r="D14" s="770">
        <v>1500</v>
      </c>
    </row>
    <row r="15" spans="2:4" s="769" customFormat="1" ht="15" customHeight="1" x14ac:dyDescent="0.3">
      <c r="B15" s="768"/>
      <c r="C15" s="768"/>
    </row>
    <row r="16" spans="2:4" s="769" customFormat="1" ht="15" customHeight="1" x14ac:dyDescent="0.3">
      <c r="B16" s="768"/>
      <c r="C16" s="768"/>
    </row>
    <row r="17" spans="2:6" s="769" customFormat="1" ht="15" customHeight="1" x14ac:dyDescent="0.3">
      <c r="B17" s="771" t="s">
        <v>99</v>
      </c>
      <c r="C17" s="768"/>
    </row>
    <row r="18" spans="2:6" s="769" customFormat="1" ht="15" customHeight="1" x14ac:dyDescent="0.3">
      <c r="B18" s="768" t="s">
        <v>100</v>
      </c>
      <c r="C18" s="772">
        <f>C3/(D14*C19)</f>
        <v>10</v>
      </c>
    </row>
    <row r="19" spans="2:6" ht="18" x14ac:dyDescent="0.4">
      <c r="B19" s="768" t="s">
        <v>111</v>
      </c>
      <c r="C19" s="772">
        <v>20</v>
      </c>
    </row>
    <row r="20" spans="2:6" x14ac:dyDescent="0.3">
      <c r="B20" s="768" t="s">
        <v>101</v>
      </c>
      <c r="C20" s="773">
        <f>C4/(D14*C22)</f>
        <v>1.5</v>
      </c>
    </row>
    <row r="21" spans="2:6" x14ac:dyDescent="0.3">
      <c r="B21" s="768" t="s">
        <v>102</v>
      </c>
      <c r="C21" s="772">
        <v>2000</v>
      </c>
      <c r="D21" s="774"/>
    </row>
    <row r="22" spans="2:6" x14ac:dyDescent="0.3">
      <c r="B22" s="768" t="s">
        <v>103</v>
      </c>
      <c r="C22" s="772">
        <v>200</v>
      </c>
    </row>
    <row r="23" spans="2:6" ht="18" x14ac:dyDescent="0.4">
      <c r="B23" s="768" t="s">
        <v>112</v>
      </c>
      <c r="C23" s="772">
        <v>300</v>
      </c>
    </row>
    <row r="24" spans="2:6" s="769" customFormat="1" x14ac:dyDescent="0.3">
      <c r="B24" s="768" t="s">
        <v>104</v>
      </c>
      <c r="C24" s="772">
        <f>125+50</f>
        <v>175</v>
      </c>
    </row>
    <row r="25" spans="2:6" s="769" customFormat="1" x14ac:dyDescent="0.3">
      <c r="B25" s="768" t="s">
        <v>105</v>
      </c>
      <c r="C25" s="772">
        <v>125</v>
      </c>
    </row>
    <row r="26" spans="2:6" s="769" customFormat="1" x14ac:dyDescent="0.3">
      <c r="B26" s="768"/>
      <c r="C26" s="768"/>
      <c r="F26" s="775"/>
    </row>
    <row r="27" spans="2:6" s="769" customFormat="1" x14ac:dyDescent="0.3">
      <c r="B27" s="768"/>
      <c r="C27" s="768"/>
      <c r="F27" s="775"/>
    </row>
    <row r="28" spans="2:6" s="769" customFormat="1" x14ac:dyDescent="0.3">
      <c r="B28" s="776" t="s">
        <v>106</v>
      </c>
      <c r="C28" s="768"/>
    </row>
    <row r="29" spans="2:6" s="769" customFormat="1" x14ac:dyDescent="0.3">
      <c r="B29" s="768" t="s">
        <v>108</v>
      </c>
      <c r="C29" s="768"/>
      <c r="D29" s="772">
        <f>C24*C18</f>
        <v>1750</v>
      </c>
      <c r="F29" s="768"/>
    </row>
    <row r="30" spans="2:6" s="769" customFormat="1" x14ac:dyDescent="0.3">
      <c r="B30" s="777" t="s">
        <v>550</v>
      </c>
      <c r="C30" s="768"/>
      <c r="D30" s="772">
        <f>10*C18</f>
        <v>100</v>
      </c>
      <c r="F30" s="768"/>
    </row>
    <row r="31" spans="2:6" s="769" customFormat="1" x14ac:dyDescent="0.3">
      <c r="B31" s="778" t="s">
        <v>109</v>
      </c>
      <c r="C31" s="779"/>
      <c r="D31" s="781">
        <f>SUM(D29:D30)</f>
        <v>1850</v>
      </c>
      <c r="F31" s="768"/>
    </row>
    <row r="33" spans="2:6" x14ac:dyDescent="0.3">
      <c r="B33" s="782" t="s">
        <v>551</v>
      </c>
      <c r="C33" s="769"/>
    </row>
    <row r="34" spans="2:6" x14ac:dyDescent="0.3">
      <c r="B34" s="769" t="s">
        <v>552</v>
      </c>
      <c r="C34" s="769"/>
      <c r="D34" s="773">
        <f>C24*C20</f>
        <v>262.5</v>
      </c>
    </row>
    <row r="35" spans="2:6" x14ac:dyDescent="0.3">
      <c r="B35" s="769" t="str">
        <f>B30</f>
        <v>+Økning VIA (10 enheter)</v>
      </c>
      <c r="C35" s="769"/>
      <c r="D35" s="773">
        <f>10*C20/2</f>
        <v>7.5</v>
      </c>
    </row>
    <row r="36" spans="2:6" x14ac:dyDescent="0.3">
      <c r="B36" s="783" t="s">
        <v>110</v>
      </c>
      <c r="C36" s="780"/>
      <c r="D36" s="784">
        <f>SUM(D34:D35)</f>
        <v>270</v>
      </c>
    </row>
    <row r="37" spans="2:6" x14ac:dyDescent="0.3">
      <c r="F37" s="768"/>
    </row>
    <row r="40" spans="2:6" x14ac:dyDescent="0.3">
      <c r="B40" s="3" t="s">
        <v>81</v>
      </c>
      <c r="C40" s="10"/>
      <c r="D40" s="1"/>
      <c r="E40" s="1"/>
      <c r="F40" s="1"/>
    </row>
    <row r="41" spans="2:6" x14ac:dyDescent="0.3">
      <c r="B41" s="13" t="s">
        <v>69</v>
      </c>
      <c r="C41" s="13" t="s">
        <v>719</v>
      </c>
      <c r="D41" s="13" t="s">
        <v>83</v>
      </c>
      <c r="E41" s="14" t="s">
        <v>141</v>
      </c>
      <c r="F41" s="14" t="s">
        <v>140</v>
      </c>
    </row>
    <row r="42" spans="2:6" x14ac:dyDescent="0.3">
      <c r="B42" s="15" t="s">
        <v>586</v>
      </c>
      <c r="C42" s="15" t="s">
        <v>587</v>
      </c>
      <c r="D42" s="15" t="s">
        <v>588</v>
      </c>
      <c r="E42" s="15" t="s">
        <v>589</v>
      </c>
      <c r="F42" s="15" t="s">
        <v>590</v>
      </c>
    </row>
    <row r="43" spans="2:6" x14ac:dyDescent="0.3">
      <c r="B43" s="16" t="s">
        <v>85</v>
      </c>
      <c r="C43" s="16" t="s">
        <v>212</v>
      </c>
      <c r="D43" s="16" t="s">
        <v>213</v>
      </c>
      <c r="E43" s="16"/>
      <c r="F43" s="16"/>
    </row>
    <row r="44" spans="2:6" x14ac:dyDescent="0.3">
      <c r="B44" s="23">
        <f>C19*D31</f>
        <v>37000</v>
      </c>
      <c r="C44" s="23">
        <f>C21*C19</f>
        <v>40000</v>
      </c>
      <c r="D44" s="23">
        <v>40200</v>
      </c>
      <c r="E44" s="23">
        <f>B44-C44</f>
        <v>-3000</v>
      </c>
      <c r="F44" s="23">
        <f>C44-D44</f>
        <v>-200</v>
      </c>
    </row>
    <row r="45" spans="2:6" x14ac:dyDescent="0.3">
      <c r="B45" s="10"/>
      <c r="C45" s="1"/>
      <c r="D45" s="1"/>
      <c r="E45" s="9"/>
      <c r="F45" s="9"/>
    </row>
    <row r="46" spans="2:6" x14ac:dyDescent="0.3">
      <c r="B46" s="17" t="s">
        <v>214</v>
      </c>
      <c r="C46" s="1"/>
      <c r="D46" s="10"/>
      <c r="E46" s="27"/>
      <c r="F46" s="27"/>
    </row>
    <row r="47" spans="2:6" x14ac:dyDescent="0.3">
      <c r="B47" s="13" t="s">
        <v>69</v>
      </c>
      <c r="C47" s="13" t="s">
        <v>719</v>
      </c>
      <c r="D47" s="21" t="s">
        <v>83</v>
      </c>
      <c r="E47" s="13" t="s">
        <v>79</v>
      </c>
      <c r="F47" s="28" t="s">
        <v>78</v>
      </c>
    </row>
    <row r="48" spans="2:6" x14ac:dyDescent="0.3">
      <c r="B48" s="15" t="s">
        <v>586</v>
      </c>
      <c r="C48" s="15" t="s">
        <v>591</v>
      </c>
      <c r="D48" s="15" t="s">
        <v>588</v>
      </c>
      <c r="E48" s="15" t="s">
        <v>589</v>
      </c>
      <c r="F48" s="15" t="s">
        <v>590</v>
      </c>
    </row>
    <row r="49" spans="2:6" x14ac:dyDescent="0.3">
      <c r="B49" s="16" t="s">
        <v>215</v>
      </c>
      <c r="C49" s="16" t="s">
        <v>216</v>
      </c>
      <c r="D49" s="16" t="s">
        <v>217</v>
      </c>
      <c r="E49" s="16"/>
      <c r="F49" s="16"/>
    </row>
    <row r="50" spans="2:6" x14ac:dyDescent="0.3">
      <c r="B50" s="23">
        <f>C22*D36</f>
        <v>54000</v>
      </c>
      <c r="C50" s="23">
        <f>C22*C23</f>
        <v>60000</v>
      </c>
      <c r="D50" s="23">
        <v>58500</v>
      </c>
      <c r="E50" s="23">
        <f>B50-C50</f>
        <v>-6000</v>
      </c>
      <c r="F50" s="23">
        <f>C50-D50</f>
        <v>1500</v>
      </c>
    </row>
  </sheetData>
  <printOptions gridLinesSet="0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>&amp;A</oddHeader>
    <oddFooter>&amp;CLøsning kapittel 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6"/>
  <sheetViews>
    <sheetView topLeftCell="A88" workbookViewId="0">
      <selection activeCell="D27" sqref="D27"/>
    </sheetView>
  </sheetViews>
  <sheetFormatPr baseColWidth="10" defaultColWidth="11.33203125" defaultRowHeight="14.4" x14ac:dyDescent="0.3"/>
  <cols>
    <col min="1" max="1" width="22.109375" style="576" customWidth="1"/>
    <col min="2" max="2" width="21.109375" style="576" customWidth="1"/>
    <col min="3" max="3" width="20.109375" style="576" customWidth="1"/>
    <col min="4" max="4" width="15.88671875" style="576" customWidth="1"/>
    <col min="5" max="5" width="14.6640625" style="576" customWidth="1"/>
    <col min="6" max="6" width="15.33203125" style="576" customWidth="1"/>
    <col min="7" max="16384" width="11.33203125" style="576"/>
  </cols>
  <sheetData>
    <row r="1" spans="1:8" x14ac:dyDescent="0.3">
      <c r="A1" s="702" t="s">
        <v>1098</v>
      </c>
    </row>
    <row r="3" spans="1:8" x14ac:dyDescent="0.3">
      <c r="A3" s="576" t="s">
        <v>1097</v>
      </c>
    </row>
    <row r="4" spans="1:8" x14ac:dyDescent="0.3">
      <c r="A4" s="576" t="s">
        <v>1096</v>
      </c>
    </row>
    <row r="5" spans="1:8" x14ac:dyDescent="0.3">
      <c r="A5" s="576" t="s">
        <v>821</v>
      </c>
      <c r="C5" s="723">
        <v>5</v>
      </c>
      <c r="D5" s="576" t="s">
        <v>146</v>
      </c>
    </row>
    <row r="6" spans="1:8" x14ac:dyDescent="0.3">
      <c r="A6" s="576" t="s">
        <v>1095</v>
      </c>
      <c r="C6" s="723">
        <v>1</v>
      </c>
      <c r="D6" s="576" t="s">
        <v>678</v>
      </c>
      <c r="E6" s="576" t="s">
        <v>1094</v>
      </c>
    </row>
    <row r="7" spans="1:8" x14ac:dyDescent="0.3">
      <c r="A7" s="577" t="s">
        <v>1093</v>
      </c>
      <c r="C7" s="723">
        <v>2</v>
      </c>
      <c r="D7" s="576" t="s">
        <v>150</v>
      </c>
      <c r="E7" s="576" t="s">
        <v>821</v>
      </c>
      <c r="G7" s="767">
        <v>1</v>
      </c>
    </row>
    <row r="8" spans="1:8" x14ac:dyDescent="0.3">
      <c r="A8" s="576" t="s">
        <v>1092</v>
      </c>
      <c r="C8" s="723">
        <v>50</v>
      </c>
      <c r="E8" s="577" t="s">
        <v>592</v>
      </c>
      <c r="G8" s="767">
        <v>1</v>
      </c>
    </row>
    <row r="9" spans="1:8" x14ac:dyDescent="0.3">
      <c r="A9" s="576" t="s">
        <v>1091</v>
      </c>
      <c r="C9" s="723">
        <v>220</v>
      </c>
      <c r="E9" s="577" t="s">
        <v>593</v>
      </c>
      <c r="G9" s="767">
        <v>0</v>
      </c>
    </row>
    <row r="10" spans="1:8" x14ac:dyDescent="0.3">
      <c r="A10" s="577" t="s">
        <v>1090</v>
      </c>
      <c r="C10" s="723">
        <v>200</v>
      </c>
    </row>
    <row r="11" spans="1:8" x14ac:dyDescent="0.3">
      <c r="A11" s="576" t="s">
        <v>1089</v>
      </c>
      <c r="C11" s="723">
        <v>36075</v>
      </c>
      <c r="E11" s="576" t="s">
        <v>1088</v>
      </c>
    </row>
    <row r="12" spans="1:8" x14ac:dyDescent="0.3">
      <c r="A12" s="577" t="s">
        <v>1087</v>
      </c>
      <c r="C12" s="723">
        <v>61200</v>
      </c>
    </row>
    <row r="13" spans="1:8" x14ac:dyDescent="0.3">
      <c r="A13" s="577" t="s">
        <v>1086</v>
      </c>
      <c r="C13" s="723">
        <v>162.5</v>
      </c>
      <c r="E13" s="577" t="s">
        <v>1085</v>
      </c>
      <c r="G13" s="723">
        <v>140</v>
      </c>
      <c r="H13" s="576" t="s">
        <v>990</v>
      </c>
    </row>
    <row r="14" spans="1:8" x14ac:dyDescent="0.3">
      <c r="A14" s="588" t="s">
        <v>1084</v>
      </c>
      <c r="C14" s="723">
        <v>310</v>
      </c>
      <c r="E14" s="576" t="s">
        <v>1083</v>
      </c>
      <c r="G14" s="723">
        <v>10</v>
      </c>
    </row>
    <row r="15" spans="1:8" x14ac:dyDescent="0.3">
      <c r="E15" s="576" t="s">
        <v>884</v>
      </c>
      <c r="G15" s="723">
        <v>20</v>
      </c>
    </row>
    <row r="19" spans="1:3" x14ac:dyDescent="0.3">
      <c r="A19" s="576" t="s">
        <v>836</v>
      </c>
    </row>
    <row r="20" spans="1:3" x14ac:dyDescent="0.3">
      <c r="A20" s="576" t="s">
        <v>850</v>
      </c>
      <c r="B20" s="576">
        <f>(G13+G14+G15)*C5</f>
        <v>850</v>
      </c>
      <c r="C20" s="576" t="s">
        <v>146</v>
      </c>
    </row>
    <row r="22" spans="1:3" x14ac:dyDescent="0.3">
      <c r="A22" s="576" t="s">
        <v>1082</v>
      </c>
      <c r="B22" s="576">
        <f>(G13+G14+G15)*C6</f>
        <v>170</v>
      </c>
      <c r="C22" s="576" t="s">
        <v>150</v>
      </c>
    </row>
    <row r="23" spans="1:3" x14ac:dyDescent="0.3">
      <c r="A23" s="576" t="s">
        <v>1081</v>
      </c>
      <c r="B23" s="576">
        <f>(G13+G14)*C7</f>
        <v>300</v>
      </c>
      <c r="C23" s="576" t="s">
        <v>150</v>
      </c>
    </row>
    <row r="26" spans="1:3" x14ac:dyDescent="0.3">
      <c r="A26" s="576" t="s">
        <v>751</v>
      </c>
    </row>
    <row r="28" spans="1:3" x14ac:dyDescent="0.3">
      <c r="A28" s="577" t="s">
        <v>788</v>
      </c>
    </row>
    <row r="29" spans="1:3" x14ac:dyDescent="0.3">
      <c r="A29" s="576" t="s">
        <v>1080</v>
      </c>
      <c r="B29" s="576">
        <v>800</v>
      </c>
      <c r="C29" s="586"/>
    </row>
    <row r="30" spans="1:3" x14ac:dyDescent="0.3">
      <c r="A30" s="576" t="s">
        <v>1079</v>
      </c>
      <c r="B30" s="576">
        <v>1500</v>
      </c>
    </row>
    <row r="31" spans="1:3" x14ac:dyDescent="0.3">
      <c r="A31" s="576" t="s">
        <v>825</v>
      </c>
      <c r="B31" s="576">
        <f>B29*C8-B30</f>
        <v>38500</v>
      </c>
      <c r="C31" s="576" t="s">
        <v>1078</v>
      </c>
    </row>
    <row r="35" spans="1:7" x14ac:dyDescent="0.3">
      <c r="A35" s="576" t="s">
        <v>744</v>
      </c>
    </row>
    <row r="36" spans="1:7" ht="15" thickBot="1" x14ac:dyDescent="0.35"/>
    <row r="37" spans="1:7" x14ac:dyDescent="0.3">
      <c r="A37" s="594" t="s">
        <v>81</v>
      </c>
    </row>
    <row r="38" spans="1:7" ht="15" thickBot="1" x14ac:dyDescent="0.35">
      <c r="A38" s="595"/>
    </row>
    <row r="39" spans="1:7" x14ac:dyDescent="0.3">
      <c r="A39" s="583" t="s">
        <v>679</v>
      </c>
      <c r="B39" s="584" t="s">
        <v>735</v>
      </c>
      <c r="C39" s="583" t="s">
        <v>734</v>
      </c>
      <c r="D39" s="584" t="s">
        <v>141</v>
      </c>
      <c r="E39" s="584" t="s">
        <v>140</v>
      </c>
      <c r="F39" s="584" t="s">
        <v>733</v>
      </c>
      <c r="G39" s="621"/>
    </row>
    <row r="40" spans="1:7" ht="15" thickBot="1" x14ac:dyDescent="0.35">
      <c r="A40" s="581" t="s">
        <v>754</v>
      </c>
      <c r="B40" s="581" t="s">
        <v>771</v>
      </c>
      <c r="C40" s="581" t="s">
        <v>770</v>
      </c>
      <c r="D40" s="721" t="s">
        <v>766</v>
      </c>
      <c r="E40" s="581" t="s">
        <v>262</v>
      </c>
      <c r="F40" s="581" t="s">
        <v>729</v>
      </c>
      <c r="G40" s="621"/>
    </row>
    <row r="41" spans="1:7" ht="15" thickBot="1" x14ac:dyDescent="0.35">
      <c r="A41" s="590">
        <f>B20*C8</f>
        <v>42500</v>
      </c>
      <c r="B41" s="589">
        <f>C8*B29</f>
        <v>40000</v>
      </c>
      <c r="C41" s="589">
        <f>B31</f>
        <v>38500</v>
      </c>
      <c r="D41" s="589">
        <f>A41-B41</f>
        <v>2500</v>
      </c>
      <c r="E41" s="589">
        <f>B41-C41</f>
        <v>1500</v>
      </c>
      <c r="F41" s="589">
        <f>A41-C41</f>
        <v>4000</v>
      </c>
      <c r="G41" s="621"/>
    </row>
    <row r="44" spans="1:7" ht="15" thickBot="1" x14ac:dyDescent="0.35"/>
    <row r="45" spans="1:7" x14ac:dyDescent="0.3">
      <c r="A45" s="594" t="s">
        <v>1077</v>
      </c>
    </row>
    <row r="46" spans="1:7" ht="15" thickBot="1" x14ac:dyDescent="0.35">
      <c r="A46" s="591"/>
    </row>
    <row r="47" spans="1:7" x14ac:dyDescent="0.3">
      <c r="A47" s="583" t="s">
        <v>679</v>
      </c>
      <c r="B47" s="584" t="s">
        <v>735</v>
      </c>
      <c r="C47" s="583" t="s">
        <v>734</v>
      </c>
      <c r="D47" s="584" t="s">
        <v>79</v>
      </c>
      <c r="E47" s="584" t="s">
        <v>769</v>
      </c>
      <c r="F47" s="584" t="s">
        <v>733</v>
      </c>
    </row>
    <row r="48" spans="1:7" ht="15" thickBot="1" x14ac:dyDescent="0.35">
      <c r="A48" s="581" t="s">
        <v>768</v>
      </c>
      <c r="B48" s="581" t="s">
        <v>767</v>
      </c>
      <c r="C48" s="581" t="s">
        <v>730</v>
      </c>
      <c r="D48" s="721" t="s">
        <v>766</v>
      </c>
      <c r="E48" s="581" t="s">
        <v>262</v>
      </c>
      <c r="F48" s="581" t="s">
        <v>729</v>
      </c>
    </row>
    <row r="49" spans="1:6" ht="15" thickBot="1" x14ac:dyDescent="0.35">
      <c r="A49" s="590">
        <f>C9*B22</f>
        <v>37400</v>
      </c>
      <c r="B49" s="589">
        <f>C9*C13</f>
        <v>35750</v>
      </c>
      <c r="C49" s="589">
        <f>C11</f>
        <v>36075</v>
      </c>
      <c r="D49" s="589">
        <f>A49-B49</f>
        <v>1650</v>
      </c>
      <c r="E49" s="589">
        <f>B49-C49</f>
        <v>-325</v>
      </c>
      <c r="F49" s="589">
        <f>A49-C49</f>
        <v>1325</v>
      </c>
    </row>
    <row r="51" spans="1:6" ht="15" thickBot="1" x14ac:dyDescent="0.35"/>
    <row r="52" spans="1:6" x14ac:dyDescent="0.3">
      <c r="A52" s="594" t="s">
        <v>1076</v>
      </c>
    </row>
    <row r="53" spans="1:6" ht="15" thickBot="1" x14ac:dyDescent="0.35">
      <c r="A53" s="591"/>
    </row>
    <row r="54" spans="1:6" x14ac:dyDescent="0.3">
      <c r="A54" s="583" t="s">
        <v>679</v>
      </c>
      <c r="B54" s="584" t="s">
        <v>735</v>
      </c>
      <c r="C54" s="583" t="s">
        <v>734</v>
      </c>
      <c r="D54" s="584" t="s">
        <v>79</v>
      </c>
      <c r="E54" s="584" t="s">
        <v>769</v>
      </c>
      <c r="F54" s="584" t="s">
        <v>733</v>
      </c>
    </row>
    <row r="55" spans="1:6" ht="15" thickBot="1" x14ac:dyDescent="0.35">
      <c r="A55" s="581" t="s">
        <v>768</v>
      </c>
      <c r="B55" s="581" t="s">
        <v>767</v>
      </c>
      <c r="C55" s="581" t="s">
        <v>730</v>
      </c>
      <c r="D55" s="721" t="s">
        <v>766</v>
      </c>
      <c r="E55" s="581" t="s">
        <v>262</v>
      </c>
      <c r="F55" s="581" t="s">
        <v>729</v>
      </c>
    </row>
    <row r="56" spans="1:6" ht="15" thickBot="1" x14ac:dyDescent="0.35">
      <c r="A56" s="590">
        <f>C10*B23</f>
        <v>60000</v>
      </c>
      <c r="B56" s="589">
        <f>C10*C14</f>
        <v>62000</v>
      </c>
      <c r="C56" s="589">
        <f>C12</f>
        <v>61200</v>
      </c>
      <c r="D56" s="589">
        <f>A56-B56</f>
        <v>-2000</v>
      </c>
      <c r="E56" s="589">
        <f>B56-C56</f>
        <v>800</v>
      </c>
      <c r="F56" s="589">
        <f>A56-C56</f>
        <v>-1200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1"/>
  <sheetViews>
    <sheetView topLeftCell="A40" workbookViewId="0">
      <selection activeCell="F18" sqref="F18"/>
    </sheetView>
  </sheetViews>
  <sheetFormatPr baseColWidth="10" defaultColWidth="11.33203125" defaultRowHeight="14.4" x14ac:dyDescent="0.3"/>
  <cols>
    <col min="1" max="1" width="4.109375" style="576" customWidth="1"/>
    <col min="2" max="2" width="23" style="576" customWidth="1"/>
    <col min="3" max="3" width="12.109375" style="576" customWidth="1"/>
    <col min="4" max="4" width="17" style="576" customWidth="1"/>
    <col min="5" max="5" width="14.109375" style="576" customWidth="1"/>
    <col min="6" max="6" width="15.88671875" style="576" customWidth="1"/>
    <col min="7" max="7" width="14.88671875" style="576" customWidth="1"/>
    <col min="8" max="16384" width="11.33203125" style="576"/>
  </cols>
  <sheetData>
    <row r="1" spans="2:5" x14ac:dyDescent="0.3">
      <c r="B1" s="596" t="s">
        <v>1110</v>
      </c>
    </row>
    <row r="2" spans="2:5" x14ac:dyDescent="0.3">
      <c r="C2" s="621" t="s">
        <v>1133</v>
      </c>
    </row>
    <row r="3" spans="2:5" x14ac:dyDescent="0.3">
      <c r="C3" s="786" t="s">
        <v>1134</v>
      </c>
      <c r="D3" s="787" t="s">
        <v>928</v>
      </c>
      <c r="E3" s="787" t="s">
        <v>794</v>
      </c>
    </row>
    <row r="4" spans="2:5" x14ac:dyDescent="0.3">
      <c r="B4" s="577" t="s">
        <v>821</v>
      </c>
      <c r="C4" s="725">
        <v>60</v>
      </c>
      <c r="D4" s="725">
        <v>12</v>
      </c>
      <c r="E4" s="598">
        <f>C4*D4</f>
        <v>720</v>
      </c>
    </row>
    <row r="5" spans="2:5" x14ac:dyDescent="0.3">
      <c r="B5" s="576" t="s">
        <v>90</v>
      </c>
      <c r="C5" s="725">
        <v>4</v>
      </c>
      <c r="D5" s="725">
        <v>240</v>
      </c>
      <c r="E5" s="598">
        <f>C5*D5</f>
        <v>960</v>
      </c>
    </row>
    <row r="6" spans="2:5" x14ac:dyDescent="0.3">
      <c r="B6" s="577" t="s">
        <v>937</v>
      </c>
      <c r="C6" s="725">
        <v>4</v>
      </c>
      <c r="D6" s="725">
        <v>360</v>
      </c>
      <c r="E6" s="598">
        <f>C6*D6</f>
        <v>1440</v>
      </c>
    </row>
    <row r="7" spans="2:5" x14ac:dyDescent="0.3">
      <c r="B7" s="576" t="s">
        <v>93</v>
      </c>
      <c r="C7" s="598"/>
      <c r="D7" s="598"/>
      <c r="E7" s="598">
        <f>SUM(E4:E6)</f>
        <v>3120</v>
      </c>
    </row>
    <row r="8" spans="2:5" ht="15" thickBot="1" x14ac:dyDescent="0.35">
      <c r="B8" s="597" t="s">
        <v>818</v>
      </c>
      <c r="C8" s="788">
        <v>1</v>
      </c>
      <c r="D8" s="788">
        <v>1000</v>
      </c>
      <c r="E8" s="601">
        <f>C8*D8</f>
        <v>1000</v>
      </c>
    </row>
    <row r="9" spans="2:5" ht="15" thickBot="1" x14ac:dyDescent="0.35">
      <c r="B9" s="603" t="s">
        <v>95</v>
      </c>
      <c r="C9" s="601"/>
      <c r="D9" s="601"/>
      <c r="E9" s="657">
        <f>SUM(E7:E8)</f>
        <v>4120</v>
      </c>
    </row>
    <row r="10" spans="2:5" x14ac:dyDescent="0.3">
      <c r="C10" s="598"/>
      <c r="D10" s="598"/>
      <c r="E10" s="598"/>
    </row>
    <row r="11" spans="2:5" x14ac:dyDescent="0.3">
      <c r="C11" s="598"/>
      <c r="D11" s="598"/>
      <c r="E11" s="598"/>
    </row>
    <row r="12" spans="2:5" x14ac:dyDescent="0.3">
      <c r="B12" s="576" t="s">
        <v>473</v>
      </c>
      <c r="C12" s="725">
        <v>5000</v>
      </c>
      <c r="D12" s="598"/>
      <c r="E12" s="598"/>
    </row>
    <row r="14" spans="2:5" x14ac:dyDescent="0.3">
      <c r="B14" s="588" t="s">
        <v>1058</v>
      </c>
    </row>
    <row r="15" spans="2:5" x14ac:dyDescent="0.3">
      <c r="B15" s="576" t="s">
        <v>1109</v>
      </c>
      <c r="C15" s="723">
        <v>1</v>
      </c>
    </row>
    <row r="16" spans="2:5" x14ac:dyDescent="0.3">
      <c r="B16" s="576" t="s">
        <v>1056</v>
      </c>
      <c r="C16" s="723">
        <v>0.5</v>
      </c>
    </row>
    <row r="18" spans="1:6" x14ac:dyDescent="0.3">
      <c r="A18" s="576" t="s">
        <v>189</v>
      </c>
      <c r="B18" s="576" t="s">
        <v>1108</v>
      </c>
    </row>
    <row r="20" spans="1:6" x14ac:dyDescent="0.3">
      <c r="B20" s="576" t="s">
        <v>821</v>
      </c>
      <c r="C20" s="598">
        <f>C15*C4*D4</f>
        <v>720</v>
      </c>
      <c r="D20" s="598"/>
      <c r="E20" s="598"/>
    </row>
    <row r="21" spans="1:6" x14ac:dyDescent="0.3">
      <c r="B21" s="576" t="s">
        <v>90</v>
      </c>
      <c r="C21" s="598">
        <f>C16*C5*D5</f>
        <v>480</v>
      </c>
      <c r="D21" s="598"/>
      <c r="E21" s="598"/>
    </row>
    <row r="22" spans="1:6" x14ac:dyDescent="0.3">
      <c r="B22" s="708" t="s">
        <v>1107</v>
      </c>
      <c r="C22" s="715">
        <f>C16*C6*D6</f>
        <v>720</v>
      </c>
      <c r="D22" s="598"/>
      <c r="E22" s="598"/>
    </row>
    <row r="23" spans="1:6" x14ac:dyDescent="0.3">
      <c r="B23" s="708" t="s">
        <v>1106</v>
      </c>
      <c r="C23" s="715">
        <f>SUM(C20:C22)</f>
        <v>1920</v>
      </c>
      <c r="D23" s="598"/>
      <c r="E23" s="598"/>
    </row>
    <row r="24" spans="1:6" x14ac:dyDescent="0.3">
      <c r="C24" s="598"/>
      <c r="D24" s="598"/>
      <c r="E24" s="598"/>
    </row>
    <row r="25" spans="1:6" x14ac:dyDescent="0.3">
      <c r="A25" s="576" t="s">
        <v>191</v>
      </c>
      <c r="B25" s="577" t="s">
        <v>1105</v>
      </c>
      <c r="C25" s="725">
        <v>270</v>
      </c>
      <c r="D25" s="598"/>
      <c r="E25" s="598"/>
    </row>
    <row r="26" spans="1:6" x14ac:dyDescent="0.3">
      <c r="B26" s="576" t="s">
        <v>1104</v>
      </c>
      <c r="C26" s="725">
        <v>300</v>
      </c>
      <c r="D26" s="598"/>
      <c r="E26" s="598"/>
    </row>
    <row r="27" spans="1:6" x14ac:dyDescent="0.3">
      <c r="B27" s="576" t="s">
        <v>135</v>
      </c>
      <c r="C27" s="725">
        <v>250</v>
      </c>
      <c r="D27" s="598"/>
      <c r="E27" s="598"/>
    </row>
    <row r="28" spans="1:6" x14ac:dyDescent="0.3">
      <c r="C28" s="598"/>
      <c r="D28" s="598"/>
      <c r="E28" s="598"/>
    </row>
    <row r="29" spans="1:6" x14ac:dyDescent="0.3">
      <c r="B29" s="576" t="s">
        <v>1135</v>
      </c>
      <c r="C29" s="598"/>
      <c r="D29" s="598"/>
      <c r="E29" s="598">
        <f>C26-C25</f>
        <v>30</v>
      </c>
      <c r="F29" s="576" t="s">
        <v>1136</v>
      </c>
    </row>
    <row r="30" spans="1:6" x14ac:dyDescent="0.3">
      <c r="C30" s="598"/>
      <c r="D30" s="598"/>
      <c r="E30" s="598"/>
    </row>
    <row r="31" spans="1:6" x14ac:dyDescent="0.3">
      <c r="A31" s="576" t="s">
        <v>197</v>
      </c>
      <c r="B31" s="576" t="s">
        <v>1062</v>
      </c>
      <c r="C31" s="598"/>
      <c r="D31" s="598"/>
      <c r="E31" s="598"/>
    </row>
    <row r="32" spans="1:6" x14ac:dyDescent="0.3">
      <c r="B32" s="576" t="s">
        <v>1103</v>
      </c>
      <c r="C32" s="598">
        <f>C26</f>
        <v>300</v>
      </c>
      <c r="D32" s="701" t="s">
        <v>1102</v>
      </c>
      <c r="E32" s="598">
        <f>C26*C4</f>
        <v>18000</v>
      </c>
    </row>
    <row r="33" spans="2:7" x14ac:dyDescent="0.3">
      <c r="B33" s="708" t="s">
        <v>1049</v>
      </c>
      <c r="C33" s="715">
        <f>C25-C26</f>
        <v>-30</v>
      </c>
      <c r="D33" s="789" t="s">
        <v>1101</v>
      </c>
      <c r="E33" s="715">
        <f>C33*C4</f>
        <v>-1800</v>
      </c>
    </row>
    <row r="34" spans="2:7" x14ac:dyDescent="0.3">
      <c r="B34" s="708" t="s">
        <v>515</v>
      </c>
      <c r="C34" s="715"/>
      <c r="D34" s="715"/>
      <c r="E34" s="715">
        <f>SUM(E32:E33)</f>
        <v>16200</v>
      </c>
    </row>
    <row r="35" spans="2:7" x14ac:dyDescent="0.3">
      <c r="C35" s="598"/>
      <c r="D35" s="598"/>
      <c r="E35" s="598"/>
    </row>
    <row r="36" spans="2:7" x14ac:dyDescent="0.3">
      <c r="B36" s="576" t="s">
        <v>933</v>
      </c>
      <c r="D36" s="705"/>
    </row>
    <row r="37" spans="2:7" x14ac:dyDescent="0.3">
      <c r="B37" s="576" t="s">
        <v>104</v>
      </c>
      <c r="C37" s="576">
        <f>C26</f>
        <v>300</v>
      </c>
      <c r="D37" s="598" t="s">
        <v>1100</v>
      </c>
      <c r="E37" s="598">
        <f>C37*C5</f>
        <v>1200</v>
      </c>
    </row>
    <row r="38" spans="2:7" x14ac:dyDescent="0.3">
      <c r="B38" s="708" t="s">
        <v>1049</v>
      </c>
      <c r="C38" s="708">
        <f>C33</f>
        <v>-30</v>
      </c>
      <c r="D38" s="719" t="s">
        <v>1099</v>
      </c>
      <c r="E38" s="715">
        <f>C38*C16*C5</f>
        <v>-60</v>
      </c>
    </row>
    <row r="39" spans="2:7" x14ac:dyDescent="0.3">
      <c r="B39" s="708" t="s">
        <v>512</v>
      </c>
      <c r="C39" s="708"/>
      <c r="D39" s="785"/>
      <c r="E39" s="715">
        <f>SUM(E37:E38)</f>
        <v>1140</v>
      </c>
    </row>
    <row r="42" spans="2:7" x14ac:dyDescent="0.3">
      <c r="B42" s="577"/>
    </row>
    <row r="43" spans="2:7" ht="15" thickBot="1" x14ac:dyDescent="0.35"/>
    <row r="44" spans="2:7" ht="15" thickBot="1" x14ac:dyDescent="0.35">
      <c r="B44" s="576" t="s">
        <v>742</v>
      </c>
      <c r="C44" s="882" t="s">
        <v>173</v>
      </c>
      <c r="D44" s="940"/>
      <c r="E44" s="883"/>
    </row>
    <row r="45" spans="2:7" ht="15" thickBot="1" x14ac:dyDescent="0.35">
      <c r="C45" s="590" t="s">
        <v>175</v>
      </c>
      <c r="D45" s="790" t="s">
        <v>176</v>
      </c>
      <c r="E45" s="663" t="s">
        <v>145</v>
      </c>
      <c r="G45" s="577"/>
    </row>
    <row r="46" spans="2:7" x14ac:dyDescent="0.3">
      <c r="B46" s="576" t="s">
        <v>96</v>
      </c>
      <c r="C46" s="704">
        <f>C27</f>
        <v>250</v>
      </c>
      <c r="D46" s="653">
        <f>C12</f>
        <v>5000</v>
      </c>
      <c r="E46" s="731">
        <f>D46*C46</f>
        <v>1250000</v>
      </c>
      <c r="G46" s="598"/>
    </row>
    <row r="47" spans="2:7" x14ac:dyDescent="0.3">
      <c r="C47" s="791"/>
      <c r="D47" s="659"/>
      <c r="E47" s="668"/>
    </row>
    <row r="48" spans="2:7" x14ac:dyDescent="0.3">
      <c r="B48" s="576" t="s">
        <v>88</v>
      </c>
      <c r="C48" s="791">
        <f>E34</f>
        <v>16200</v>
      </c>
      <c r="D48" s="659">
        <f>D4</f>
        <v>12</v>
      </c>
      <c r="E48" s="668">
        <f>D48*C48</f>
        <v>194400</v>
      </c>
    </row>
    <row r="49" spans="2:7" x14ac:dyDescent="0.3">
      <c r="B49" s="576" t="s">
        <v>925</v>
      </c>
      <c r="C49" s="791">
        <f>E39</f>
        <v>1140</v>
      </c>
      <c r="D49" s="659">
        <f>D5</f>
        <v>240</v>
      </c>
      <c r="E49" s="668">
        <f>D49*C49</f>
        <v>273600</v>
      </c>
    </row>
    <row r="50" spans="2:7" x14ac:dyDescent="0.3">
      <c r="B50" s="642" t="s">
        <v>924</v>
      </c>
      <c r="C50" s="791"/>
      <c r="D50" s="659"/>
      <c r="E50" s="668"/>
    </row>
    <row r="51" spans="2:7" ht="15" thickBot="1" x14ac:dyDescent="0.35">
      <c r="B51" s="597" t="s">
        <v>380</v>
      </c>
      <c r="C51" s="703">
        <f>C49</f>
        <v>1140</v>
      </c>
      <c r="D51" s="680">
        <f>D6</f>
        <v>360</v>
      </c>
      <c r="E51" s="671">
        <f>D51*C51</f>
        <v>410400</v>
      </c>
    </row>
    <row r="52" spans="2:7" x14ac:dyDescent="0.3">
      <c r="B52" s="576" t="s">
        <v>381</v>
      </c>
      <c r="C52" s="791"/>
      <c r="D52" s="659"/>
      <c r="E52" s="668">
        <f>SUM(E48:E51)</f>
        <v>878400</v>
      </c>
    </row>
    <row r="53" spans="2:7" ht="15" thickBot="1" x14ac:dyDescent="0.35">
      <c r="B53" s="597" t="s">
        <v>884</v>
      </c>
      <c r="C53" s="703">
        <f>(C25-C26)</f>
        <v>-30</v>
      </c>
      <c r="D53" s="680">
        <f>C23</f>
        <v>1920</v>
      </c>
      <c r="E53" s="671">
        <f>-C53*D53</f>
        <v>57600</v>
      </c>
      <c r="G53" s="577"/>
    </row>
    <row r="54" spans="2:7" x14ac:dyDescent="0.3">
      <c r="B54" s="576" t="s">
        <v>923</v>
      </c>
      <c r="C54" s="791"/>
      <c r="D54" s="659"/>
      <c r="E54" s="668"/>
      <c r="G54" s="598"/>
    </row>
    <row r="55" spans="2:7" x14ac:dyDescent="0.3">
      <c r="B55" s="576" t="s">
        <v>922</v>
      </c>
      <c r="C55" s="791"/>
      <c r="D55" s="659"/>
      <c r="E55" s="668">
        <f>E52+E53</f>
        <v>936000</v>
      </c>
    </row>
    <row r="56" spans="2:7" ht="15" thickBot="1" x14ac:dyDescent="0.35">
      <c r="B56" s="597" t="s">
        <v>882</v>
      </c>
      <c r="C56" s="703">
        <f>C26-C27</f>
        <v>50</v>
      </c>
      <c r="D56" s="646">
        <f>E7</f>
        <v>3120</v>
      </c>
      <c r="E56" s="671">
        <f>-C56*D56</f>
        <v>-156000</v>
      </c>
    </row>
    <row r="57" spans="2:7" x14ac:dyDescent="0.3">
      <c r="B57" s="667" t="s">
        <v>931</v>
      </c>
      <c r="C57" s="704"/>
      <c r="D57" s="660"/>
      <c r="E57" s="731">
        <f>E55+E56</f>
        <v>780000</v>
      </c>
    </row>
    <row r="58" spans="2:7" ht="15" thickBot="1" x14ac:dyDescent="0.35">
      <c r="B58" s="652" t="s">
        <v>921</v>
      </c>
      <c r="C58" s="703">
        <f>C46</f>
        <v>250</v>
      </c>
      <c r="D58" s="646">
        <f>D8</f>
        <v>1000</v>
      </c>
      <c r="E58" s="671">
        <f>D58*C58</f>
        <v>250000</v>
      </c>
    </row>
    <row r="59" spans="2:7" ht="15" thickBot="1" x14ac:dyDescent="0.35">
      <c r="B59" s="603" t="s">
        <v>384</v>
      </c>
      <c r="C59" s="792"/>
      <c r="D59" s="716"/>
      <c r="E59" s="578">
        <f>SUM(E57:E58)</f>
        <v>1030000</v>
      </c>
    </row>
    <row r="60" spans="2:7" ht="15" thickBot="1" x14ac:dyDescent="0.35">
      <c r="B60" s="600" t="s">
        <v>385</v>
      </c>
      <c r="C60" s="792"/>
      <c r="D60" s="716"/>
      <c r="E60" s="578">
        <f>E46-E59</f>
        <v>220000</v>
      </c>
    </row>
    <row r="61" spans="2:7" ht="15" thickTop="1" x14ac:dyDescent="0.3">
      <c r="C61" s="598"/>
      <c r="D61" s="598"/>
      <c r="E61" s="598"/>
    </row>
    <row r="73" spans="2:5" x14ac:dyDescent="0.3">
      <c r="B73" s="577"/>
    </row>
    <row r="77" spans="2:5" x14ac:dyDescent="0.3">
      <c r="C77" s="621"/>
      <c r="D77" s="621"/>
      <c r="E77" s="621"/>
    </row>
    <row r="78" spans="2:5" x14ac:dyDescent="0.3">
      <c r="C78" s="621"/>
      <c r="D78" s="621"/>
      <c r="E78" s="621"/>
    </row>
    <row r="79" spans="2:5" x14ac:dyDescent="0.3">
      <c r="C79" s="598"/>
      <c r="D79" s="598"/>
    </row>
    <row r="83" spans="2:3" x14ac:dyDescent="0.3">
      <c r="B83" s="642"/>
    </row>
    <row r="91" spans="2:3" x14ac:dyDescent="0.3">
      <c r="B91" s="577"/>
      <c r="C91" s="598"/>
    </row>
  </sheetData>
  <mergeCells count="1">
    <mergeCell ref="C44:E44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00"/>
  <sheetViews>
    <sheetView topLeftCell="A43" workbookViewId="0">
      <selection activeCell="M80" sqref="M80"/>
    </sheetView>
  </sheetViews>
  <sheetFormatPr baseColWidth="10" defaultColWidth="11.33203125" defaultRowHeight="14.4" x14ac:dyDescent="0.3"/>
  <cols>
    <col min="1" max="1" width="4.109375" style="576" customWidth="1"/>
    <col min="2" max="2" width="11.33203125" style="576"/>
    <col min="3" max="3" width="29.33203125" style="576" customWidth="1"/>
    <col min="4" max="4" width="20.88671875" style="576" bestFit="1" customWidth="1"/>
    <col min="5" max="5" width="16" style="576" customWidth="1"/>
    <col min="6" max="6" width="17.109375" style="576" bestFit="1" customWidth="1"/>
    <col min="7" max="7" width="14.33203125" style="576" customWidth="1"/>
    <col min="8" max="8" width="19.88671875" style="576" customWidth="1"/>
    <col min="9" max="9" width="12.88671875" style="576" customWidth="1"/>
    <col min="10" max="10" width="16.109375" style="576" customWidth="1"/>
    <col min="11" max="16384" width="11.33203125" style="576"/>
  </cols>
  <sheetData>
    <row r="1" spans="2:6" x14ac:dyDescent="0.3">
      <c r="B1" s="577" t="s">
        <v>1121</v>
      </c>
    </row>
    <row r="2" spans="2:6" x14ac:dyDescent="0.3">
      <c r="B2" s="577"/>
    </row>
    <row r="3" spans="2:6" x14ac:dyDescent="0.3">
      <c r="B3" s="576" t="s">
        <v>1019</v>
      </c>
    </row>
    <row r="5" spans="2:6" x14ac:dyDescent="0.3">
      <c r="B5" s="576" t="s">
        <v>1020</v>
      </c>
    </row>
    <row r="7" spans="2:6" x14ac:dyDescent="0.3">
      <c r="B7" s="576" t="s">
        <v>497</v>
      </c>
    </row>
    <row r="9" spans="2:6" x14ac:dyDescent="0.3">
      <c r="B9" s="576" t="s">
        <v>88</v>
      </c>
      <c r="D9" s="725">
        <v>3600000</v>
      </c>
    </row>
    <row r="10" spans="2:6" x14ac:dyDescent="0.3">
      <c r="B10" s="576" t="s">
        <v>90</v>
      </c>
      <c r="D10" s="725">
        <v>4950000</v>
      </c>
    </row>
    <row r="11" spans="2:6" x14ac:dyDescent="0.3">
      <c r="B11" s="576" t="s">
        <v>1018</v>
      </c>
    </row>
    <row r="12" spans="2:6" x14ac:dyDescent="0.3">
      <c r="C12" s="576" t="s">
        <v>1017</v>
      </c>
      <c r="D12" s="725">
        <v>900000</v>
      </c>
    </row>
    <row r="13" spans="2:6" x14ac:dyDescent="0.3">
      <c r="C13" s="576" t="s">
        <v>1016</v>
      </c>
      <c r="D13" s="725">
        <v>60000</v>
      </c>
    </row>
    <row r="14" spans="2:6" x14ac:dyDescent="0.3">
      <c r="C14" s="576" t="s">
        <v>1015</v>
      </c>
      <c r="D14" s="725">
        <v>3000000</v>
      </c>
      <c r="E14" s="598">
        <f>D14/12</f>
        <v>250000</v>
      </c>
      <c r="F14" s="576" t="s">
        <v>1014</v>
      </c>
    </row>
    <row r="15" spans="2:6" x14ac:dyDescent="0.3">
      <c r="B15" s="708"/>
      <c r="C15" s="708" t="s">
        <v>1013</v>
      </c>
      <c r="D15" s="739">
        <v>300000</v>
      </c>
    </row>
    <row r="16" spans="2:6" x14ac:dyDescent="0.3">
      <c r="B16" s="576" t="s">
        <v>93</v>
      </c>
      <c r="D16" s="598">
        <f>D9+D10+D12+D13+D14+D15</f>
        <v>12810000</v>
      </c>
    </row>
    <row r="17" spans="2:8" x14ac:dyDescent="0.3">
      <c r="B17" s="719" t="s">
        <v>1012</v>
      </c>
      <c r="C17" s="708"/>
      <c r="D17" s="739">
        <v>2340000</v>
      </c>
    </row>
    <row r="18" spans="2:8" x14ac:dyDescent="0.3">
      <c r="B18" s="708" t="s">
        <v>1011</v>
      </c>
      <c r="C18" s="708"/>
      <c r="D18" s="715">
        <f>SUM(D16:D17)</f>
        <v>15150000</v>
      </c>
    </row>
    <row r="20" spans="2:8" x14ac:dyDescent="0.3">
      <c r="B20" s="576" t="s">
        <v>1010</v>
      </c>
      <c r="D20" s="725">
        <v>15000</v>
      </c>
    </row>
    <row r="21" spans="2:8" x14ac:dyDescent="0.3">
      <c r="B21" s="576" t="s">
        <v>1009</v>
      </c>
      <c r="C21" s="794">
        <v>30</v>
      </c>
    </row>
    <row r="22" spans="2:8" x14ac:dyDescent="0.3">
      <c r="B22" s="576" t="s">
        <v>1008</v>
      </c>
      <c r="C22" s="794">
        <v>330</v>
      </c>
    </row>
    <row r="25" spans="2:8" x14ac:dyDescent="0.3">
      <c r="B25" s="637" t="s">
        <v>1120</v>
      </c>
      <c r="C25" s="637"/>
      <c r="D25" s="637"/>
    </row>
    <row r="26" spans="2:8" x14ac:dyDescent="0.3">
      <c r="B26" s="637" t="s">
        <v>1119</v>
      </c>
      <c r="C26" s="727">
        <v>1400</v>
      </c>
      <c r="D26" s="727" t="s">
        <v>706</v>
      </c>
      <c r="F26" s="637"/>
      <c r="H26" s="700"/>
    </row>
    <row r="27" spans="2:8" x14ac:dyDescent="0.3">
      <c r="B27" s="637" t="s">
        <v>1043</v>
      </c>
      <c r="C27" s="727">
        <v>1600</v>
      </c>
      <c r="D27" s="727" t="s">
        <v>706</v>
      </c>
      <c r="F27" s="637"/>
      <c r="H27" s="700"/>
    </row>
    <row r="28" spans="2:8" x14ac:dyDescent="0.3">
      <c r="B28" s="637" t="s">
        <v>135</v>
      </c>
      <c r="C28" s="727">
        <v>1500</v>
      </c>
      <c r="D28" s="727" t="s">
        <v>706</v>
      </c>
      <c r="F28" s="637"/>
      <c r="H28" s="700"/>
    </row>
    <row r="29" spans="2:8" x14ac:dyDescent="0.3">
      <c r="B29" s="637" t="s">
        <v>1118</v>
      </c>
      <c r="D29" s="793">
        <v>1</v>
      </c>
      <c r="F29" s="637"/>
      <c r="H29" s="700"/>
    </row>
    <row r="30" spans="2:8" x14ac:dyDescent="0.3">
      <c r="B30" s="637" t="s">
        <v>1117</v>
      </c>
      <c r="D30" s="793">
        <v>0.5</v>
      </c>
      <c r="F30" s="637"/>
      <c r="H30" s="700"/>
    </row>
    <row r="31" spans="2:8" x14ac:dyDescent="0.3">
      <c r="F31" s="637"/>
      <c r="H31" s="700"/>
    </row>
    <row r="32" spans="2:8" x14ac:dyDescent="0.3">
      <c r="B32" s="576" t="s">
        <v>401</v>
      </c>
    </row>
    <row r="33" spans="1:10" x14ac:dyDescent="0.3">
      <c r="H33" s="623" t="s">
        <v>1116</v>
      </c>
    </row>
    <row r="34" spans="1:10" x14ac:dyDescent="0.3">
      <c r="B34" s="576" t="s">
        <v>1007</v>
      </c>
      <c r="D34" s="598">
        <f>D9/D20</f>
        <v>240</v>
      </c>
      <c r="E34" s="576">
        <f>D34/C21</f>
        <v>8</v>
      </c>
      <c r="F34" s="577" t="s">
        <v>1006</v>
      </c>
      <c r="H34" s="576" t="s">
        <v>1007</v>
      </c>
      <c r="J34" s="598">
        <f>D34</f>
        <v>240</v>
      </c>
    </row>
    <row r="35" spans="1:10" x14ac:dyDescent="0.3">
      <c r="B35" s="576" t="s">
        <v>492</v>
      </c>
      <c r="D35" s="598">
        <f>D10/D20</f>
        <v>330</v>
      </c>
      <c r="E35" s="576">
        <f>D35/C22</f>
        <v>1</v>
      </c>
      <c r="F35" s="577" t="s">
        <v>1005</v>
      </c>
      <c r="H35" s="576" t="s">
        <v>492</v>
      </c>
      <c r="J35" s="598">
        <f>D35*D30</f>
        <v>165</v>
      </c>
    </row>
    <row r="36" spans="1:10" x14ac:dyDescent="0.3">
      <c r="B36" s="576" t="s">
        <v>1004</v>
      </c>
      <c r="D36" s="598">
        <f>D12/D20</f>
        <v>60</v>
      </c>
      <c r="E36" s="802" t="s">
        <v>997</v>
      </c>
      <c r="F36" s="621">
        <f>D36/E34</f>
        <v>7.5</v>
      </c>
      <c r="H36" s="576" t="s">
        <v>1004</v>
      </c>
      <c r="J36" s="598">
        <f>D36</f>
        <v>60</v>
      </c>
    </row>
    <row r="37" spans="1:10" x14ac:dyDescent="0.3">
      <c r="B37" s="576" t="s">
        <v>1002</v>
      </c>
      <c r="D37" s="598">
        <f>D13/D20</f>
        <v>4</v>
      </c>
      <c r="E37" s="586" t="s">
        <v>997</v>
      </c>
      <c r="F37" s="621">
        <f>D37/E34</f>
        <v>0.5</v>
      </c>
      <c r="H37" s="576" t="s">
        <v>1002</v>
      </c>
      <c r="J37" s="598">
        <f>D37</f>
        <v>4</v>
      </c>
    </row>
    <row r="38" spans="1:10" x14ac:dyDescent="0.3">
      <c r="B38" s="576" t="s">
        <v>1000</v>
      </c>
      <c r="D38" s="598">
        <f>D14/D20</f>
        <v>200</v>
      </c>
      <c r="E38" s="586" t="s">
        <v>997</v>
      </c>
      <c r="F38" s="621">
        <f>D38/E35</f>
        <v>200</v>
      </c>
      <c r="H38" s="576" t="s">
        <v>1000</v>
      </c>
      <c r="J38" s="598">
        <f>D38*D30</f>
        <v>100</v>
      </c>
    </row>
    <row r="39" spans="1:10" x14ac:dyDescent="0.3">
      <c r="B39" s="719" t="s">
        <v>999</v>
      </c>
      <c r="C39" s="708"/>
      <c r="D39" s="715">
        <f>D15/D20</f>
        <v>20</v>
      </c>
      <c r="E39" s="586" t="s">
        <v>997</v>
      </c>
      <c r="F39" s="621">
        <f>D39/E35</f>
        <v>20</v>
      </c>
      <c r="H39" s="719" t="s">
        <v>999</v>
      </c>
      <c r="I39" s="708"/>
      <c r="J39" s="715">
        <f>D39*D30</f>
        <v>10</v>
      </c>
    </row>
    <row r="40" spans="1:10" x14ac:dyDescent="0.3">
      <c r="B40" s="576" t="s">
        <v>93</v>
      </c>
      <c r="D40" s="598">
        <f>SUM(D34:D39)</f>
        <v>854</v>
      </c>
      <c r="E40" s="586"/>
      <c r="F40" s="621"/>
      <c r="H40" s="719" t="s">
        <v>1115</v>
      </c>
      <c r="I40" s="708"/>
      <c r="J40" s="715">
        <f>SUM(J34:J39)</f>
        <v>579</v>
      </c>
    </row>
    <row r="41" spans="1:10" x14ac:dyDescent="0.3">
      <c r="B41" s="708" t="s">
        <v>998</v>
      </c>
      <c r="C41" s="708"/>
      <c r="D41" s="715">
        <f>D17/D20</f>
        <v>156</v>
      </c>
      <c r="E41" s="586" t="s">
        <v>997</v>
      </c>
      <c r="F41" s="621"/>
    </row>
    <row r="42" spans="1:10" x14ac:dyDescent="0.3">
      <c r="B42" s="708"/>
      <c r="C42" s="708"/>
      <c r="D42" s="715">
        <f>SUM(D40:D41)</f>
        <v>1010</v>
      </c>
    </row>
    <row r="43" spans="1:10" x14ac:dyDescent="0.3">
      <c r="A43" s="576" t="s">
        <v>189</v>
      </c>
      <c r="B43" s="577" t="s">
        <v>1114</v>
      </c>
    </row>
    <row r="45" spans="1:10" x14ac:dyDescent="0.3">
      <c r="B45" s="577" t="s">
        <v>1137</v>
      </c>
      <c r="C45" s="577"/>
      <c r="D45" s="598">
        <f>E34*C27</f>
        <v>12800</v>
      </c>
    </row>
    <row r="46" spans="1:10" x14ac:dyDescent="0.3">
      <c r="B46" s="719" t="str">
        <f>B51</f>
        <v>Reduksjon varer i arbeid</v>
      </c>
      <c r="C46" s="719"/>
      <c r="D46" s="715">
        <f>(C26-C27)*E34</f>
        <v>-1600</v>
      </c>
    </row>
    <row r="47" spans="1:10" x14ac:dyDescent="0.3">
      <c r="B47" s="708" t="s">
        <v>149</v>
      </c>
      <c r="C47" s="708"/>
      <c r="D47" s="715">
        <f>SUM(D45:D46)</f>
        <v>11200</v>
      </c>
      <c r="E47" s="576" t="s">
        <v>1138</v>
      </c>
    </row>
    <row r="48" spans="1:10" x14ac:dyDescent="0.3">
      <c r="D48" s="598"/>
    </row>
    <row r="49" spans="2:6" x14ac:dyDescent="0.3">
      <c r="B49" s="577" t="s">
        <v>418</v>
      </c>
      <c r="D49" s="598"/>
    </row>
    <row r="50" spans="2:6" x14ac:dyDescent="0.3">
      <c r="B50" s="576" t="s">
        <v>1113</v>
      </c>
      <c r="D50" s="598">
        <f>C27*E35</f>
        <v>1600</v>
      </c>
    </row>
    <row r="51" spans="2:6" x14ac:dyDescent="0.3">
      <c r="B51" s="708" t="s">
        <v>1049</v>
      </c>
      <c r="C51" s="708"/>
      <c r="D51" s="715">
        <f>(C27-C26)*E35*D30</f>
        <v>100</v>
      </c>
    </row>
    <row r="52" spans="2:6" x14ac:dyDescent="0.3">
      <c r="B52" s="795" t="s">
        <v>1112</v>
      </c>
      <c r="C52" s="795"/>
      <c r="D52" s="715">
        <f>D50-D51</f>
        <v>1500</v>
      </c>
      <c r="E52" s="576" t="s">
        <v>1139</v>
      </c>
    </row>
    <row r="53" spans="2:6" x14ac:dyDescent="0.3">
      <c r="D53" s="598"/>
    </row>
    <row r="54" spans="2:6" x14ac:dyDescent="0.3">
      <c r="B54" s="577" t="s">
        <v>996</v>
      </c>
      <c r="D54" s="598"/>
    </row>
    <row r="55" spans="2:6" x14ac:dyDescent="0.3">
      <c r="D55" s="598"/>
      <c r="E55" s="598"/>
    </row>
    <row r="56" spans="2:6" x14ac:dyDescent="0.3">
      <c r="B56" s="576" t="s">
        <v>821</v>
      </c>
      <c r="D56" s="725">
        <v>345780</v>
      </c>
      <c r="E56" s="725">
        <v>11300</v>
      </c>
      <c r="F56" s="576" t="s">
        <v>146</v>
      </c>
    </row>
    <row r="57" spans="2:6" x14ac:dyDescent="0.3">
      <c r="B57" s="576" t="s">
        <v>90</v>
      </c>
      <c r="D57" s="725">
        <v>392200</v>
      </c>
      <c r="E57" s="725">
        <v>1325</v>
      </c>
      <c r="F57" s="576" t="s">
        <v>150</v>
      </c>
    </row>
    <row r="58" spans="2:6" x14ac:dyDescent="0.3">
      <c r="B58" s="576" t="s">
        <v>995</v>
      </c>
      <c r="D58" s="725">
        <v>73000</v>
      </c>
      <c r="E58" s="598"/>
    </row>
    <row r="59" spans="2:6" x14ac:dyDescent="0.3">
      <c r="B59" s="576" t="s">
        <v>994</v>
      </c>
      <c r="D59" s="725">
        <v>6200</v>
      </c>
      <c r="E59" s="598"/>
    </row>
    <row r="60" spans="2:6" x14ac:dyDescent="0.3">
      <c r="B60" s="576" t="s">
        <v>993</v>
      </c>
      <c r="D60" s="725">
        <v>258000</v>
      </c>
      <c r="E60" s="598"/>
    </row>
    <row r="61" spans="2:6" x14ac:dyDescent="0.3">
      <c r="B61" s="576" t="s">
        <v>992</v>
      </c>
      <c r="D61" s="725">
        <v>24500</v>
      </c>
      <c r="E61" s="598"/>
    </row>
    <row r="62" spans="2:6" x14ac:dyDescent="0.3">
      <c r="B62" s="576" t="s">
        <v>991</v>
      </c>
      <c r="D62" s="725">
        <v>191000</v>
      </c>
      <c r="E62" s="598"/>
    </row>
    <row r="63" spans="2:6" x14ac:dyDescent="0.3">
      <c r="B63" s="576" t="s">
        <v>96</v>
      </c>
      <c r="D63" s="725">
        <v>1470000</v>
      </c>
      <c r="E63" s="725">
        <v>1500</v>
      </c>
      <c r="F63" s="576" t="s">
        <v>990</v>
      </c>
    </row>
    <row r="64" spans="2:6" x14ac:dyDescent="0.3">
      <c r="B64" s="576" t="s">
        <v>473</v>
      </c>
      <c r="C64" s="576">
        <f>D63/E63</f>
        <v>980</v>
      </c>
      <c r="E64" s="598"/>
    </row>
    <row r="66" spans="1:9" ht="15" thickBot="1" x14ac:dyDescent="0.35"/>
    <row r="67" spans="1:9" ht="15" thickBot="1" x14ac:dyDescent="0.35">
      <c r="A67" s="576" t="s">
        <v>191</v>
      </c>
      <c r="D67" s="921" t="s">
        <v>173</v>
      </c>
      <c r="E67" s="922"/>
      <c r="F67" s="919"/>
      <c r="G67" s="594" t="s">
        <v>989</v>
      </c>
      <c r="H67" s="593" t="s">
        <v>378</v>
      </c>
      <c r="I67" s="669"/>
    </row>
    <row r="68" spans="1:9" ht="15" thickBot="1" x14ac:dyDescent="0.35">
      <c r="C68" s="691"/>
      <c r="D68" s="688" t="s">
        <v>175</v>
      </c>
      <c r="E68" s="603" t="s">
        <v>988</v>
      </c>
      <c r="F68" s="687" t="s">
        <v>145</v>
      </c>
      <c r="G68" s="591" t="s">
        <v>193</v>
      </c>
      <c r="H68" s="595" t="s">
        <v>987</v>
      </c>
      <c r="I68" s="669"/>
    </row>
    <row r="69" spans="1:9" x14ac:dyDescent="0.3">
      <c r="C69" s="669" t="s">
        <v>96</v>
      </c>
      <c r="D69" s="686">
        <f>E63</f>
        <v>1500</v>
      </c>
      <c r="E69" s="686">
        <f>C64</f>
        <v>980</v>
      </c>
      <c r="F69" s="686">
        <f>D69*E69</f>
        <v>1470000</v>
      </c>
      <c r="G69" s="686">
        <f>F69</f>
        <v>1470000</v>
      </c>
      <c r="H69" s="653"/>
      <c r="I69" s="669"/>
    </row>
    <row r="70" spans="1:9" x14ac:dyDescent="0.3">
      <c r="C70" s="669"/>
      <c r="D70" s="682"/>
      <c r="E70" s="682"/>
      <c r="F70" s="682"/>
      <c r="G70" s="682"/>
      <c r="H70" s="659"/>
      <c r="I70" s="669"/>
    </row>
    <row r="71" spans="1:9" x14ac:dyDescent="0.3">
      <c r="C71" s="669" t="s">
        <v>821</v>
      </c>
      <c r="D71" s="682">
        <f>D47</f>
        <v>11200</v>
      </c>
      <c r="E71" s="682">
        <f>C21</f>
        <v>30</v>
      </c>
      <c r="F71" s="682">
        <f>D71*E71</f>
        <v>336000</v>
      </c>
      <c r="G71" s="682">
        <f>D56</f>
        <v>345780</v>
      </c>
      <c r="H71" s="659">
        <f>F71-G71</f>
        <v>-9780</v>
      </c>
      <c r="I71" s="669"/>
    </row>
    <row r="72" spans="1:9" x14ac:dyDescent="0.3">
      <c r="C72" s="669" t="s">
        <v>90</v>
      </c>
      <c r="D72" s="682">
        <f>D52</f>
        <v>1500</v>
      </c>
      <c r="E72" s="682">
        <f>C22</f>
        <v>330</v>
      </c>
      <c r="F72" s="682">
        <f>D72*E72</f>
        <v>495000</v>
      </c>
      <c r="G72" s="682">
        <f>D57</f>
        <v>392200</v>
      </c>
      <c r="H72" s="659">
        <f>F72-G72</f>
        <v>102800</v>
      </c>
      <c r="I72" s="669"/>
    </row>
    <row r="73" spans="1:9" ht="15" thickBot="1" x14ac:dyDescent="0.35">
      <c r="C73" s="796" t="s">
        <v>986</v>
      </c>
      <c r="D73" s="681"/>
      <c r="E73" s="681"/>
      <c r="F73" s="681"/>
      <c r="G73" s="681"/>
      <c r="H73" s="680">
        <f>SUM(H71:H72)</f>
        <v>93020</v>
      </c>
      <c r="I73" s="669"/>
    </row>
    <row r="74" spans="1:9" x14ac:dyDescent="0.3">
      <c r="C74" s="797" t="s">
        <v>985</v>
      </c>
      <c r="D74" s="682"/>
      <c r="E74" s="682"/>
      <c r="F74" s="682"/>
      <c r="G74" s="682"/>
      <c r="H74" s="659"/>
    </row>
    <row r="75" spans="1:9" x14ac:dyDescent="0.3">
      <c r="C75" s="669" t="s">
        <v>396</v>
      </c>
      <c r="D75" s="682">
        <f>D71</f>
        <v>11200</v>
      </c>
      <c r="E75" s="682">
        <f>F36</f>
        <v>7.5</v>
      </c>
      <c r="F75" s="682">
        <f>D75*E75</f>
        <v>84000</v>
      </c>
      <c r="G75" s="682">
        <f>D58</f>
        <v>73000</v>
      </c>
      <c r="H75" s="659">
        <f>F75-G75</f>
        <v>11000</v>
      </c>
    </row>
    <row r="76" spans="1:9" x14ac:dyDescent="0.3">
      <c r="C76" s="669" t="s">
        <v>397</v>
      </c>
      <c r="D76" s="682">
        <f>D75</f>
        <v>11200</v>
      </c>
      <c r="E76" s="682">
        <f>F37</f>
        <v>0.5</v>
      </c>
      <c r="F76" s="682">
        <f>D76*E76</f>
        <v>5600</v>
      </c>
      <c r="G76" s="682">
        <f>D59</f>
        <v>6200</v>
      </c>
      <c r="H76" s="659">
        <f>F76-G76</f>
        <v>-600</v>
      </c>
    </row>
    <row r="77" spans="1:9" x14ac:dyDescent="0.3">
      <c r="C77" s="798" t="s">
        <v>984</v>
      </c>
      <c r="D77" s="682"/>
      <c r="E77" s="682"/>
      <c r="F77" s="682"/>
      <c r="G77" s="682"/>
      <c r="H77" s="659"/>
    </row>
    <row r="78" spans="1:9" x14ac:dyDescent="0.3">
      <c r="C78" s="669" t="s">
        <v>396</v>
      </c>
      <c r="D78" s="682">
        <f>D72</f>
        <v>1500</v>
      </c>
      <c r="E78" s="682">
        <f>F38</f>
        <v>200</v>
      </c>
      <c r="F78" s="682">
        <f>D78*E78</f>
        <v>300000</v>
      </c>
      <c r="G78" s="682">
        <f>D60</f>
        <v>258000</v>
      </c>
      <c r="H78" s="659">
        <f>F78-G78</f>
        <v>42000</v>
      </c>
    </row>
    <row r="79" spans="1:9" ht="15" thickBot="1" x14ac:dyDescent="0.35">
      <c r="C79" s="685" t="s">
        <v>397</v>
      </c>
      <c r="D79" s="681">
        <f>D78</f>
        <v>1500</v>
      </c>
      <c r="E79" s="681">
        <f>F39</f>
        <v>20</v>
      </c>
      <c r="F79" s="680">
        <f>D79*E79</f>
        <v>30000</v>
      </c>
      <c r="G79" s="681">
        <f>D61</f>
        <v>24500</v>
      </c>
      <c r="H79" s="680">
        <f>F79-G79</f>
        <v>5500</v>
      </c>
    </row>
    <row r="80" spans="1:9" x14ac:dyDescent="0.3">
      <c r="C80" s="669" t="s">
        <v>381</v>
      </c>
      <c r="D80" s="682"/>
      <c r="E80" s="682"/>
      <c r="F80" s="682">
        <f>SUM(F71:F79)</f>
        <v>1250600</v>
      </c>
      <c r="G80" s="682"/>
      <c r="H80" s="659"/>
    </row>
    <row r="81" spans="1:9" ht="15" thickBot="1" x14ac:dyDescent="0.35">
      <c r="C81" s="878" t="s">
        <v>1153</v>
      </c>
      <c r="D81" s="681">
        <f>C27-C26</f>
        <v>200</v>
      </c>
      <c r="E81" s="681">
        <f>J40</f>
        <v>579</v>
      </c>
      <c r="F81" s="681">
        <f>D81*E81</f>
        <v>115800</v>
      </c>
      <c r="G81" s="681">
        <f>F81</f>
        <v>115800</v>
      </c>
      <c r="H81" s="680"/>
    </row>
    <row r="82" spans="1:9" x14ac:dyDescent="0.3">
      <c r="C82" s="799" t="s">
        <v>1111</v>
      </c>
      <c r="D82" s="682"/>
      <c r="E82" s="682"/>
      <c r="F82" s="682">
        <f>SUM(F80:F81)</f>
        <v>1366400</v>
      </c>
      <c r="G82" s="682"/>
      <c r="H82" s="659"/>
    </row>
    <row r="83" spans="1:9" ht="15" thickBot="1" x14ac:dyDescent="0.35">
      <c r="C83" s="878" t="s">
        <v>1152</v>
      </c>
      <c r="D83" s="681">
        <v>-100</v>
      </c>
      <c r="E83" s="681">
        <f>D40</f>
        <v>854</v>
      </c>
      <c r="F83" s="681">
        <f>D83*E83</f>
        <v>-85400</v>
      </c>
      <c r="G83" s="681">
        <f>F83</f>
        <v>-85400</v>
      </c>
      <c r="H83" s="680"/>
    </row>
    <row r="84" spans="1:9" x14ac:dyDescent="0.3">
      <c r="C84" s="669" t="s">
        <v>383</v>
      </c>
      <c r="D84" s="682"/>
      <c r="E84" s="682"/>
      <c r="F84" s="682">
        <f>F82+F83</f>
        <v>1281000</v>
      </c>
      <c r="G84" s="682"/>
      <c r="H84" s="659"/>
    </row>
    <row r="85" spans="1:9" ht="15" thickBot="1" x14ac:dyDescent="0.35">
      <c r="C85" s="800" t="s">
        <v>983</v>
      </c>
      <c r="D85" s="681">
        <f>D79</f>
        <v>1500</v>
      </c>
      <c r="E85" s="681">
        <f>D41</f>
        <v>156</v>
      </c>
      <c r="F85" s="681">
        <f>D85*E85</f>
        <v>234000</v>
      </c>
      <c r="G85" s="681">
        <v>192000</v>
      </c>
      <c r="H85" s="680">
        <f>F85-G85</f>
        <v>42000</v>
      </c>
    </row>
    <row r="86" spans="1:9" ht="15" thickBot="1" x14ac:dyDescent="0.35">
      <c r="C86" s="801" t="s">
        <v>95</v>
      </c>
      <c r="D86" s="684"/>
      <c r="E86" s="684"/>
      <c r="F86" s="684">
        <f>F84+F85</f>
        <v>1515000</v>
      </c>
      <c r="G86" s="684">
        <f>SUM(G71:G85)</f>
        <v>1322080</v>
      </c>
      <c r="H86" s="683"/>
    </row>
    <row r="87" spans="1:9" ht="15" thickBot="1" x14ac:dyDescent="0.35">
      <c r="C87" s="801" t="s">
        <v>385</v>
      </c>
      <c r="D87" s="684"/>
      <c r="E87" s="684"/>
      <c r="F87" s="684">
        <f>F69-F86</f>
        <v>-45000</v>
      </c>
      <c r="G87" s="684"/>
      <c r="H87" s="683"/>
    </row>
    <row r="88" spans="1:9" x14ac:dyDescent="0.3">
      <c r="C88" s="669" t="s">
        <v>379</v>
      </c>
      <c r="D88" s="682"/>
      <c r="E88" s="682"/>
      <c r="F88" s="682">
        <f>H73</f>
        <v>93020</v>
      </c>
      <c r="G88" s="682"/>
      <c r="H88" s="659"/>
    </row>
    <row r="89" spans="1:9" x14ac:dyDescent="0.3">
      <c r="C89" s="875" t="s">
        <v>386</v>
      </c>
      <c r="D89" s="876"/>
      <c r="E89" s="876"/>
      <c r="F89" s="876">
        <f>H89</f>
        <v>99900</v>
      </c>
      <c r="G89" s="876"/>
      <c r="H89" s="877">
        <f>H75+H76+H78+H79+H85</f>
        <v>99900</v>
      </c>
    </row>
    <row r="90" spans="1:9" ht="15" thickBot="1" x14ac:dyDescent="0.35">
      <c r="C90" s="685" t="s">
        <v>187</v>
      </c>
      <c r="D90" s="681"/>
      <c r="E90" s="681"/>
      <c r="F90" s="681">
        <f>F87+F88+F89</f>
        <v>147920</v>
      </c>
      <c r="G90" s="681">
        <f>G69-SUM(G71:G85)</f>
        <v>147920</v>
      </c>
      <c r="H90" s="680"/>
    </row>
    <row r="92" spans="1:9" ht="15" thickBot="1" x14ac:dyDescent="0.35"/>
    <row r="93" spans="1:9" x14ac:dyDescent="0.3">
      <c r="A93" s="576" t="s">
        <v>197</v>
      </c>
      <c r="C93" s="585" t="s">
        <v>957</v>
      </c>
      <c r="D93" s="674" t="s">
        <v>679</v>
      </c>
      <c r="E93" s="673" t="s">
        <v>960</v>
      </c>
      <c r="F93" s="583" t="s">
        <v>83</v>
      </c>
      <c r="G93" s="583" t="s">
        <v>249</v>
      </c>
      <c r="H93" s="584" t="s">
        <v>293</v>
      </c>
      <c r="I93" s="583" t="s">
        <v>733</v>
      </c>
    </row>
    <row r="94" spans="1:9" ht="17.399999999999999" thickBot="1" x14ac:dyDescent="0.4">
      <c r="C94" s="587" t="s">
        <v>959</v>
      </c>
      <c r="D94" s="672" t="s">
        <v>958</v>
      </c>
      <c r="E94" s="672"/>
      <c r="F94" s="581" t="s">
        <v>588</v>
      </c>
      <c r="G94" s="581" t="s">
        <v>261</v>
      </c>
      <c r="H94" s="581" t="s">
        <v>262</v>
      </c>
      <c r="I94" s="581" t="s">
        <v>729</v>
      </c>
    </row>
    <row r="95" spans="1:9" ht="15" thickBot="1" x14ac:dyDescent="0.35">
      <c r="C95" s="595"/>
      <c r="D95" s="590">
        <f>F78</f>
        <v>300000</v>
      </c>
      <c r="E95" s="590">
        <f>E14</f>
        <v>250000</v>
      </c>
      <c r="F95" s="589">
        <f>G78</f>
        <v>258000</v>
      </c>
      <c r="G95" s="589">
        <f>D95-E95</f>
        <v>50000</v>
      </c>
      <c r="H95" s="589">
        <f>E95-F95</f>
        <v>-8000</v>
      </c>
      <c r="I95" s="663">
        <f>D95-F95</f>
        <v>42000</v>
      </c>
    </row>
    <row r="97" spans="3:9" ht="15" thickBot="1" x14ac:dyDescent="0.35"/>
    <row r="98" spans="3:9" x14ac:dyDescent="0.3">
      <c r="C98" s="585" t="s">
        <v>957</v>
      </c>
      <c r="D98" s="674" t="s">
        <v>679</v>
      </c>
      <c r="E98" s="673" t="s">
        <v>376</v>
      </c>
      <c r="F98" s="583" t="s">
        <v>83</v>
      </c>
      <c r="G98" s="584" t="s">
        <v>370</v>
      </c>
      <c r="H98" s="584" t="s">
        <v>293</v>
      </c>
      <c r="I98" s="583" t="s">
        <v>733</v>
      </c>
    </row>
    <row r="99" spans="3:9" ht="17.399999999999999" thickBot="1" x14ac:dyDescent="0.4">
      <c r="C99" s="587" t="s">
        <v>956</v>
      </c>
      <c r="D99" s="672" t="s">
        <v>955</v>
      </c>
      <c r="E99" s="672" t="s">
        <v>954</v>
      </c>
      <c r="F99" s="662" t="s">
        <v>84</v>
      </c>
      <c r="G99" s="581" t="s">
        <v>261</v>
      </c>
      <c r="H99" s="581" t="s">
        <v>262</v>
      </c>
      <c r="I99" s="581" t="s">
        <v>729</v>
      </c>
    </row>
    <row r="100" spans="3:9" ht="15" thickBot="1" x14ac:dyDescent="0.35">
      <c r="C100" s="595"/>
      <c r="D100" s="590">
        <f>F79</f>
        <v>30000</v>
      </c>
      <c r="E100" s="590">
        <f>E57*F39</f>
        <v>26500</v>
      </c>
      <c r="F100" s="589">
        <f>G79</f>
        <v>24500</v>
      </c>
      <c r="G100" s="579">
        <f>D100-E100</f>
        <v>3500</v>
      </c>
      <c r="H100" s="579">
        <f>E100-F100</f>
        <v>2000</v>
      </c>
      <c r="I100" s="578">
        <f>D100-F100</f>
        <v>5500</v>
      </c>
    </row>
  </sheetData>
  <mergeCells count="1">
    <mergeCell ref="D67:F67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published="0">
    <pageSetUpPr fitToPage="1"/>
  </sheetPr>
  <dimension ref="A1:O140"/>
  <sheetViews>
    <sheetView showGridLines="0" topLeftCell="A88" zoomScaleNormal="100" workbookViewId="0">
      <selection activeCell="G83" sqref="G83"/>
    </sheetView>
  </sheetViews>
  <sheetFormatPr baseColWidth="10" defaultColWidth="10.109375" defaultRowHeight="15.6" x14ac:dyDescent="0.3"/>
  <cols>
    <col min="1" max="1" width="3.88671875" style="242" customWidth="1"/>
    <col min="2" max="2" width="14" style="242" customWidth="1"/>
    <col min="3" max="3" width="19.88671875" style="242" customWidth="1"/>
    <col min="4" max="4" width="26.109375" style="242" customWidth="1"/>
    <col min="5" max="5" width="14.33203125" style="242" customWidth="1"/>
    <col min="6" max="7" width="14.88671875" style="242" customWidth="1"/>
    <col min="8" max="8" width="13.33203125" style="242" customWidth="1"/>
    <col min="9" max="9" width="8.88671875" style="242" customWidth="1"/>
    <col min="10" max="10" width="10.109375" style="242"/>
    <col min="11" max="11" width="20.88671875" style="242" customWidth="1"/>
    <col min="12" max="12" width="25.33203125" style="242" customWidth="1"/>
    <col min="13" max="13" width="22.109375" style="242" customWidth="1"/>
    <col min="14" max="14" width="17.109375" style="242" customWidth="1"/>
    <col min="15" max="15" width="25.88671875" style="242" customWidth="1"/>
    <col min="16" max="16384" width="10.109375" style="242"/>
  </cols>
  <sheetData>
    <row r="1" spans="1:6" x14ac:dyDescent="0.3">
      <c r="A1" s="242" t="s">
        <v>189</v>
      </c>
      <c r="B1" s="241"/>
      <c r="C1" s="384"/>
    </row>
    <row r="3" spans="1:6" x14ac:dyDescent="0.3">
      <c r="B3" s="242" t="s">
        <v>408</v>
      </c>
      <c r="E3" s="243">
        <f>500*3</f>
        <v>1500</v>
      </c>
      <c r="F3" s="242" t="s">
        <v>409</v>
      </c>
    </row>
    <row r="4" spans="1:6" x14ac:dyDescent="0.3">
      <c r="B4" s="242" t="s">
        <v>410</v>
      </c>
      <c r="E4" s="244">
        <f>60000/1500</f>
        <v>40</v>
      </c>
    </row>
    <row r="6" spans="1:6" x14ac:dyDescent="0.3">
      <c r="B6" s="242" t="s">
        <v>62</v>
      </c>
      <c r="E6" s="242">
        <v>250</v>
      </c>
      <c r="F6" s="242" t="s">
        <v>411</v>
      </c>
    </row>
    <row r="7" spans="1:6" x14ac:dyDescent="0.3">
      <c r="B7" s="242" t="s">
        <v>412</v>
      </c>
      <c r="E7" s="244">
        <f>20000/E6</f>
        <v>80</v>
      </c>
    </row>
    <row r="9" spans="1:6" x14ac:dyDescent="0.3">
      <c r="B9" s="242" t="s">
        <v>413</v>
      </c>
      <c r="E9" s="243">
        <v>1000</v>
      </c>
      <c r="F9" s="242" t="s">
        <v>148</v>
      </c>
    </row>
    <row r="10" spans="1:6" x14ac:dyDescent="0.3">
      <c r="B10" s="242" t="s">
        <v>414</v>
      </c>
      <c r="E10" s="244">
        <f>200000/E9</f>
        <v>200</v>
      </c>
    </row>
    <row r="11" spans="1:6" x14ac:dyDescent="0.3">
      <c r="F11" s="245"/>
    </row>
    <row r="13" spans="1:6" x14ac:dyDescent="0.3">
      <c r="A13" s="242" t="s">
        <v>191</v>
      </c>
      <c r="B13" s="241"/>
    </row>
    <row r="15" spans="1:6" x14ac:dyDescent="0.3">
      <c r="B15" s="246" t="s">
        <v>415</v>
      </c>
    </row>
    <row r="16" spans="1:6" x14ac:dyDescent="0.3">
      <c r="B16" s="242" t="s">
        <v>63</v>
      </c>
      <c r="D16" s="242" t="s">
        <v>64</v>
      </c>
      <c r="E16" s="247">
        <f>3*E4</f>
        <v>120</v>
      </c>
    </row>
    <row r="17" spans="1:7" x14ac:dyDescent="0.3">
      <c r="B17" s="242" t="s">
        <v>417</v>
      </c>
      <c r="D17" s="242" t="s">
        <v>65</v>
      </c>
      <c r="E17" s="248">
        <f>80*0.5</f>
        <v>40</v>
      </c>
    </row>
    <row r="18" spans="1:7" x14ac:dyDescent="0.3">
      <c r="B18" s="242" t="s">
        <v>90</v>
      </c>
      <c r="D18" s="242" t="s">
        <v>66</v>
      </c>
      <c r="E18" s="248">
        <f>2*200</f>
        <v>400</v>
      </c>
    </row>
    <row r="19" spans="1:7" x14ac:dyDescent="0.3">
      <c r="B19" s="249" t="s">
        <v>67</v>
      </c>
      <c r="C19" s="249"/>
      <c r="D19" s="249"/>
      <c r="E19" s="249">
        <v>120</v>
      </c>
    </row>
    <row r="20" spans="1:7" x14ac:dyDescent="0.3">
      <c r="B20" s="242" t="s">
        <v>93</v>
      </c>
      <c r="E20" s="248">
        <f>SUM(E16:E19)</f>
        <v>680</v>
      </c>
    </row>
    <row r="21" spans="1:7" x14ac:dyDescent="0.3">
      <c r="B21" s="242" t="s">
        <v>68</v>
      </c>
      <c r="E21" s="248">
        <f>E20*0.25</f>
        <v>170</v>
      </c>
    </row>
    <row r="22" spans="1:7" ht="16.2" thickBot="1" x14ac:dyDescent="0.35">
      <c r="B22" s="250" t="s">
        <v>95</v>
      </c>
      <c r="C22" s="250"/>
      <c r="D22" s="250"/>
      <c r="E22" s="250">
        <f>SUM(E20:E21)</f>
        <v>850</v>
      </c>
    </row>
    <row r="23" spans="1:7" ht="16.2" thickTop="1" x14ac:dyDescent="0.3">
      <c r="F23" s="248"/>
    </row>
    <row r="25" spans="1:7" x14ac:dyDescent="0.3">
      <c r="A25" s="242" t="s">
        <v>197</v>
      </c>
      <c r="B25" s="241"/>
    </row>
    <row r="26" spans="1:7" x14ac:dyDescent="0.3">
      <c r="B26" s="229" t="s">
        <v>81</v>
      </c>
    </row>
    <row r="27" spans="1:7" x14ac:dyDescent="0.3">
      <c r="B27" s="228"/>
      <c r="C27" s="228"/>
      <c r="D27" s="228"/>
      <c r="E27" s="228"/>
      <c r="F27" s="228"/>
    </row>
    <row r="30" spans="1:7" x14ac:dyDescent="0.3">
      <c r="C30" s="238" t="s">
        <v>69</v>
      </c>
      <c r="D30" s="238" t="s">
        <v>719</v>
      </c>
      <c r="E30" s="238" t="s">
        <v>83</v>
      </c>
      <c r="F30" s="239" t="s">
        <v>141</v>
      </c>
      <c r="G30" s="239" t="s">
        <v>140</v>
      </c>
    </row>
    <row r="31" spans="1:7" x14ac:dyDescent="0.3">
      <c r="C31" s="240" t="s">
        <v>724</v>
      </c>
      <c r="D31" s="240" t="s">
        <v>725</v>
      </c>
      <c r="E31" s="240" t="s">
        <v>726</v>
      </c>
      <c r="F31" s="240" t="s">
        <v>589</v>
      </c>
      <c r="G31" s="240" t="s">
        <v>590</v>
      </c>
    </row>
    <row r="32" spans="1:7" x14ac:dyDescent="0.3">
      <c r="C32" s="233" t="s">
        <v>85</v>
      </c>
      <c r="D32" s="233" t="s">
        <v>212</v>
      </c>
      <c r="E32" s="233" t="s">
        <v>213</v>
      </c>
      <c r="F32" s="233"/>
      <c r="G32" s="233"/>
    </row>
    <row r="33" spans="2:15" x14ac:dyDescent="0.3">
      <c r="B33" s="251" t="s">
        <v>416</v>
      </c>
      <c r="C33" s="234">
        <f>40*1500</f>
        <v>60000</v>
      </c>
      <c r="D33" s="234">
        <v>62000</v>
      </c>
      <c r="E33" s="234">
        <v>62310</v>
      </c>
      <c r="F33" s="234">
        <f>C33-D33</f>
        <v>-2000</v>
      </c>
      <c r="G33" s="234">
        <f>D33-E33</f>
        <v>-310</v>
      </c>
    </row>
    <row r="34" spans="2:15" x14ac:dyDescent="0.3">
      <c r="B34" s="251" t="s">
        <v>417</v>
      </c>
      <c r="C34" s="234">
        <f>80*250</f>
        <v>20000</v>
      </c>
      <c r="D34" s="234">
        <v>20000</v>
      </c>
      <c r="E34" s="234">
        <v>19600</v>
      </c>
      <c r="F34" s="234">
        <f>C34-D34</f>
        <v>0</v>
      </c>
      <c r="G34" s="234">
        <f>D34-E34</f>
        <v>400</v>
      </c>
    </row>
    <row r="35" spans="2:15" x14ac:dyDescent="0.3">
      <c r="C35" s="227"/>
      <c r="D35" s="227"/>
      <c r="E35" s="227"/>
      <c r="F35" s="227"/>
      <c r="G35" s="227"/>
    </row>
    <row r="36" spans="2:15" x14ac:dyDescent="0.3">
      <c r="B36" s="941"/>
      <c r="C36" s="941"/>
      <c r="D36" s="941"/>
      <c r="E36" s="941"/>
      <c r="F36" s="941"/>
      <c r="G36" s="941"/>
    </row>
    <row r="37" spans="2:15" x14ac:dyDescent="0.3">
      <c r="B37" s="243" t="s">
        <v>416</v>
      </c>
      <c r="C37" s="243"/>
      <c r="D37" s="243"/>
      <c r="E37" s="243"/>
      <c r="F37" s="243"/>
      <c r="G37" s="243"/>
    </row>
    <row r="38" spans="2:15" ht="18" x14ac:dyDescent="0.4">
      <c r="B38" s="252" t="s">
        <v>419</v>
      </c>
      <c r="C38" s="243"/>
      <c r="D38" s="243"/>
      <c r="E38" s="243"/>
      <c r="F38" s="243"/>
      <c r="G38" s="243"/>
      <c r="I38" s="228"/>
      <c r="J38" s="228"/>
      <c r="K38" s="237"/>
      <c r="L38" s="237"/>
      <c r="M38" s="237"/>
      <c r="N38" s="237"/>
      <c r="O38" s="237"/>
    </row>
    <row r="39" spans="2:15" x14ac:dyDescent="0.3">
      <c r="B39" s="243" t="s">
        <v>70</v>
      </c>
      <c r="C39" s="243"/>
      <c r="D39" s="243"/>
      <c r="E39" s="243"/>
      <c r="F39" s="243"/>
      <c r="G39" s="243"/>
    </row>
    <row r="40" spans="2:15" x14ac:dyDescent="0.3">
      <c r="B40" s="941"/>
      <c r="C40" s="941"/>
      <c r="D40" s="941"/>
      <c r="E40" s="941"/>
      <c r="F40" s="941"/>
      <c r="G40" s="941"/>
    </row>
    <row r="41" spans="2:15" x14ac:dyDescent="0.3">
      <c r="B41" s="243" t="s">
        <v>417</v>
      </c>
      <c r="D41" s="243"/>
      <c r="E41" s="243"/>
      <c r="F41" s="243"/>
      <c r="G41" s="243"/>
    </row>
    <row r="42" spans="2:15" ht="18" x14ac:dyDescent="0.4">
      <c r="B42" s="252" t="s">
        <v>142</v>
      </c>
      <c r="C42" s="243"/>
      <c r="D42" s="243"/>
      <c r="E42" s="243"/>
      <c r="F42" s="243"/>
      <c r="G42" s="243"/>
    </row>
    <row r="43" spans="2:15" x14ac:dyDescent="0.3">
      <c r="B43" s="243" t="s">
        <v>53</v>
      </c>
      <c r="C43" s="243"/>
      <c r="D43" s="243"/>
      <c r="E43" s="243"/>
      <c r="F43" s="243"/>
      <c r="G43" s="243"/>
    </row>
    <row r="44" spans="2:15" x14ac:dyDescent="0.3">
      <c r="F44" s="243"/>
      <c r="G44" s="243"/>
    </row>
    <row r="45" spans="2:15" x14ac:dyDescent="0.3">
      <c r="F45" s="243"/>
      <c r="G45" s="243"/>
    </row>
    <row r="46" spans="2:15" x14ac:dyDescent="0.3">
      <c r="B46" s="243"/>
      <c r="C46" s="243"/>
      <c r="D46" s="243"/>
      <c r="E46" s="243"/>
      <c r="F46" s="243"/>
      <c r="G46" s="243"/>
    </row>
    <row r="47" spans="2:15" x14ac:dyDescent="0.3">
      <c r="B47" s="235" t="s">
        <v>214</v>
      </c>
      <c r="C47" s="236"/>
      <c r="D47" s="236"/>
      <c r="E47" s="236"/>
      <c r="F47" s="236"/>
    </row>
    <row r="48" spans="2:15" x14ac:dyDescent="0.3">
      <c r="B48" s="238" t="s">
        <v>69</v>
      </c>
      <c r="C48" s="238" t="s">
        <v>719</v>
      </c>
      <c r="D48" s="253" t="s">
        <v>83</v>
      </c>
      <c r="E48" s="253" t="s">
        <v>79</v>
      </c>
      <c r="F48" s="238" t="s">
        <v>78</v>
      </c>
    </row>
    <row r="49" spans="1:8" x14ac:dyDescent="0.3">
      <c r="B49" s="240" t="s">
        <v>724</v>
      </c>
      <c r="C49" s="240" t="s">
        <v>727</v>
      </c>
      <c r="D49" s="240" t="s">
        <v>726</v>
      </c>
      <c r="E49" s="240" t="s">
        <v>589</v>
      </c>
      <c r="F49" s="240" t="s">
        <v>590</v>
      </c>
    </row>
    <row r="50" spans="1:8" x14ac:dyDescent="0.3">
      <c r="B50" s="233" t="s">
        <v>215</v>
      </c>
      <c r="C50" s="233" t="s">
        <v>216</v>
      </c>
      <c r="D50" s="233" t="s">
        <v>217</v>
      </c>
      <c r="E50" s="233"/>
      <c r="F50" s="233"/>
    </row>
    <row r="51" spans="1:8" x14ac:dyDescent="0.3">
      <c r="B51" s="234">
        <v>200000</v>
      </c>
      <c r="C51" s="234">
        <v>193000</v>
      </c>
      <c r="D51" s="234">
        <v>196860</v>
      </c>
      <c r="E51" s="234">
        <f>B51-C51</f>
        <v>7000</v>
      </c>
      <c r="F51" s="234">
        <f>C51-D51</f>
        <v>-3860</v>
      </c>
    </row>
    <row r="52" spans="1:8" x14ac:dyDescent="0.3">
      <c r="B52" s="228"/>
      <c r="C52" s="228"/>
      <c r="D52" s="228"/>
      <c r="E52" s="228"/>
      <c r="F52" s="228"/>
    </row>
    <row r="53" spans="1:8" x14ac:dyDescent="0.3">
      <c r="B53" s="243"/>
      <c r="C53" s="243"/>
      <c r="D53" s="243"/>
      <c r="E53" s="243"/>
      <c r="F53" s="243"/>
      <c r="G53" s="243"/>
    </row>
    <row r="54" spans="1:8" ht="18" x14ac:dyDescent="0.4">
      <c r="B54" s="241" t="s">
        <v>242</v>
      </c>
    </row>
    <row r="55" spans="1:8" x14ac:dyDescent="0.3">
      <c r="B55" s="242" t="s">
        <v>420</v>
      </c>
    </row>
    <row r="57" spans="1:8" x14ac:dyDescent="0.3">
      <c r="B57" s="242" t="s">
        <v>421</v>
      </c>
    </row>
    <row r="60" spans="1:8" x14ac:dyDescent="0.3">
      <c r="A60" s="242" t="s">
        <v>203</v>
      </c>
      <c r="B60" s="241"/>
    </row>
    <row r="61" spans="1:8" x14ac:dyDescent="0.3">
      <c r="E61" s="241"/>
    </row>
    <row r="62" spans="1:8" x14ac:dyDescent="0.3">
      <c r="B62" s="254"/>
      <c r="C62" s="255"/>
      <c r="D62" s="942" t="s">
        <v>173</v>
      </c>
      <c r="E62" s="943"/>
      <c r="F62" s="944"/>
      <c r="G62" s="256" t="s">
        <v>199</v>
      </c>
      <c r="H62" s="256" t="s">
        <v>263</v>
      </c>
    </row>
    <row r="63" spans="1:8" x14ac:dyDescent="0.3">
      <c r="B63" s="257"/>
      <c r="D63" s="258" t="s">
        <v>175</v>
      </c>
      <c r="E63" s="258" t="s">
        <v>176</v>
      </c>
      <c r="F63" s="258" t="s">
        <v>145</v>
      </c>
      <c r="G63" s="259" t="s">
        <v>193</v>
      </c>
      <c r="H63" s="259" t="s">
        <v>84</v>
      </c>
    </row>
    <row r="64" spans="1:8" x14ac:dyDescent="0.3">
      <c r="B64" s="254" t="s">
        <v>96</v>
      </c>
      <c r="C64" s="255"/>
      <c r="D64" s="256">
        <v>575</v>
      </c>
      <c r="E64" s="256">
        <f>F64/D64</f>
        <v>880</v>
      </c>
      <c r="F64" s="260">
        <v>506000</v>
      </c>
      <c r="G64" s="260">
        <f>F64</f>
        <v>506000</v>
      </c>
      <c r="H64" s="256"/>
    </row>
    <row r="65" spans="2:8" x14ac:dyDescent="0.3">
      <c r="B65" s="257"/>
      <c r="D65" s="259"/>
      <c r="E65" s="259"/>
      <c r="F65" s="259"/>
      <c r="G65" s="259"/>
      <c r="H65" s="259"/>
    </row>
    <row r="66" spans="2:8" x14ac:dyDescent="0.3">
      <c r="B66" s="257" t="s">
        <v>324</v>
      </c>
      <c r="D66" s="259">
        <f>E3</f>
        <v>1500</v>
      </c>
      <c r="E66" s="259">
        <f>E4</f>
        <v>40</v>
      </c>
      <c r="F66" s="261">
        <f>D66*E66</f>
        <v>60000</v>
      </c>
      <c r="G66" s="261">
        <v>62310</v>
      </c>
      <c r="H66" s="261">
        <f>F66-G66</f>
        <v>-2310</v>
      </c>
    </row>
    <row r="67" spans="2:8" x14ac:dyDescent="0.3">
      <c r="B67" s="257" t="s">
        <v>325</v>
      </c>
      <c r="D67" s="259">
        <f>E6</f>
        <v>250</v>
      </c>
      <c r="E67" s="259">
        <v>80</v>
      </c>
      <c r="F67" s="261">
        <f>D67*E67</f>
        <v>20000</v>
      </c>
      <c r="G67" s="261">
        <v>19600</v>
      </c>
      <c r="H67" s="261">
        <f>F67-G67</f>
        <v>400</v>
      </c>
    </row>
    <row r="68" spans="2:8" x14ac:dyDescent="0.3">
      <c r="B68" s="257" t="s">
        <v>90</v>
      </c>
      <c r="D68" s="259">
        <v>1000</v>
      </c>
      <c r="E68" s="259">
        <v>200</v>
      </c>
      <c r="F68" s="261">
        <f>D68*E68</f>
        <v>200000</v>
      </c>
      <c r="G68" s="261">
        <v>196860</v>
      </c>
      <c r="H68" s="262">
        <f>F68-G68</f>
        <v>3140</v>
      </c>
    </row>
    <row r="69" spans="2:8" x14ac:dyDescent="0.3">
      <c r="B69" s="257"/>
      <c r="D69" s="261"/>
      <c r="E69" s="263"/>
      <c r="F69" s="263"/>
      <c r="G69" s="261"/>
      <c r="H69" s="264">
        <f>SUM(H66:H68)</f>
        <v>1230</v>
      </c>
    </row>
    <row r="70" spans="2:8" x14ac:dyDescent="0.3">
      <c r="B70" s="265" t="s">
        <v>403</v>
      </c>
      <c r="D70" s="261"/>
      <c r="E70" s="261"/>
      <c r="F70" s="263"/>
      <c r="G70" s="261"/>
      <c r="H70" s="266" t="s">
        <v>265</v>
      </c>
    </row>
    <row r="71" spans="2:8" x14ac:dyDescent="0.3">
      <c r="B71" s="267" t="s">
        <v>267</v>
      </c>
      <c r="D71" s="259">
        <f>D68</f>
        <v>1000</v>
      </c>
      <c r="E71" s="259">
        <v>60</v>
      </c>
      <c r="F71" s="261">
        <f>D71*E71</f>
        <v>60000</v>
      </c>
      <c r="G71" s="261">
        <v>66200</v>
      </c>
      <c r="H71" s="268">
        <f>F71-G71</f>
        <v>-6200</v>
      </c>
    </row>
    <row r="72" spans="2:8" x14ac:dyDescent="0.3">
      <c r="B72" s="257" t="s">
        <v>394</v>
      </c>
      <c r="D72" s="261"/>
      <c r="E72" s="261"/>
      <c r="F72" s="261">
        <f>SUM(F66:F71)</f>
        <v>340000</v>
      </c>
      <c r="G72" s="261"/>
      <c r="H72" s="268"/>
    </row>
    <row r="73" spans="2:8" x14ac:dyDescent="0.3">
      <c r="B73" s="269" t="s">
        <v>153</v>
      </c>
      <c r="C73" s="270"/>
      <c r="D73" s="262"/>
      <c r="E73" s="262"/>
      <c r="F73" s="262"/>
      <c r="G73" s="261"/>
      <c r="H73" s="268"/>
    </row>
    <row r="74" spans="2:8" x14ac:dyDescent="0.3">
      <c r="B74" s="257" t="s">
        <v>395</v>
      </c>
      <c r="D74" s="261"/>
      <c r="E74" s="243"/>
      <c r="F74" s="271">
        <f>SUM(F72)</f>
        <v>340000</v>
      </c>
      <c r="G74" s="261"/>
      <c r="H74" s="268"/>
    </row>
    <row r="75" spans="2:8" x14ac:dyDescent="0.3">
      <c r="B75" s="269" t="s">
        <v>350</v>
      </c>
      <c r="C75" s="270"/>
      <c r="D75" s="272">
        <v>75</v>
      </c>
      <c r="E75" s="273">
        <f>E20</f>
        <v>680</v>
      </c>
      <c r="F75" s="274">
        <f>D75*E75</f>
        <v>51000</v>
      </c>
      <c r="G75" s="261">
        <f>F75</f>
        <v>51000</v>
      </c>
      <c r="H75" s="268"/>
    </row>
    <row r="76" spans="2:8" x14ac:dyDescent="0.3">
      <c r="B76" s="257" t="s">
        <v>383</v>
      </c>
      <c r="D76" s="261"/>
      <c r="E76" s="243"/>
      <c r="F76" s="271">
        <f>SUM(F74:F75)</f>
        <v>391000</v>
      </c>
      <c r="G76" s="261"/>
      <c r="H76" s="268"/>
    </row>
    <row r="77" spans="2:8" x14ac:dyDescent="0.3">
      <c r="B77" s="269" t="s">
        <v>72</v>
      </c>
      <c r="C77" s="270"/>
      <c r="D77" s="272">
        <v>391000</v>
      </c>
      <c r="E77" s="275">
        <v>0.25</v>
      </c>
      <c r="F77" s="274">
        <f>D77*E77</f>
        <v>97750</v>
      </c>
      <c r="G77" s="261">
        <v>66500</v>
      </c>
      <c r="H77" s="268">
        <f>F77-G77</f>
        <v>31250</v>
      </c>
    </row>
    <row r="78" spans="2:8" x14ac:dyDescent="0.3">
      <c r="B78" s="257" t="s">
        <v>384</v>
      </c>
      <c r="D78" s="261"/>
      <c r="E78" s="243"/>
      <c r="F78" s="271">
        <f>SUM(F76:F77)</f>
        <v>488750</v>
      </c>
      <c r="G78" s="261"/>
      <c r="H78" s="268"/>
    </row>
    <row r="79" spans="2:8" x14ac:dyDescent="0.3">
      <c r="B79" s="269"/>
      <c r="C79" s="270"/>
      <c r="D79" s="272"/>
      <c r="E79" s="273"/>
      <c r="F79" s="274"/>
      <c r="G79" s="261"/>
      <c r="H79" s="268"/>
    </row>
    <row r="80" spans="2:8" x14ac:dyDescent="0.3">
      <c r="B80" s="257" t="s">
        <v>385</v>
      </c>
      <c r="D80" s="261"/>
      <c r="E80" s="243"/>
      <c r="F80" s="271">
        <f>F64-F78</f>
        <v>17250</v>
      </c>
      <c r="G80" s="261"/>
      <c r="H80" s="268"/>
    </row>
    <row r="81" spans="1:9" x14ac:dyDescent="0.3">
      <c r="B81" s="257" t="s">
        <v>179</v>
      </c>
      <c r="D81" s="261"/>
      <c r="E81" s="243"/>
      <c r="F81" s="271">
        <f>H69</f>
        <v>1230</v>
      </c>
      <c r="G81" s="263"/>
      <c r="H81" s="276"/>
    </row>
    <row r="82" spans="1:9" x14ac:dyDescent="0.3">
      <c r="B82" s="269" t="s">
        <v>160</v>
      </c>
      <c r="C82" s="270"/>
      <c r="D82" s="262"/>
      <c r="E82" s="277"/>
      <c r="F82" s="274">
        <f>H82</f>
        <v>25050</v>
      </c>
      <c r="G82" s="262"/>
      <c r="H82" s="278">
        <f>SUM(H71:H77)</f>
        <v>25050</v>
      </c>
    </row>
    <row r="83" spans="1:9" x14ac:dyDescent="0.3">
      <c r="B83" s="269" t="s">
        <v>187</v>
      </c>
      <c r="C83" s="270"/>
      <c r="D83" s="262"/>
      <c r="E83" s="277"/>
      <c r="F83" s="262">
        <f>SUM(F80:F82)</f>
        <v>43530</v>
      </c>
      <c r="G83" s="262">
        <f>G64-G66-G67-G68-G71-G75-G77</f>
        <v>43530</v>
      </c>
      <c r="H83" s="243"/>
    </row>
    <row r="84" spans="1:9" x14ac:dyDescent="0.3">
      <c r="E84" s="243"/>
      <c r="F84" s="243"/>
      <c r="G84" s="243"/>
      <c r="H84" s="243"/>
      <c r="I84" s="243"/>
    </row>
    <row r="85" spans="1:9" x14ac:dyDescent="0.3">
      <c r="E85" s="243"/>
      <c r="F85" s="243"/>
      <c r="G85" s="243"/>
      <c r="H85" s="243"/>
      <c r="I85" s="243"/>
    </row>
    <row r="86" spans="1:9" x14ac:dyDescent="0.3">
      <c r="E86" s="243"/>
      <c r="F86" s="243"/>
      <c r="G86" s="243"/>
      <c r="H86" s="243"/>
      <c r="I86" s="243"/>
    </row>
    <row r="87" spans="1:9" x14ac:dyDescent="0.3">
      <c r="E87" s="243"/>
      <c r="F87" s="243"/>
      <c r="G87" s="243"/>
      <c r="H87" s="243"/>
      <c r="I87" s="243"/>
    </row>
    <row r="90" spans="1:9" x14ac:dyDescent="0.3">
      <c r="A90" s="242" t="s">
        <v>204</v>
      </c>
      <c r="B90" s="241"/>
    </row>
    <row r="91" spans="1:9" x14ac:dyDescent="0.3">
      <c r="C91" s="279">
        <v>1</v>
      </c>
      <c r="D91" s="280">
        <v>2</v>
      </c>
      <c r="E91" s="280">
        <v>3</v>
      </c>
      <c r="F91" s="280" t="s">
        <v>249</v>
      </c>
      <c r="G91" s="280" t="s">
        <v>293</v>
      </c>
    </row>
    <row r="92" spans="1:9" ht="19.8" x14ac:dyDescent="0.3">
      <c r="B92" s="251"/>
      <c r="C92" s="230" t="s">
        <v>387</v>
      </c>
      <c r="D92" s="232" t="s">
        <v>388</v>
      </c>
      <c r="E92" s="231" t="s">
        <v>199</v>
      </c>
      <c r="F92" s="231" t="str">
        <f>F97</f>
        <v>1–2</v>
      </c>
      <c r="G92" s="231" t="str">
        <f>G97</f>
        <v>2–3</v>
      </c>
      <c r="H92" s="281"/>
      <c r="I92" s="281"/>
    </row>
    <row r="93" spans="1:9" x14ac:dyDescent="0.3">
      <c r="B93" s="251" t="s">
        <v>396</v>
      </c>
      <c r="C93" s="282">
        <f>D105</f>
        <v>50000</v>
      </c>
      <c r="D93" s="282">
        <f>E112</f>
        <v>55000</v>
      </c>
      <c r="E93" s="282">
        <v>55000</v>
      </c>
      <c r="F93" s="283">
        <f>C93-D93</f>
        <v>-5000</v>
      </c>
      <c r="G93" s="283">
        <f>D93-E93</f>
        <v>0</v>
      </c>
      <c r="H93" s="243"/>
      <c r="I93" s="243"/>
    </row>
    <row r="94" spans="1:9" x14ac:dyDescent="0.3">
      <c r="H94" s="243"/>
      <c r="I94" s="243"/>
    </row>
    <row r="96" spans="1:9" ht="27.6" x14ac:dyDescent="0.3">
      <c r="C96" s="284">
        <v>1</v>
      </c>
      <c r="D96" s="284">
        <v>2</v>
      </c>
      <c r="E96" s="284">
        <v>3</v>
      </c>
      <c r="F96" s="284" t="s">
        <v>398</v>
      </c>
      <c r="G96" s="284" t="s">
        <v>293</v>
      </c>
    </row>
    <row r="97" spans="2:9" ht="17.399999999999999" x14ac:dyDescent="0.3">
      <c r="C97" s="284" t="s">
        <v>374</v>
      </c>
      <c r="D97" s="284" t="s">
        <v>375</v>
      </c>
      <c r="E97" s="284" t="s">
        <v>199</v>
      </c>
      <c r="F97" s="284" t="s">
        <v>296</v>
      </c>
      <c r="G97" s="284" t="s">
        <v>297</v>
      </c>
    </row>
    <row r="98" spans="2:9" x14ac:dyDescent="0.3">
      <c r="B98" s="251" t="s">
        <v>397</v>
      </c>
      <c r="C98" s="282">
        <f>D106</f>
        <v>10000</v>
      </c>
      <c r="D98" s="282">
        <f>E113</f>
        <v>9650</v>
      </c>
      <c r="E98" s="282">
        <f>66200-55000</f>
        <v>11200</v>
      </c>
      <c r="F98" s="283">
        <f>C98-D98</f>
        <v>350</v>
      </c>
      <c r="G98" s="283">
        <f>D98-E98</f>
        <v>-1550</v>
      </c>
    </row>
    <row r="99" spans="2:9" x14ac:dyDescent="0.3">
      <c r="G99" s="243"/>
    </row>
    <row r="101" spans="2:9" x14ac:dyDescent="0.3">
      <c r="B101" s="242" t="s">
        <v>422</v>
      </c>
    </row>
    <row r="102" spans="2:9" x14ac:dyDescent="0.3">
      <c r="B102" s="573">
        <f>F93+G93+F98+G98</f>
        <v>-6200</v>
      </c>
    </row>
    <row r="104" spans="2:9" x14ac:dyDescent="0.3">
      <c r="B104" s="241" t="s">
        <v>322</v>
      </c>
      <c r="H104" s="285"/>
      <c r="I104" s="286"/>
    </row>
    <row r="105" spans="2:9" x14ac:dyDescent="0.3">
      <c r="B105" s="242" t="s">
        <v>54</v>
      </c>
      <c r="D105" s="243">
        <v>50000</v>
      </c>
      <c r="H105" s="285"/>
      <c r="I105" s="286"/>
    </row>
    <row r="106" spans="2:9" x14ac:dyDescent="0.3">
      <c r="B106" s="242" t="s">
        <v>55</v>
      </c>
      <c r="D106" s="243">
        <v>10000</v>
      </c>
      <c r="H106" s="285"/>
      <c r="I106" s="286"/>
    </row>
    <row r="107" spans="2:9" x14ac:dyDescent="0.3">
      <c r="H107" s="285"/>
      <c r="I107" s="286"/>
    </row>
    <row r="108" spans="2:9" x14ac:dyDescent="0.3">
      <c r="B108" s="241" t="s">
        <v>405</v>
      </c>
    </row>
    <row r="109" spans="2:9" x14ac:dyDescent="0.3">
      <c r="B109" s="242" t="s">
        <v>56</v>
      </c>
    </row>
    <row r="110" spans="2:9" x14ac:dyDescent="0.3">
      <c r="B110" s="242" t="s">
        <v>57</v>
      </c>
    </row>
    <row r="111" spans="2:9" x14ac:dyDescent="0.3">
      <c r="B111" s="242" t="s">
        <v>58</v>
      </c>
    </row>
    <row r="112" spans="2:9" x14ac:dyDescent="0.3">
      <c r="B112" s="242" t="s">
        <v>423</v>
      </c>
      <c r="E112" s="243">
        <f>660000/12</f>
        <v>55000</v>
      </c>
    </row>
    <row r="113" spans="1:8" x14ac:dyDescent="0.3">
      <c r="B113" s="242" t="s">
        <v>59</v>
      </c>
      <c r="E113" s="243">
        <v>9650</v>
      </c>
      <c r="G113" s="243"/>
    </row>
    <row r="114" spans="1:8" x14ac:dyDescent="0.3">
      <c r="G114" s="243"/>
      <c r="H114" s="243"/>
    </row>
    <row r="115" spans="1:8" x14ac:dyDescent="0.3">
      <c r="B115" s="242" t="s">
        <v>424</v>
      </c>
      <c r="D115" s="243"/>
    </row>
    <row r="116" spans="1:8" x14ac:dyDescent="0.3">
      <c r="B116" s="242" t="s">
        <v>60</v>
      </c>
      <c r="D116" s="243"/>
    </row>
    <row r="117" spans="1:8" x14ac:dyDescent="0.3">
      <c r="B117" s="242" t="s">
        <v>61</v>
      </c>
      <c r="D117" s="243"/>
    </row>
    <row r="118" spans="1:8" x14ac:dyDescent="0.3">
      <c r="D118" s="243"/>
    </row>
    <row r="119" spans="1:8" x14ac:dyDescent="0.3">
      <c r="B119" s="242" t="s">
        <v>1140</v>
      </c>
      <c r="D119" s="243"/>
    </row>
    <row r="120" spans="1:8" x14ac:dyDescent="0.3">
      <c r="B120" s="242" t="s">
        <v>425</v>
      </c>
    </row>
    <row r="122" spans="1:8" x14ac:dyDescent="0.3">
      <c r="B122" s="242" t="s">
        <v>426</v>
      </c>
    </row>
    <row r="123" spans="1:8" x14ac:dyDescent="0.3">
      <c r="B123" s="242" t="s">
        <v>36</v>
      </c>
    </row>
    <row r="125" spans="1:8" x14ac:dyDescent="0.3">
      <c r="A125" s="242" t="s">
        <v>518</v>
      </c>
      <c r="B125" s="241"/>
    </row>
    <row r="127" spans="1:8" x14ac:dyDescent="0.3">
      <c r="B127" s="242" t="s">
        <v>37</v>
      </c>
    </row>
    <row r="128" spans="1:8" x14ac:dyDescent="0.3">
      <c r="B128" s="242" t="s">
        <v>38</v>
      </c>
    </row>
    <row r="129" spans="2:2" x14ac:dyDescent="0.3">
      <c r="B129" s="242" t="s">
        <v>39</v>
      </c>
    </row>
    <row r="130" spans="2:2" x14ac:dyDescent="0.3">
      <c r="B130" s="242" t="s">
        <v>40</v>
      </c>
    </row>
    <row r="131" spans="2:2" x14ac:dyDescent="0.3">
      <c r="B131" s="242" t="s">
        <v>427</v>
      </c>
    </row>
    <row r="132" spans="2:2" x14ac:dyDescent="0.3">
      <c r="B132" s="242" t="s">
        <v>428</v>
      </c>
    </row>
    <row r="134" spans="2:2" x14ac:dyDescent="0.3">
      <c r="B134" s="242" t="s">
        <v>482</v>
      </c>
    </row>
    <row r="135" spans="2:2" x14ac:dyDescent="0.3">
      <c r="B135" s="242" t="s">
        <v>429</v>
      </c>
    </row>
    <row r="136" spans="2:2" x14ac:dyDescent="0.3">
      <c r="B136" s="242" t="s">
        <v>41</v>
      </c>
    </row>
    <row r="137" spans="2:2" x14ac:dyDescent="0.3">
      <c r="B137" s="242" t="s">
        <v>430</v>
      </c>
    </row>
    <row r="139" spans="2:2" x14ac:dyDescent="0.3">
      <c r="B139" s="242" t="s">
        <v>431</v>
      </c>
    </row>
    <row r="140" spans="2:2" x14ac:dyDescent="0.3">
      <c r="B140" s="242" t="s">
        <v>432</v>
      </c>
    </row>
  </sheetData>
  <mergeCells count="3">
    <mergeCell ref="B36:G36"/>
    <mergeCell ref="B40:G40"/>
    <mergeCell ref="D62:F62"/>
  </mergeCells>
  <phoneticPr fontId="42" type="noConversion"/>
  <pageMargins left="0.59055118110236227" right="0.59055118110236227" top="0.98425196850393704" bottom="0.98425196850393704" header="0.51181102362204722" footer="0.51181102362204722"/>
  <pageSetup paperSize="9" scale="71" fitToHeight="0" orientation="portrait" r:id="rId1"/>
  <headerFooter alignWithMargins="0">
    <oddHeader>&amp;A&amp;RSide &amp;P</oddHeader>
    <oddFooter>&amp;CLøsning kapittel 5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122"/>
  <sheetViews>
    <sheetView zoomScale="150" zoomScaleNormal="150" workbookViewId="0">
      <selection activeCell="C58" sqref="C58"/>
    </sheetView>
  </sheetViews>
  <sheetFormatPr baseColWidth="10" defaultColWidth="11.33203125" defaultRowHeight="14.4" x14ac:dyDescent="0.3"/>
  <cols>
    <col min="1" max="1" width="2.88671875" style="576" customWidth="1"/>
    <col min="2" max="2" width="25.88671875" style="576" customWidth="1"/>
    <col min="3" max="4" width="11.33203125" style="576"/>
    <col min="5" max="5" width="13" style="576" customWidth="1"/>
    <col min="6" max="7" width="11.33203125" style="576"/>
    <col min="8" max="9" width="14.6640625" style="576" customWidth="1"/>
    <col min="10" max="10" width="16.109375" style="576" customWidth="1"/>
    <col min="11" max="11" width="14.109375" style="576" customWidth="1"/>
    <col min="12" max="16384" width="11.33203125" style="576"/>
  </cols>
  <sheetData>
    <row r="1" spans="2:10" x14ac:dyDescent="0.3">
      <c r="B1" s="576" t="s">
        <v>1125</v>
      </c>
      <c r="E1" s="637"/>
    </row>
    <row r="2" spans="2:10" x14ac:dyDescent="0.3">
      <c r="E2" s="637"/>
    </row>
    <row r="3" spans="2:10" x14ac:dyDescent="0.3">
      <c r="B3" s="623" t="s">
        <v>919</v>
      </c>
    </row>
    <row r="4" spans="2:10" ht="15" thickBot="1" x14ac:dyDescent="0.35"/>
    <row r="5" spans="2:10" ht="15" thickBot="1" x14ac:dyDescent="0.35">
      <c r="B5" s="622" t="s">
        <v>918</v>
      </c>
      <c r="D5" s="630" t="s">
        <v>839</v>
      </c>
      <c r="E5" s="687"/>
    </row>
    <row r="6" spans="2:10" ht="15" thickBot="1" x14ac:dyDescent="0.35">
      <c r="B6" s="623" t="s">
        <v>1036</v>
      </c>
      <c r="D6" s="805" t="s">
        <v>916</v>
      </c>
      <c r="E6" s="806" t="s">
        <v>915</v>
      </c>
      <c r="H6" s="623" t="s">
        <v>1058</v>
      </c>
    </row>
    <row r="7" spans="2:10" ht="16.8" thickBot="1" x14ac:dyDescent="0.35">
      <c r="B7" s="639" t="s">
        <v>914</v>
      </c>
      <c r="C7" s="696">
        <v>1200</v>
      </c>
      <c r="D7" s="803">
        <v>3</v>
      </c>
      <c r="E7" s="803">
        <v>6</v>
      </c>
      <c r="F7" s="594" t="s">
        <v>912</v>
      </c>
      <c r="H7" s="576" t="s">
        <v>889</v>
      </c>
      <c r="J7" s="707">
        <v>1</v>
      </c>
    </row>
    <row r="8" spans="2:10" ht="16.8" thickBot="1" x14ac:dyDescent="0.35">
      <c r="B8" s="639" t="s">
        <v>913</v>
      </c>
      <c r="C8" s="696">
        <v>1650</v>
      </c>
      <c r="D8" s="804">
        <v>2</v>
      </c>
      <c r="E8" s="804">
        <v>4</v>
      </c>
      <c r="F8" s="638" t="s">
        <v>912</v>
      </c>
      <c r="H8" s="576" t="s">
        <v>888</v>
      </c>
      <c r="J8" s="634">
        <v>0</v>
      </c>
    </row>
    <row r="9" spans="2:10" ht="15" thickBot="1" x14ac:dyDescent="0.35">
      <c r="B9" s="636" t="s">
        <v>911</v>
      </c>
      <c r="C9" s="765">
        <v>400</v>
      </c>
      <c r="D9" s="804">
        <v>5</v>
      </c>
      <c r="E9" s="804">
        <v>7</v>
      </c>
      <c r="F9" s="595" t="s">
        <v>447</v>
      </c>
      <c r="H9" s="576" t="s">
        <v>90</v>
      </c>
      <c r="J9" s="707">
        <v>0.5</v>
      </c>
    </row>
    <row r="10" spans="2:10" ht="17.100000000000001" customHeight="1" x14ac:dyDescent="0.3">
      <c r="B10" s="632" t="s">
        <v>1035</v>
      </c>
      <c r="C10" s="730"/>
    </row>
    <row r="11" spans="2:10" ht="19.2" customHeight="1" thickBot="1" x14ac:dyDescent="0.35">
      <c r="B11" s="636" t="s">
        <v>1034</v>
      </c>
      <c r="C11" s="765">
        <v>800</v>
      </c>
    </row>
    <row r="12" spans="2:10" ht="17.100000000000001" customHeight="1" x14ac:dyDescent="0.3">
      <c r="B12" s="699" t="s">
        <v>1033</v>
      </c>
      <c r="C12" s="730"/>
    </row>
    <row r="13" spans="2:10" ht="16.8" thickBot="1" x14ac:dyDescent="0.35">
      <c r="B13" s="636" t="s">
        <v>1032</v>
      </c>
      <c r="C13" s="765">
        <v>1000</v>
      </c>
    </row>
    <row r="14" spans="2:10" x14ac:dyDescent="0.3">
      <c r="B14" s="698" t="s">
        <v>1031</v>
      </c>
      <c r="C14" s="730"/>
    </row>
    <row r="15" spans="2:10" ht="18" customHeight="1" thickBot="1" x14ac:dyDescent="0.35">
      <c r="B15" s="636" t="s">
        <v>84</v>
      </c>
      <c r="C15" s="765">
        <v>2500</v>
      </c>
      <c r="D15" s="576" t="s">
        <v>1030</v>
      </c>
    </row>
    <row r="16" spans="2:10" ht="15" thickBot="1" x14ac:dyDescent="0.35">
      <c r="B16" s="697" t="s">
        <v>1029</v>
      </c>
      <c r="D16" s="696">
        <v>25000</v>
      </c>
      <c r="E16" s="696">
        <v>35000</v>
      </c>
    </row>
    <row r="17" spans="2:8" ht="18.600000000000001" customHeight="1" x14ac:dyDescent="0.3"/>
    <row r="18" spans="2:8" x14ac:dyDescent="0.3">
      <c r="B18" s="623" t="s">
        <v>910</v>
      </c>
    </row>
    <row r="19" spans="2:8" ht="17.7" customHeight="1" x14ac:dyDescent="0.3"/>
    <row r="21" spans="2:8" ht="15" thickBot="1" x14ac:dyDescent="0.35"/>
    <row r="22" spans="2:8" ht="15" thickBot="1" x14ac:dyDescent="0.35">
      <c r="B22" s="627" t="s">
        <v>909</v>
      </c>
      <c r="C22" s="891" t="s">
        <v>908</v>
      </c>
      <c r="D22" s="892"/>
      <c r="E22" s="893" t="s">
        <v>907</v>
      </c>
      <c r="F22" s="893"/>
      <c r="G22" s="894" t="s">
        <v>114</v>
      </c>
      <c r="H22" s="895"/>
    </row>
    <row r="23" spans="2:8" x14ac:dyDescent="0.3">
      <c r="B23" s="632" t="str">
        <f>D6</f>
        <v>Skrog 1</v>
      </c>
      <c r="C23" s="945">
        <v>120</v>
      </c>
      <c r="D23" s="946"/>
      <c r="E23" s="945">
        <v>135</v>
      </c>
      <c r="F23" s="946"/>
      <c r="G23" s="947">
        <v>120</v>
      </c>
      <c r="H23" s="946"/>
    </row>
    <row r="24" spans="2:8" ht="15" thickBot="1" x14ac:dyDescent="0.35">
      <c r="B24" s="631" t="str">
        <f>E6</f>
        <v>Skrog 2</v>
      </c>
      <c r="C24" s="948">
        <v>170</v>
      </c>
      <c r="D24" s="949"/>
      <c r="E24" s="948">
        <v>185</v>
      </c>
      <c r="F24" s="949"/>
      <c r="G24" s="950">
        <v>170</v>
      </c>
      <c r="H24" s="949"/>
    </row>
    <row r="25" spans="2:8" ht="15" thickBot="1" x14ac:dyDescent="0.35">
      <c r="C25" s="598"/>
      <c r="D25" s="598"/>
      <c r="E25" s="598"/>
      <c r="F25" s="598"/>
      <c r="G25" s="598"/>
      <c r="H25" s="598"/>
    </row>
    <row r="26" spans="2:8" ht="16.8" thickBot="1" x14ac:dyDescent="0.35">
      <c r="B26" s="630" t="s">
        <v>906</v>
      </c>
      <c r="C26" s="657"/>
      <c r="D26" s="951" t="s">
        <v>905</v>
      </c>
      <c r="E26" s="952"/>
      <c r="F26" s="951" t="s">
        <v>904</v>
      </c>
      <c r="G26" s="953"/>
      <c r="H26" s="952"/>
    </row>
    <row r="27" spans="2:8" ht="15" thickBot="1" x14ac:dyDescent="0.35">
      <c r="B27" s="629" t="s">
        <v>889</v>
      </c>
      <c r="C27" s="807"/>
      <c r="D27" s="906">
        <v>1050</v>
      </c>
      <c r="E27" s="908"/>
      <c r="F27" s="906">
        <v>1332000</v>
      </c>
      <c r="G27" s="907"/>
      <c r="H27" s="908"/>
    </row>
    <row r="28" spans="2:8" ht="15" thickBot="1" x14ac:dyDescent="0.35">
      <c r="B28" s="629" t="s">
        <v>888</v>
      </c>
      <c r="C28" s="807"/>
      <c r="D28" s="906">
        <v>935</v>
      </c>
      <c r="E28" s="908"/>
      <c r="F28" s="906">
        <v>1485000</v>
      </c>
      <c r="G28" s="907"/>
      <c r="H28" s="908"/>
    </row>
    <row r="29" spans="2:8" ht="15" thickBot="1" x14ac:dyDescent="0.35">
      <c r="B29" s="629" t="s">
        <v>90</v>
      </c>
      <c r="C29" s="807"/>
      <c r="D29" s="906">
        <v>1436</v>
      </c>
      <c r="E29" s="908"/>
      <c r="F29" s="906">
        <v>592000</v>
      </c>
      <c r="G29" s="907"/>
      <c r="H29" s="908"/>
    </row>
    <row r="30" spans="2:8" ht="15" thickBot="1" x14ac:dyDescent="0.35">
      <c r="B30" s="629" t="s">
        <v>1028</v>
      </c>
      <c r="C30" s="807"/>
      <c r="D30" s="882"/>
      <c r="E30" s="883"/>
      <c r="F30" s="906">
        <v>1215000</v>
      </c>
      <c r="G30" s="907"/>
      <c r="H30" s="908"/>
    </row>
    <row r="31" spans="2:8" ht="15" thickBot="1" x14ac:dyDescent="0.35">
      <c r="B31" s="639" t="s">
        <v>1027</v>
      </c>
      <c r="C31" s="808"/>
      <c r="D31" s="882"/>
      <c r="E31" s="883"/>
      <c r="F31" s="906">
        <v>1520000</v>
      </c>
      <c r="G31" s="907"/>
      <c r="H31" s="908"/>
    </row>
    <row r="32" spans="2:8" ht="15" thickBot="1" x14ac:dyDescent="0.35">
      <c r="B32" s="629" t="s">
        <v>1026</v>
      </c>
      <c r="C32" s="809"/>
      <c r="D32" s="882"/>
      <c r="E32" s="883"/>
      <c r="F32" s="906">
        <v>685000</v>
      </c>
      <c r="G32" s="907"/>
      <c r="H32" s="908"/>
    </row>
    <row r="33" spans="1:11" ht="15" thickBot="1" x14ac:dyDescent="0.35">
      <c r="B33" s="629" t="s">
        <v>1124</v>
      </c>
      <c r="C33" s="809"/>
      <c r="D33" s="882"/>
      <c r="E33" s="883"/>
      <c r="F33" s="906">
        <v>2695000</v>
      </c>
      <c r="G33" s="907"/>
      <c r="H33" s="908"/>
    </row>
    <row r="34" spans="1:11" ht="15" thickBot="1" x14ac:dyDescent="0.35">
      <c r="B34" s="706" t="s">
        <v>1123</v>
      </c>
      <c r="C34" s="810"/>
      <c r="D34" s="882"/>
      <c r="E34" s="883"/>
      <c r="F34" s="906">
        <v>5890000</v>
      </c>
      <c r="G34" s="907"/>
      <c r="H34" s="908"/>
      <c r="J34" s="586"/>
    </row>
    <row r="38" spans="1:11" x14ac:dyDescent="0.3">
      <c r="B38" s="623" t="s">
        <v>903</v>
      </c>
    </row>
    <row r="40" spans="1:11" ht="15" thickBot="1" x14ac:dyDescent="0.35"/>
    <row r="41" spans="1:11" ht="15" thickBot="1" x14ac:dyDescent="0.35">
      <c r="A41" s="576" t="s">
        <v>189</v>
      </c>
      <c r="B41" s="623" t="s">
        <v>1023</v>
      </c>
      <c r="D41" s="912" t="str">
        <f>D6</f>
        <v>Skrog 1</v>
      </c>
      <c r="E41" s="913"/>
      <c r="F41" s="912" t="str">
        <f>E6</f>
        <v>Skrog 2</v>
      </c>
      <c r="G41" s="913"/>
      <c r="H41" s="894" t="str">
        <f>D41</f>
        <v>Skrog 1</v>
      </c>
      <c r="I41" s="895"/>
      <c r="J41" s="894" t="str">
        <f>F41</f>
        <v>Skrog 2</v>
      </c>
      <c r="K41" s="895"/>
    </row>
    <row r="42" spans="1:11" ht="15" thickBot="1" x14ac:dyDescent="0.35">
      <c r="B42" s="627"/>
      <c r="C42" s="626"/>
      <c r="D42" s="914" t="s">
        <v>900</v>
      </c>
      <c r="E42" s="915"/>
      <c r="F42" s="914" t="s">
        <v>900</v>
      </c>
      <c r="G42" s="913"/>
      <c r="H42" s="954" t="s">
        <v>347</v>
      </c>
      <c r="I42" s="892"/>
      <c r="J42" s="954" t="s">
        <v>347</v>
      </c>
      <c r="K42" s="892"/>
    </row>
    <row r="43" spans="1:11" x14ac:dyDescent="0.3">
      <c r="B43" s="625" t="s">
        <v>889</v>
      </c>
      <c r="C43" s="624"/>
      <c r="D43" s="924">
        <f>C7*D7</f>
        <v>3600</v>
      </c>
      <c r="E43" s="925"/>
      <c r="F43" s="955">
        <f>C7*E7</f>
        <v>7200</v>
      </c>
      <c r="G43" s="925"/>
      <c r="H43" s="956">
        <f>D43*J7</f>
        <v>3600</v>
      </c>
      <c r="I43" s="957"/>
      <c r="J43" s="956">
        <f>F43*J7</f>
        <v>7200</v>
      </c>
      <c r="K43" s="957"/>
    </row>
    <row r="44" spans="1:11" x14ac:dyDescent="0.3">
      <c r="B44" s="625" t="s">
        <v>888</v>
      </c>
      <c r="C44" s="624"/>
      <c r="D44" s="926">
        <f>C8*D8</f>
        <v>3300</v>
      </c>
      <c r="E44" s="927"/>
      <c r="F44" s="958">
        <f>C8*E8</f>
        <v>6600</v>
      </c>
      <c r="G44" s="927"/>
      <c r="H44" s="959">
        <f>J8</f>
        <v>0</v>
      </c>
      <c r="I44" s="960"/>
      <c r="J44" s="959">
        <f>J8</f>
        <v>0</v>
      </c>
      <c r="K44" s="960"/>
    </row>
    <row r="45" spans="1:11" x14ac:dyDescent="0.3">
      <c r="B45" s="625" t="s">
        <v>90</v>
      </c>
      <c r="C45" s="624"/>
      <c r="D45" s="926">
        <f>C9*D9</f>
        <v>2000</v>
      </c>
      <c r="E45" s="927"/>
      <c r="F45" s="958">
        <f>C9*E9</f>
        <v>2800</v>
      </c>
      <c r="G45" s="927"/>
      <c r="H45" s="959">
        <f>D45*J9</f>
        <v>1000</v>
      </c>
      <c r="I45" s="960"/>
      <c r="J45" s="959">
        <f>F45*J9</f>
        <v>1400</v>
      </c>
      <c r="K45" s="960"/>
    </row>
    <row r="46" spans="1:11" x14ac:dyDescent="0.3">
      <c r="B46" s="625" t="str">
        <f>B30</f>
        <v>Indirekte variable tilv.kostnader</v>
      </c>
      <c r="C46" s="624"/>
      <c r="D46" s="926">
        <f>C11*D9</f>
        <v>4000</v>
      </c>
      <c r="E46" s="927"/>
      <c r="F46" s="958">
        <f>C11*E9</f>
        <v>5600</v>
      </c>
      <c r="G46" s="927"/>
      <c r="H46" s="959">
        <f>D46*J9</f>
        <v>2000</v>
      </c>
      <c r="I46" s="960"/>
      <c r="J46" s="959">
        <f>F46*J9</f>
        <v>2800</v>
      </c>
      <c r="K46" s="960"/>
    </row>
    <row r="47" spans="1:11" x14ac:dyDescent="0.3">
      <c r="B47" s="625" t="str">
        <f>B31</f>
        <v>Indirekte faste tilv. kostnader</v>
      </c>
      <c r="C47" s="624"/>
      <c r="D47" s="926">
        <f>C13*D9</f>
        <v>5000</v>
      </c>
      <c r="E47" s="927"/>
      <c r="F47" s="958">
        <f>C13*E9</f>
        <v>7000</v>
      </c>
      <c r="G47" s="927"/>
      <c r="H47" s="959">
        <f>D47*J9</f>
        <v>2500</v>
      </c>
      <c r="I47" s="960"/>
      <c r="J47" s="959">
        <f>F47*J9</f>
        <v>3500</v>
      </c>
      <c r="K47" s="960"/>
    </row>
    <row r="48" spans="1:11" ht="15" thickBot="1" x14ac:dyDescent="0.35">
      <c r="B48" s="625" t="s">
        <v>93</v>
      </c>
      <c r="C48" s="624"/>
      <c r="D48" s="928">
        <f>D43+D44+D45+D47+D46</f>
        <v>17900</v>
      </c>
      <c r="E48" s="929"/>
      <c r="F48" s="961">
        <f>F43+F44+F45+F46+F47</f>
        <v>29200</v>
      </c>
      <c r="G48" s="929"/>
      <c r="H48" s="962">
        <f>H43+H44+H45+H46+H47</f>
        <v>9100</v>
      </c>
      <c r="I48" s="963"/>
      <c r="J48" s="962">
        <f>J43+J44+J45+J46+J47</f>
        <v>14900</v>
      </c>
      <c r="K48" s="963"/>
    </row>
    <row r="49" spans="1:11" ht="15" thickBot="1" x14ac:dyDescent="0.35">
      <c r="B49" s="625" t="str">
        <f>B32</f>
        <v>Salgs- og adminstrasjonskostnader</v>
      </c>
      <c r="C49" s="624"/>
      <c r="D49" s="930">
        <f>C15</f>
        <v>2500</v>
      </c>
      <c r="E49" s="931"/>
      <c r="F49" s="964">
        <f>C15</f>
        <v>2500</v>
      </c>
      <c r="G49" s="965"/>
      <c r="H49" s="966"/>
      <c r="I49" s="966"/>
      <c r="J49" s="966"/>
      <c r="K49" s="966"/>
    </row>
    <row r="50" spans="1:11" ht="15" thickBot="1" x14ac:dyDescent="0.35">
      <c r="B50" s="630" t="s">
        <v>95</v>
      </c>
      <c r="C50" s="687"/>
      <c r="D50" s="934">
        <f>D43+D44+D46+D45+D47+D49+0</f>
        <v>20400</v>
      </c>
      <c r="E50" s="935"/>
      <c r="F50" s="934">
        <f>F48+F49</f>
        <v>31700</v>
      </c>
      <c r="G50" s="935"/>
      <c r="H50" s="966"/>
      <c r="I50" s="966"/>
      <c r="J50" s="966"/>
      <c r="K50" s="966"/>
    </row>
    <row r="51" spans="1:11" ht="15" thickBot="1" x14ac:dyDescent="0.35">
      <c r="B51" s="688" t="s">
        <v>1022</v>
      </c>
      <c r="C51" s="687"/>
      <c r="D51" s="936">
        <f>D52-D50</f>
        <v>4600</v>
      </c>
      <c r="E51" s="937"/>
      <c r="F51" s="936">
        <f>F52-F50</f>
        <v>3300</v>
      </c>
      <c r="G51" s="937"/>
      <c r="H51" s="966"/>
      <c r="I51" s="966"/>
      <c r="J51" s="966"/>
      <c r="K51" s="966"/>
    </row>
    <row r="52" spans="1:11" ht="15" thickBot="1" x14ac:dyDescent="0.35">
      <c r="B52" s="692" t="s">
        <v>123</v>
      </c>
      <c r="C52" s="691"/>
      <c r="D52" s="928">
        <f>D16</f>
        <v>25000</v>
      </c>
      <c r="E52" s="929"/>
      <c r="F52" s="928">
        <f>E16</f>
        <v>35000</v>
      </c>
      <c r="G52" s="929"/>
      <c r="H52" s="966"/>
      <c r="I52" s="966"/>
      <c r="J52" s="966"/>
      <c r="K52" s="966"/>
    </row>
    <row r="56" spans="1:11" x14ac:dyDescent="0.3">
      <c r="A56" s="576" t="s">
        <v>191</v>
      </c>
      <c r="B56" s="622" t="s">
        <v>899</v>
      </c>
      <c r="D56" s="586" t="s">
        <v>515</v>
      </c>
    </row>
    <row r="57" spans="1:11" x14ac:dyDescent="0.3">
      <c r="B57" s="577" t="s">
        <v>908</v>
      </c>
      <c r="C57" s="576">
        <f>C23</f>
        <v>120</v>
      </c>
      <c r="D57" s="598">
        <f>D7*C57</f>
        <v>360</v>
      </c>
      <c r="E57" s="576" t="str">
        <f>D41</f>
        <v>Skrog 1</v>
      </c>
    </row>
    <row r="58" spans="1:11" x14ac:dyDescent="0.3">
      <c r="B58" s="577" t="s">
        <v>908</v>
      </c>
      <c r="C58" s="576">
        <f>C24</f>
        <v>170</v>
      </c>
      <c r="D58" s="598">
        <f>E7*C58</f>
        <v>1020</v>
      </c>
      <c r="E58" s="576" t="str">
        <f>F41</f>
        <v>Skrog 2</v>
      </c>
    </row>
    <row r="59" spans="1:11" x14ac:dyDescent="0.3">
      <c r="B59" s="576" t="s">
        <v>899</v>
      </c>
      <c r="D59" s="623">
        <f>D57+D58</f>
        <v>1380</v>
      </c>
    </row>
    <row r="61" spans="1:11" ht="15" thickBot="1" x14ac:dyDescent="0.35"/>
    <row r="62" spans="1:11" x14ac:dyDescent="0.3">
      <c r="B62" s="585" t="s">
        <v>81</v>
      </c>
      <c r="C62" s="884" t="s">
        <v>679</v>
      </c>
      <c r="D62" s="885"/>
      <c r="E62" s="886" t="s">
        <v>755</v>
      </c>
      <c r="F62" s="885"/>
      <c r="G62" s="886" t="s">
        <v>734</v>
      </c>
      <c r="H62" s="885"/>
      <c r="I62" s="584" t="s">
        <v>141</v>
      </c>
      <c r="J62" s="584" t="s">
        <v>140</v>
      </c>
      <c r="K62" s="583" t="s">
        <v>733</v>
      </c>
    </row>
    <row r="63" spans="1:11" ht="15" thickBot="1" x14ac:dyDescent="0.35">
      <c r="B63" s="587" t="s">
        <v>898</v>
      </c>
      <c r="C63" s="889" t="s">
        <v>754</v>
      </c>
      <c r="D63" s="888"/>
      <c r="E63" s="889" t="s">
        <v>753</v>
      </c>
      <c r="F63" s="888"/>
      <c r="G63" s="887"/>
      <c r="H63" s="888"/>
      <c r="I63" s="581" t="s">
        <v>261</v>
      </c>
      <c r="J63" s="581" t="s">
        <v>262</v>
      </c>
      <c r="K63" s="581" t="s">
        <v>729</v>
      </c>
    </row>
    <row r="64" spans="1:11" ht="15" thickBot="1" x14ac:dyDescent="0.35">
      <c r="B64" s="595"/>
      <c r="C64" s="882">
        <f>D59*C7</f>
        <v>1656000</v>
      </c>
      <c r="D64" s="883"/>
      <c r="E64" s="882">
        <f>D27*C7</f>
        <v>1260000</v>
      </c>
      <c r="F64" s="883"/>
      <c r="G64" s="882">
        <f>F27</f>
        <v>1332000</v>
      </c>
      <c r="H64" s="919"/>
      <c r="I64" s="579">
        <f>C64-E64</f>
        <v>396000</v>
      </c>
      <c r="J64" s="579">
        <f>E64-G64</f>
        <v>-72000</v>
      </c>
      <c r="K64" s="578">
        <f>C64-G64</f>
        <v>324000</v>
      </c>
    </row>
    <row r="66" spans="2:11" x14ac:dyDescent="0.3">
      <c r="B66" s="622" t="s">
        <v>897</v>
      </c>
      <c r="D66" s="586" t="s">
        <v>515</v>
      </c>
    </row>
    <row r="67" spans="2:11" x14ac:dyDescent="0.3">
      <c r="B67" s="577" t="s">
        <v>893</v>
      </c>
      <c r="C67" s="576">
        <f>E23</f>
        <v>135</v>
      </c>
      <c r="D67" s="576">
        <f>C67*D8</f>
        <v>270</v>
      </c>
      <c r="E67" s="576" t="str">
        <f>D41</f>
        <v>Skrog 1</v>
      </c>
    </row>
    <row r="68" spans="2:11" x14ac:dyDescent="0.3">
      <c r="B68" s="719" t="s">
        <v>893</v>
      </c>
      <c r="C68" s="708">
        <f>E24</f>
        <v>185</v>
      </c>
      <c r="D68" s="708">
        <f>C68*E8</f>
        <v>740</v>
      </c>
      <c r="E68" s="576" t="str">
        <f>F41</f>
        <v>Skrog 2</v>
      </c>
    </row>
    <row r="69" spans="2:11" x14ac:dyDescent="0.3">
      <c r="B69" s="719" t="s">
        <v>897</v>
      </c>
      <c r="C69" s="708"/>
      <c r="D69" s="811">
        <f>SUM(D67:D68)</f>
        <v>1010</v>
      </c>
    </row>
    <row r="71" spans="2:11" ht="15" thickBot="1" x14ac:dyDescent="0.35"/>
    <row r="72" spans="2:11" x14ac:dyDescent="0.3">
      <c r="B72" s="585" t="s">
        <v>81</v>
      </c>
      <c r="C72" s="884" t="s">
        <v>679</v>
      </c>
      <c r="D72" s="885"/>
      <c r="E72" s="886" t="s">
        <v>735</v>
      </c>
      <c r="F72" s="885"/>
      <c r="G72" s="886" t="s">
        <v>734</v>
      </c>
      <c r="H72" s="885"/>
      <c r="I72" s="584" t="s">
        <v>141</v>
      </c>
      <c r="J72" s="584" t="s">
        <v>140</v>
      </c>
      <c r="K72" s="583" t="s">
        <v>733</v>
      </c>
    </row>
    <row r="73" spans="2:11" ht="15" thickBot="1" x14ac:dyDescent="0.35">
      <c r="B73" s="587" t="s">
        <v>896</v>
      </c>
      <c r="C73" s="889" t="s">
        <v>895</v>
      </c>
      <c r="D73" s="888"/>
      <c r="E73" s="889" t="s">
        <v>894</v>
      </c>
      <c r="F73" s="888"/>
      <c r="G73" s="889" t="s">
        <v>770</v>
      </c>
      <c r="H73" s="888"/>
      <c r="I73" s="581" t="s">
        <v>261</v>
      </c>
      <c r="J73" s="581" t="s">
        <v>262</v>
      </c>
      <c r="K73" s="581" t="s">
        <v>729</v>
      </c>
    </row>
    <row r="74" spans="2:11" ht="15" thickBot="1" x14ac:dyDescent="0.35">
      <c r="B74" s="595"/>
      <c r="C74" s="882">
        <f>D69*C8</f>
        <v>1666500</v>
      </c>
      <c r="D74" s="883"/>
      <c r="E74" s="882">
        <f>D28*C8</f>
        <v>1542750</v>
      </c>
      <c r="F74" s="883"/>
      <c r="G74" s="882">
        <f>F28</f>
        <v>1485000</v>
      </c>
      <c r="H74" s="883"/>
      <c r="I74" s="579">
        <f>C74-E74</f>
        <v>123750</v>
      </c>
      <c r="J74" s="579">
        <f>E74-G74</f>
        <v>57750</v>
      </c>
      <c r="K74" s="578">
        <f>C74-G74</f>
        <v>181500</v>
      </c>
    </row>
    <row r="76" spans="2:11" x14ac:dyDescent="0.3">
      <c r="B76" s="622" t="s">
        <v>892</v>
      </c>
      <c r="D76" s="586" t="s">
        <v>512</v>
      </c>
    </row>
    <row r="77" spans="2:11" x14ac:dyDescent="0.3">
      <c r="B77" s="577" t="s">
        <v>893</v>
      </c>
      <c r="C77" s="576">
        <f>C67</f>
        <v>135</v>
      </c>
      <c r="D77" s="576">
        <f>C77*D9</f>
        <v>675</v>
      </c>
      <c r="E77" s="576" t="str">
        <f>D41</f>
        <v>Skrog 1</v>
      </c>
    </row>
    <row r="78" spans="2:11" x14ac:dyDescent="0.3">
      <c r="B78" s="577" t="s">
        <v>893</v>
      </c>
      <c r="C78" s="576">
        <f>C68</f>
        <v>185</v>
      </c>
      <c r="D78" s="576">
        <f>C78*E9</f>
        <v>1295</v>
      </c>
      <c r="E78" s="576" t="str">
        <f>F41</f>
        <v>Skrog 2</v>
      </c>
    </row>
    <row r="79" spans="2:11" x14ac:dyDescent="0.3">
      <c r="B79" s="576" t="s">
        <v>884</v>
      </c>
      <c r="C79" s="576">
        <f>C23-E23</f>
        <v>-15</v>
      </c>
      <c r="D79" s="576">
        <f>C79*J9*D9</f>
        <v>-37.5</v>
      </c>
      <c r="E79" s="576" t="s">
        <v>916</v>
      </c>
    </row>
    <row r="80" spans="2:11" x14ac:dyDescent="0.3">
      <c r="B80" s="576" t="s">
        <v>884</v>
      </c>
      <c r="C80" s="576">
        <f>C24-E24</f>
        <v>-15</v>
      </c>
      <c r="D80" s="576">
        <f>C80*E9*J9</f>
        <v>-52.5</v>
      </c>
      <c r="E80" s="576" t="s">
        <v>915</v>
      </c>
    </row>
    <row r="81" spans="1:11" x14ac:dyDescent="0.3">
      <c r="B81" s="708" t="s">
        <v>892</v>
      </c>
      <c r="C81" s="708"/>
      <c r="D81" s="812">
        <f>SUM(D77:D80)</f>
        <v>1880</v>
      </c>
    </row>
    <row r="82" spans="1:11" ht="15" thickBot="1" x14ac:dyDescent="0.35">
      <c r="B82" s="577"/>
    </row>
    <row r="83" spans="1:11" x14ac:dyDescent="0.3">
      <c r="B83" s="585" t="s">
        <v>736</v>
      </c>
      <c r="C83" s="884" t="s">
        <v>679</v>
      </c>
      <c r="D83" s="885"/>
      <c r="E83" s="886" t="s">
        <v>735</v>
      </c>
      <c r="F83" s="885"/>
      <c r="G83" s="886" t="s">
        <v>734</v>
      </c>
      <c r="H83" s="885"/>
      <c r="I83" s="584" t="s">
        <v>79</v>
      </c>
      <c r="J83" s="584" t="s">
        <v>78</v>
      </c>
      <c r="K83" s="583" t="s">
        <v>733</v>
      </c>
    </row>
    <row r="84" spans="1:11" ht="15" thickBot="1" x14ac:dyDescent="0.35">
      <c r="B84" s="587"/>
      <c r="C84" s="887" t="s">
        <v>732</v>
      </c>
      <c r="D84" s="888"/>
      <c r="E84" s="889" t="s">
        <v>731</v>
      </c>
      <c r="F84" s="890"/>
      <c r="G84" s="889" t="s">
        <v>770</v>
      </c>
      <c r="H84" s="888"/>
      <c r="I84" s="581" t="s">
        <v>261</v>
      </c>
      <c r="J84" s="581" t="s">
        <v>262</v>
      </c>
      <c r="K84" s="581" t="s">
        <v>729</v>
      </c>
    </row>
    <row r="85" spans="1:11" ht="15" thickBot="1" x14ac:dyDescent="0.35">
      <c r="B85" s="595"/>
      <c r="C85" s="882">
        <f>D81*C9</f>
        <v>752000</v>
      </c>
      <c r="D85" s="883"/>
      <c r="E85" s="882">
        <f>D29*C9</f>
        <v>574400</v>
      </c>
      <c r="F85" s="883"/>
      <c r="G85" s="882">
        <f>F29</f>
        <v>592000</v>
      </c>
      <c r="H85" s="883"/>
      <c r="I85" s="579">
        <f>C85-E85</f>
        <v>177600</v>
      </c>
      <c r="J85" s="579">
        <f>E85-G85</f>
        <v>-17600</v>
      </c>
      <c r="K85" s="578">
        <f>C85-G85</f>
        <v>160000</v>
      </c>
    </row>
    <row r="88" spans="1:11" ht="18.600000000000001" thickBot="1" x14ac:dyDescent="0.4">
      <c r="A88" s="576" t="s">
        <v>197</v>
      </c>
      <c r="B88" s="967" t="s">
        <v>891</v>
      </c>
      <c r="C88" s="968"/>
      <c r="D88" s="968"/>
      <c r="E88" s="968"/>
      <c r="F88" s="968"/>
      <c r="G88" s="968"/>
      <c r="H88" s="968"/>
      <c r="I88" s="968"/>
      <c r="J88" s="968"/>
      <c r="K88" s="968"/>
    </row>
    <row r="89" spans="1:11" ht="15" thickBot="1" x14ac:dyDescent="0.35">
      <c r="B89" s="619"/>
      <c r="C89" s="969" t="s">
        <v>322</v>
      </c>
      <c r="D89" s="970"/>
      <c r="E89" s="970"/>
      <c r="F89" s="970"/>
      <c r="G89" s="970"/>
      <c r="H89" s="970"/>
      <c r="I89" s="970"/>
      <c r="J89" s="618"/>
      <c r="K89" s="617"/>
    </row>
    <row r="90" spans="1:11" ht="15" thickBot="1" x14ac:dyDescent="0.35">
      <c r="B90" s="613"/>
      <c r="C90" s="969" t="str">
        <f>D6</f>
        <v>Skrog 1</v>
      </c>
      <c r="D90" s="970"/>
      <c r="E90" s="970"/>
      <c r="F90" s="971" t="str">
        <f>E6</f>
        <v>Skrog 2</v>
      </c>
      <c r="G90" s="970"/>
      <c r="H90" s="972"/>
      <c r="I90" s="616"/>
      <c r="J90" s="615"/>
      <c r="K90" s="614"/>
    </row>
    <row r="91" spans="1:11" s="637" customFormat="1" ht="15" thickBot="1" x14ac:dyDescent="0.35">
      <c r="B91" s="748"/>
      <c r="C91" s="749" t="s">
        <v>175</v>
      </c>
      <c r="D91" s="749" t="s">
        <v>176</v>
      </c>
      <c r="E91" s="750" t="s">
        <v>145</v>
      </c>
      <c r="F91" s="751" t="s">
        <v>175</v>
      </c>
      <c r="G91" s="749" t="s">
        <v>176</v>
      </c>
      <c r="H91" s="749" t="s">
        <v>145</v>
      </c>
      <c r="I91" s="750" t="s">
        <v>298</v>
      </c>
      <c r="J91" s="751" t="s">
        <v>890</v>
      </c>
      <c r="K91" s="749" t="s">
        <v>378</v>
      </c>
    </row>
    <row r="92" spans="1:11" ht="15" thickBot="1" x14ac:dyDescent="0.35">
      <c r="B92" s="748" t="s">
        <v>96</v>
      </c>
      <c r="C92" s="606">
        <f>G23</f>
        <v>120</v>
      </c>
      <c r="D92" s="606">
        <f>F33/G23</f>
        <v>22458.333333333332</v>
      </c>
      <c r="E92" s="608">
        <f>C92*D92</f>
        <v>2695000</v>
      </c>
      <c r="F92" s="607">
        <f>G24</f>
        <v>170</v>
      </c>
      <c r="G92" s="606">
        <f>F34/G24</f>
        <v>34647.058823529413</v>
      </c>
      <c r="H92" s="606">
        <f>F92*G92</f>
        <v>5890000</v>
      </c>
      <c r="I92" s="608">
        <f>E92+H92</f>
        <v>8585000</v>
      </c>
      <c r="J92" s="609">
        <f>I92</f>
        <v>8585000</v>
      </c>
      <c r="K92" s="606">
        <f>I92-J92</f>
        <v>0</v>
      </c>
    </row>
    <row r="93" spans="1:11" ht="15" thickBot="1" x14ac:dyDescent="0.35">
      <c r="B93" s="748"/>
      <c r="C93" s="606"/>
      <c r="D93" s="606"/>
      <c r="E93" s="608"/>
      <c r="F93" s="607"/>
      <c r="G93" s="606"/>
      <c r="H93" s="606"/>
      <c r="I93" s="608"/>
      <c r="J93" s="607"/>
      <c r="K93" s="606"/>
    </row>
    <row r="94" spans="1:11" ht="15" thickBot="1" x14ac:dyDescent="0.35">
      <c r="B94" s="748" t="s">
        <v>889</v>
      </c>
      <c r="C94" s="606">
        <f>D57</f>
        <v>360</v>
      </c>
      <c r="D94" s="606">
        <f>C7</f>
        <v>1200</v>
      </c>
      <c r="E94" s="608">
        <f>C94*D94</f>
        <v>432000</v>
      </c>
      <c r="F94" s="607">
        <f>D58</f>
        <v>1020</v>
      </c>
      <c r="G94" s="606">
        <f>D94</f>
        <v>1200</v>
      </c>
      <c r="H94" s="606">
        <f>F94*G94</f>
        <v>1224000</v>
      </c>
      <c r="I94" s="608">
        <f>E94+H94</f>
        <v>1656000</v>
      </c>
      <c r="J94" s="609">
        <f>F27</f>
        <v>1332000</v>
      </c>
      <c r="K94" s="606">
        <f>I94-J94</f>
        <v>324000</v>
      </c>
    </row>
    <row r="95" spans="1:11" ht="15" thickBot="1" x14ac:dyDescent="0.35">
      <c r="B95" s="748" t="s">
        <v>888</v>
      </c>
      <c r="C95" s="606">
        <f>D67</f>
        <v>270</v>
      </c>
      <c r="D95" s="606">
        <f>C8</f>
        <v>1650</v>
      </c>
      <c r="E95" s="608">
        <f>C95*D95</f>
        <v>445500</v>
      </c>
      <c r="F95" s="607">
        <f>D68</f>
        <v>740</v>
      </c>
      <c r="G95" s="606">
        <f>D95</f>
        <v>1650</v>
      </c>
      <c r="H95" s="606">
        <f>F95*G95</f>
        <v>1221000</v>
      </c>
      <c r="I95" s="608">
        <f>E95+H95</f>
        <v>1666500</v>
      </c>
      <c r="J95" s="609">
        <f>F28</f>
        <v>1485000</v>
      </c>
      <c r="K95" s="606">
        <f>I95-J95</f>
        <v>181500</v>
      </c>
    </row>
    <row r="96" spans="1:11" ht="15" thickBot="1" x14ac:dyDescent="0.35">
      <c r="B96" s="748" t="s">
        <v>90</v>
      </c>
      <c r="C96" s="606">
        <f>D77+D79</f>
        <v>637.5</v>
      </c>
      <c r="D96" s="606">
        <f>C9</f>
        <v>400</v>
      </c>
      <c r="E96" s="608">
        <f>C96*D96</f>
        <v>255000</v>
      </c>
      <c r="F96" s="607">
        <f>D78+D80</f>
        <v>1242.5</v>
      </c>
      <c r="G96" s="606">
        <f>C9</f>
        <v>400</v>
      </c>
      <c r="H96" s="606">
        <f>F96*G96</f>
        <v>497000</v>
      </c>
      <c r="I96" s="608">
        <f>E96+H96</f>
        <v>752000</v>
      </c>
      <c r="J96" s="607">
        <f>F29</f>
        <v>592000</v>
      </c>
      <c r="K96" s="606">
        <f>I96-J96</f>
        <v>160000</v>
      </c>
    </row>
    <row r="97" spans="2:11" ht="15" thickBot="1" x14ac:dyDescent="0.35">
      <c r="B97" s="748" t="s">
        <v>887</v>
      </c>
      <c r="C97" s="606"/>
      <c r="D97" s="606"/>
      <c r="E97" s="608"/>
      <c r="F97" s="607"/>
      <c r="G97" s="606"/>
      <c r="H97" s="606"/>
      <c r="I97" s="608"/>
      <c r="J97" s="607"/>
      <c r="K97" s="606">
        <f>K94+K95+K96</f>
        <v>665500</v>
      </c>
    </row>
    <row r="98" spans="2:11" ht="15" thickBot="1" x14ac:dyDescent="0.35">
      <c r="B98" s="748" t="s">
        <v>886</v>
      </c>
      <c r="C98" s="606">
        <f>C96</f>
        <v>637.5</v>
      </c>
      <c r="D98" s="606">
        <f>C13</f>
        <v>1000</v>
      </c>
      <c r="E98" s="608">
        <f>C98*D98</f>
        <v>637500</v>
      </c>
      <c r="F98" s="607">
        <f>D78+D80</f>
        <v>1242.5</v>
      </c>
      <c r="G98" s="606">
        <f>D98</f>
        <v>1000</v>
      </c>
      <c r="H98" s="606">
        <f>F98*G98</f>
        <v>1242500</v>
      </c>
      <c r="I98" s="608">
        <f>E98+H98</f>
        <v>1880000</v>
      </c>
      <c r="J98" s="607">
        <f>F31</f>
        <v>1520000</v>
      </c>
      <c r="K98" s="606">
        <f>I98-J98</f>
        <v>360000</v>
      </c>
    </row>
    <row r="99" spans="2:11" ht="15" thickBot="1" x14ac:dyDescent="0.35">
      <c r="B99" s="748" t="s">
        <v>885</v>
      </c>
      <c r="C99" s="606">
        <f>C98</f>
        <v>637.5</v>
      </c>
      <c r="D99" s="606">
        <f>C11</f>
        <v>800</v>
      </c>
      <c r="E99" s="608">
        <f>C99*D99</f>
        <v>510000</v>
      </c>
      <c r="F99" s="607">
        <f>F98</f>
        <v>1242.5</v>
      </c>
      <c r="G99" s="606">
        <f>D99</f>
        <v>800</v>
      </c>
      <c r="H99" s="606">
        <f>F99*G99</f>
        <v>994000</v>
      </c>
      <c r="I99" s="608">
        <f>E99+H99</f>
        <v>1504000</v>
      </c>
      <c r="J99" s="607">
        <f>F30</f>
        <v>1215000</v>
      </c>
      <c r="K99" s="606">
        <f>I99-J99</f>
        <v>289000</v>
      </c>
    </row>
    <row r="100" spans="2:11" ht="15" thickBot="1" x14ac:dyDescent="0.35">
      <c r="B100" s="748" t="s">
        <v>394</v>
      </c>
      <c r="C100" s="606"/>
      <c r="D100" s="606"/>
      <c r="E100" s="608">
        <f>E94+E95+E96+E98+E99</f>
        <v>2280000</v>
      </c>
      <c r="F100" s="607"/>
      <c r="G100" s="606"/>
      <c r="H100" s="606">
        <f>H94+H95+H96+H98+H99</f>
        <v>5178500</v>
      </c>
      <c r="I100" s="612">
        <f>E100+H100</f>
        <v>7458500</v>
      </c>
      <c r="J100" s="607"/>
      <c r="K100" s="606"/>
    </row>
    <row r="101" spans="2:11" ht="15" thickBot="1" x14ac:dyDescent="0.35">
      <c r="B101" s="748" t="s">
        <v>884</v>
      </c>
      <c r="C101" s="606">
        <f>C23-E23</f>
        <v>-15</v>
      </c>
      <c r="D101" s="606">
        <f>H48</f>
        <v>9100</v>
      </c>
      <c r="E101" s="608">
        <f>-C101*D101</f>
        <v>136500</v>
      </c>
      <c r="F101" s="607">
        <v>-15</v>
      </c>
      <c r="G101" s="606">
        <f>J48</f>
        <v>14900</v>
      </c>
      <c r="H101" s="606">
        <f>-F101*G101</f>
        <v>223500</v>
      </c>
      <c r="I101" s="608">
        <f>(E101+H101)</f>
        <v>360000</v>
      </c>
      <c r="J101" s="607">
        <f>I101</f>
        <v>360000</v>
      </c>
      <c r="K101" s="606"/>
    </row>
    <row r="102" spans="2:11" ht="29.4" thickBot="1" x14ac:dyDescent="0.35">
      <c r="B102" s="748" t="s">
        <v>883</v>
      </c>
      <c r="C102" s="606"/>
      <c r="D102" s="606"/>
      <c r="E102" s="608">
        <f>E100+E101</f>
        <v>2416500</v>
      </c>
      <c r="F102" s="607"/>
      <c r="G102" s="606"/>
      <c r="H102" s="606">
        <f>H100+H101</f>
        <v>5402000</v>
      </c>
      <c r="I102" s="612">
        <f>I100+I101</f>
        <v>7818500</v>
      </c>
      <c r="J102" s="607"/>
      <c r="K102" s="606"/>
    </row>
    <row r="103" spans="2:11" ht="15" thickBot="1" x14ac:dyDescent="0.35">
      <c r="B103" s="748" t="s">
        <v>882</v>
      </c>
      <c r="C103" s="606">
        <f>E23-G23</f>
        <v>15</v>
      </c>
      <c r="D103" s="606">
        <f>D48</f>
        <v>17900</v>
      </c>
      <c r="E103" s="608">
        <f>-C103*D103</f>
        <v>-268500</v>
      </c>
      <c r="F103" s="607">
        <f>E24-G24</f>
        <v>15</v>
      </c>
      <c r="G103" s="606">
        <f>F48</f>
        <v>29200</v>
      </c>
      <c r="H103" s="606">
        <f>-F103*G103</f>
        <v>-438000</v>
      </c>
      <c r="I103" s="608">
        <f>(E103+H103)</f>
        <v>-706500</v>
      </c>
      <c r="J103" s="607">
        <f>I103</f>
        <v>-706500</v>
      </c>
      <c r="K103" s="606"/>
    </row>
    <row r="104" spans="2:11" ht="15" thickBot="1" x14ac:dyDescent="0.35">
      <c r="B104" s="748" t="s">
        <v>383</v>
      </c>
      <c r="C104" s="606"/>
      <c r="D104" s="606"/>
      <c r="E104" s="608">
        <f>E102+E103</f>
        <v>2148000</v>
      </c>
      <c r="F104" s="607"/>
      <c r="G104" s="606"/>
      <c r="H104" s="606">
        <f>H102+H103</f>
        <v>4964000</v>
      </c>
      <c r="I104" s="612">
        <f>I102+I103</f>
        <v>7112000</v>
      </c>
      <c r="J104" s="607"/>
      <c r="K104" s="606"/>
    </row>
    <row r="105" spans="2:11" ht="29.4" thickBot="1" x14ac:dyDescent="0.35">
      <c r="B105" s="748" t="s">
        <v>881</v>
      </c>
      <c r="C105" s="606">
        <f>G23</f>
        <v>120</v>
      </c>
      <c r="D105" s="606">
        <f>C15</f>
        <v>2500</v>
      </c>
      <c r="E105" s="608">
        <f>C105*D105</f>
        <v>300000</v>
      </c>
      <c r="F105" s="607">
        <f>G24</f>
        <v>170</v>
      </c>
      <c r="G105" s="606">
        <f>D105</f>
        <v>2500</v>
      </c>
      <c r="H105" s="606">
        <f>F105*G105</f>
        <v>425000</v>
      </c>
      <c r="I105" s="608">
        <f>E105+H105</f>
        <v>725000</v>
      </c>
      <c r="J105" s="607">
        <f>F32</f>
        <v>685000</v>
      </c>
      <c r="K105" s="606">
        <f>I105-J105</f>
        <v>40000</v>
      </c>
    </row>
    <row r="106" spans="2:11" ht="15" thickBot="1" x14ac:dyDescent="0.35">
      <c r="B106" s="748" t="s">
        <v>384</v>
      </c>
      <c r="C106" s="606"/>
      <c r="D106" s="606"/>
      <c r="E106" s="608">
        <f>E104+E105</f>
        <v>2448000</v>
      </c>
      <c r="F106" s="611"/>
      <c r="G106" s="606"/>
      <c r="H106" s="608">
        <f>H104+H105</f>
        <v>5389000</v>
      </c>
      <c r="I106" s="610">
        <f>I104+I105</f>
        <v>7837000</v>
      </c>
      <c r="J106" s="607"/>
      <c r="K106" s="606"/>
    </row>
    <row r="107" spans="2:11" ht="15" thickBot="1" x14ac:dyDescent="0.35">
      <c r="B107" s="748" t="s">
        <v>385</v>
      </c>
      <c r="C107" s="606"/>
      <c r="D107" s="606"/>
      <c r="E107" s="608">
        <f>E92-E106</f>
        <v>247000</v>
      </c>
      <c r="F107" s="607"/>
      <c r="G107" s="606"/>
      <c r="H107" s="608">
        <f>H92-H106</f>
        <v>501000</v>
      </c>
      <c r="I107" s="609">
        <f>I92-I106</f>
        <v>748000</v>
      </c>
      <c r="J107" s="607"/>
      <c r="K107" s="606"/>
    </row>
    <row r="108" spans="2:11" ht="15" thickBot="1" x14ac:dyDescent="0.35">
      <c r="B108" s="748" t="s">
        <v>379</v>
      </c>
      <c r="C108" s="606"/>
      <c r="D108" s="606"/>
      <c r="E108" s="608"/>
      <c r="F108" s="607"/>
      <c r="G108" s="606"/>
      <c r="H108" s="608"/>
      <c r="I108" s="607">
        <f>K97</f>
        <v>665500</v>
      </c>
      <c r="J108" s="607"/>
      <c r="K108" s="606"/>
    </row>
    <row r="109" spans="2:11" ht="15" thickBot="1" x14ac:dyDescent="0.35">
      <c r="B109" s="748" t="s">
        <v>386</v>
      </c>
      <c r="C109" s="606"/>
      <c r="D109" s="606"/>
      <c r="E109" s="608"/>
      <c r="F109" s="607"/>
      <c r="G109" s="606"/>
      <c r="H109" s="608"/>
      <c r="I109" s="607">
        <f>K109</f>
        <v>689000</v>
      </c>
      <c r="J109" s="607"/>
      <c r="K109" s="606">
        <f>K98+K99+K105</f>
        <v>689000</v>
      </c>
    </row>
    <row r="110" spans="2:11" ht="15" thickBot="1" x14ac:dyDescent="0.35">
      <c r="B110" s="748" t="s">
        <v>187</v>
      </c>
      <c r="C110" s="606"/>
      <c r="D110" s="606"/>
      <c r="E110" s="608"/>
      <c r="F110" s="607"/>
      <c r="G110" s="606"/>
      <c r="H110" s="608"/>
      <c r="I110" s="607">
        <f>I107+I108+I109</f>
        <v>2102500</v>
      </c>
      <c r="J110" s="607">
        <f>J92-J94-J95-J96-J98-J99-J101-J103-J105</f>
        <v>2102500</v>
      </c>
      <c r="K110" s="606"/>
    </row>
    <row r="111" spans="2:11" x14ac:dyDescent="0.3">
      <c r="B111" s="637"/>
    </row>
    <row r="112" spans="2:11" ht="15" thickBot="1" x14ac:dyDescent="0.35"/>
    <row r="113" spans="1:11" x14ac:dyDescent="0.3">
      <c r="A113" s="576" t="s">
        <v>203</v>
      </c>
      <c r="B113" s="585" t="s">
        <v>957</v>
      </c>
      <c r="C113" s="884" t="s">
        <v>679</v>
      </c>
      <c r="D113" s="885"/>
      <c r="E113" s="886" t="s">
        <v>390</v>
      </c>
      <c r="F113" s="885"/>
      <c r="G113" s="886" t="s">
        <v>734</v>
      </c>
      <c r="H113" s="885"/>
      <c r="I113" s="584" t="s">
        <v>370</v>
      </c>
      <c r="J113" s="584" t="s">
        <v>293</v>
      </c>
      <c r="K113" s="583" t="s">
        <v>733</v>
      </c>
    </row>
    <row r="114" spans="1:11" ht="17.399999999999999" thickBot="1" x14ac:dyDescent="0.4">
      <c r="B114" s="587" t="s">
        <v>956</v>
      </c>
      <c r="C114" s="889" t="s">
        <v>955</v>
      </c>
      <c r="D114" s="888"/>
      <c r="E114" s="889" t="s">
        <v>954</v>
      </c>
      <c r="F114" s="890"/>
      <c r="G114" s="690"/>
      <c r="H114" s="689"/>
      <c r="I114" s="581" t="s">
        <v>261</v>
      </c>
      <c r="J114" s="581" t="s">
        <v>262</v>
      </c>
      <c r="K114" s="581" t="s">
        <v>729</v>
      </c>
    </row>
    <row r="115" spans="1:11" ht="15" thickBot="1" x14ac:dyDescent="0.35">
      <c r="B115" s="595"/>
      <c r="C115" s="882">
        <f>D81*C11</f>
        <v>1504000</v>
      </c>
      <c r="D115" s="883"/>
      <c r="E115" s="882">
        <f>D29*C11</f>
        <v>1148800</v>
      </c>
      <c r="F115" s="883"/>
      <c r="G115" s="882">
        <f>F30</f>
        <v>1215000</v>
      </c>
      <c r="H115" s="883"/>
      <c r="I115" s="579">
        <f>C115-E115</f>
        <v>355200</v>
      </c>
      <c r="J115" s="579">
        <f>E115-G115</f>
        <v>-66200</v>
      </c>
      <c r="K115" s="578">
        <f>C115-G115</f>
        <v>289000</v>
      </c>
    </row>
    <row r="117" spans="1:11" ht="15" thickBot="1" x14ac:dyDescent="0.35"/>
    <row r="118" spans="1:11" x14ac:dyDescent="0.3">
      <c r="B118" s="585" t="s">
        <v>957</v>
      </c>
      <c r="C118" s="884" t="s">
        <v>679</v>
      </c>
      <c r="D118" s="885"/>
      <c r="E118" s="886" t="s">
        <v>390</v>
      </c>
      <c r="F118" s="885"/>
      <c r="G118" s="886" t="s">
        <v>734</v>
      </c>
      <c r="H118" s="885"/>
      <c r="I118" s="584" t="s">
        <v>249</v>
      </c>
      <c r="J118" s="584" t="s">
        <v>293</v>
      </c>
      <c r="K118" s="583" t="s">
        <v>733</v>
      </c>
    </row>
    <row r="119" spans="1:11" ht="17.399999999999999" thickBot="1" x14ac:dyDescent="0.4">
      <c r="B119" s="587" t="s">
        <v>959</v>
      </c>
      <c r="C119" s="889" t="s">
        <v>958</v>
      </c>
      <c r="D119" s="888"/>
      <c r="E119" s="889" t="s">
        <v>1122</v>
      </c>
      <c r="F119" s="890"/>
      <c r="G119" s="690"/>
      <c r="H119" s="689"/>
      <c r="I119" s="581" t="s">
        <v>261</v>
      </c>
      <c r="J119" s="581" t="s">
        <v>262</v>
      </c>
      <c r="K119" s="581" t="s">
        <v>729</v>
      </c>
    </row>
    <row r="120" spans="1:11" ht="15" thickBot="1" x14ac:dyDescent="0.35">
      <c r="B120" s="595"/>
      <c r="C120" s="882">
        <f>D81*C13</f>
        <v>1880000</v>
      </c>
      <c r="D120" s="883"/>
      <c r="E120" s="882">
        <f>D29*C13</f>
        <v>1436000</v>
      </c>
      <c r="F120" s="883"/>
      <c r="G120" s="882">
        <f>F31</f>
        <v>1520000</v>
      </c>
      <c r="H120" s="883"/>
      <c r="I120" s="579">
        <f>C120-E120</f>
        <v>444000</v>
      </c>
      <c r="J120" s="579">
        <f>E120-G120</f>
        <v>-84000</v>
      </c>
      <c r="K120" s="578">
        <f>C120-G120</f>
        <v>360000</v>
      </c>
    </row>
    <row r="122" spans="1:11" x14ac:dyDescent="0.3">
      <c r="B122" s="576" t="s">
        <v>1141</v>
      </c>
    </row>
  </sheetData>
  <mergeCells count="122">
    <mergeCell ref="B88:K88"/>
    <mergeCell ref="C89:I89"/>
    <mergeCell ref="C90:E90"/>
    <mergeCell ref="F90:H90"/>
    <mergeCell ref="C118:D118"/>
    <mergeCell ref="E118:F118"/>
    <mergeCell ref="G118:H118"/>
    <mergeCell ref="C119:D119"/>
    <mergeCell ref="E119:F119"/>
    <mergeCell ref="E120:F120"/>
    <mergeCell ref="G120:H120"/>
    <mergeCell ref="C113:D113"/>
    <mergeCell ref="E113:F113"/>
    <mergeCell ref="G113:H113"/>
    <mergeCell ref="C114:D114"/>
    <mergeCell ref="E114:F114"/>
    <mergeCell ref="C115:D115"/>
    <mergeCell ref="E115:F115"/>
    <mergeCell ref="G115:H115"/>
    <mergeCell ref="C120:D120"/>
    <mergeCell ref="C83:D83"/>
    <mergeCell ref="E83:F83"/>
    <mergeCell ref="G83:H83"/>
    <mergeCell ref="C84:D84"/>
    <mergeCell ref="E84:F84"/>
    <mergeCell ref="G84:H84"/>
    <mergeCell ref="C85:D85"/>
    <mergeCell ref="E85:F85"/>
    <mergeCell ref="G85:H85"/>
    <mergeCell ref="C72:D72"/>
    <mergeCell ref="E72:F72"/>
    <mergeCell ref="G72:H72"/>
    <mergeCell ref="C73:D73"/>
    <mergeCell ref="E73:F73"/>
    <mergeCell ref="G73:H73"/>
    <mergeCell ref="C74:D74"/>
    <mergeCell ref="E74:F74"/>
    <mergeCell ref="G74:H74"/>
    <mergeCell ref="C62:D62"/>
    <mergeCell ref="E62:F62"/>
    <mergeCell ref="G62:H62"/>
    <mergeCell ref="C63:D63"/>
    <mergeCell ref="E63:F63"/>
    <mergeCell ref="G63:H63"/>
    <mergeCell ref="C64:D64"/>
    <mergeCell ref="E64:F64"/>
    <mergeCell ref="G64:H64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D47:E47"/>
    <mergeCell ref="F47:G47"/>
    <mergeCell ref="H47:I47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31:E31"/>
    <mergeCell ref="F31:H31"/>
    <mergeCell ref="D32:E32"/>
    <mergeCell ref="F32:H32"/>
    <mergeCell ref="D33:E33"/>
    <mergeCell ref="F33:H33"/>
    <mergeCell ref="D34:E34"/>
    <mergeCell ref="F34:H34"/>
    <mergeCell ref="D41:E41"/>
    <mergeCell ref="F41:G41"/>
    <mergeCell ref="H41:I41"/>
    <mergeCell ref="C22:D22"/>
    <mergeCell ref="E22:F22"/>
    <mergeCell ref="G22:H22"/>
    <mergeCell ref="C23:D23"/>
    <mergeCell ref="E23:F23"/>
    <mergeCell ref="G23:H23"/>
    <mergeCell ref="D30:E30"/>
    <mergeCell ref="F30:H30"/>
    <mergeCell ref="C24:D24"/>
    <mergeCell ref="E24:F24"/>
    <mergeCell ref="G24:H24"/>
    <mergeCell ref="D26:E26"/>
    <mergeCell ref="F26:H26"/>
    <mergeCell ref="D27:E27"/>
    <mergeCell ref="F27:H27"/>
    <mergeCell ref="D28:E28"/>
    <mergeCell ref="F28:H28"/>
    <mergeCell ref="D29:E29"/>
    <mergeCell ref="F29:H29"/>
  </mergeCells>
  <pageMargins left="0.7" right="0.7" top="0.75" bottom="0.75" header="0.3" footer="0.3"/>
  <pageSetup paperSize="9" scale="2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pageSetUpPr fitToPage="1"/>
  </sheetPr>
  <dimension ref="A2:H93"/>
  <sheetViews>
    <sheetView topLeftCell="A35" workbookViewId="0">
      <selection activeCell="F73" sqref="F73"/>
    </sheetView>
  </sheetViews>
  <sheetFormatPr baseColWidth="10" defaultColWidth="11.33203125" defaultRowHeight="13.2" x14ac:dyDescent="0.25"/>
  <cols>
    <col min="1" max="1" width="4.33203125" style="813" customWidth="1"/>
    <col min="2" max="2" width="17.109375" style="813" customWidth="1"/>
    <col min="3" max="3" width="16" style="813" customWidth="1"/>
    <col min="4" max="5" width="11.33203125" style="813"/>
    <col min="6" max="6" width="13.33203125" style="813" customWidth="1"/>
    <col min="7" max="7" width="12.33203125" style="813" customWidth="1"/>
    <col min="8" max="16384" width="11.33203125" style="813"/>
  </cols>
  <sheetData>
    <row r="2" spans="1:8" ht="13.8" x14ac:dyDescent="0.25">
      <c r="A2" s="815" t="s">
        <v>189</v>
      </c>
      <c r="B2" s="815" t="s">
        <v>42</v>
      </c>
      <c r="C2" s="815"/>
      <c r="D2" s="815"/>
      <c r="E2" s="814">
        <v>34000</v>
      </c>
      <c r="F2" s="815"/>
      <c r="G2" s="815"/>
      <c r="H2" s="815"/>
    </row>
    <row r="3" spans="1:8" ht="13.8" x14ac:dyDescent="0.25">
      <c r="A3" s="815"/>
      <c r="B3" s="818" t="s">
        <v>43</v>
      </c>
      <c r="C3" s="815"/>
      <c r="D3" s="815"/>
      <c r="E3" s="814">
        <v>26400</v>
      </c>
      <c r="F3" s="815"/>
      <c r="G3" s="815"/>
      <c r="H3" s="815"/>
    </row>
    <row r="4" spans="1:8" ht="13.8" x14ac:dyDescent="0.25">
      <c r="A4" s="815"/>
      <c r="B4" s="815" t="s">
        <v>525</v>
      </c>
      <c r="C4" s="815"/>
      <c r="D4" s="815"/>
      <c r="E4" s="820">
        <v>60400</v>
      </c>
      <c r="F4" s="815"/>
      <c r="G4" s="815"/>
      <c r="H4" s="815"/>
    </row>
    <row r="5" spans="1:8" ht="13.8" x14ac:dyDescent="0.25">
      <c r="A5" s="815"/>
      <c r="B5" s="815"/>
      <c r="C5" s="815"/>
      <c r="D5" s="815"/>
      <c r="E5" s="815"/>
      <c r="F5" s="815"/>
      <c r="G5" s="815"/>
      <c r="H5" s="815"/>
    </row>
    <row r="6" spans="1:8" ht="13.8" x14ac:dyDescent="0.25">
      <c r="A6" s="815" t="s">
        <v>191</v>
      </c>
      <c r="B6" s="815" t="s">
        <v>404</v>
      </c>
      <c r="C6" s="815"/>
      <c r="D6" s="815"/>
      <c r="E6" s="815"/>
      <c r="F6" s="815"/>
      <c r="G6" s="815"/>
      <c r="H6" s="815"/>
    </row>
    <row r="7" spans="1:8" ht="13.8" x14ac:dyDescent="0.25">
      <c r="A7" s="815"/>
      <c r="B7" s="818" t="s">
        <v>44</v>
      </c>
      <c r="C7" s="815"/>
      <c r="D7" s="815"/>
      <c r="E7" s="378">
        <v>30</v>
      </c>
      <c r="F7" s="824" t="s">
        <v>45</v>
      </c>
      <c r="G7" s="815"/>
      <c r="H7" s="815"/>
    </row>
    <row r="8" spans="1:8" ht="13.8" x14ac:dyDescent="0.25">
      <c r="A8" s="815"/>
      <c r="B8" s="815"/>
      <c r="C8" s="815"/>
      <c r="D8" s="815"/>
      <c r="E8" s="379"/>
      <c r="F8" s="815"/>
      <c r="G8" s="815"/>
      <c r="H8" s="815"/>
    </row>
    <row r="9" spans="1:8" ht="13.8" x14ac:dyDescent="0.25">
      <c r="A9" s="815"/>
      <c r="B9" s="815" t="s">
        <v>530</v>
      </c>
      <c r="C9" s="815"/>
      <c r="D9" s="815"/>
      <c r="E9" s="815"/>
      <c r="F9" s="815"/>
      <c r="G9" s="815"/>
      <c r="H9" s="815"/>
    </row>
    <row r="10" spans="1:8" ht="13.8" x14ac:dyDescent="0.25">
      <c r="A10" s="815"/>
      <c r="B10" s="818" t="s">
        <v>46</v>
      </c>
      <c r="C10" s="815"/>
      <c r="D10" s="815"/>
      <c r="E10" s="380">
        <v>10</v>
      </c>
      <c r="F10" s="815"/>
      <c r="G10" s="815"/>
      <c r="H10" s="815"/>
    </row>
    <row r="11" spans="1:8" ht="13.8" x14ac:dyDescent="0.25">
      <c r="A11" s="815"/>
      <c r="B11" s="818" t="s">
        <v>47</v>
      </c>
      <c r="C11" s="815"/>
      <c r="D11" s="815"/>
      <c r="E11" s="380">
        <v>20</v>
      </c>
      <c r="F11" s="815"/>
      <c r="G11" s="815"/>
      <c r="H11" s="815"/>
    </row>
    <row r="12" spans="1:8" ht="13.8" x14ac:dyDescent="0.25">
      <c r="A12" s="815"/>
      <c r="B12" s="815"/>
      <c r="C12" s="815"/>
      <c r="D12" s="815"/>
      <c r="E12" s="865"/>
      <c r="F12" s="815"/>
      <c r="G12" s="815"/>
      <c r="H12" s="815"/>
    </row>
    <row r="13" spans="1:8" ht="13.8" x14ac:dyDescent="0.25">
      <c r="A13" s="815"/>
      <c r="B13" s="815"/>
      <c r="C13" s="815"/>
      <c r="D13" s="815"/>
      <c r="E13" s="380"/>
      <c r="F13" s="815"/>
      <c r="G13" s="815"/>
      <c r="H13" s="815"/>
    </row>
    <row r="14" spans="1:8" ht="13.8" x14ac:dyDescent="0.25">
      <c r="A14" s="815" t="s">
        <v>197</v>
      </c>
      <c r="B14" s="864" t="s">
        <v>531</v>
      </c>
      <c r="C14" s="815"/>
      <c r="D14" s="815"/>
      <c r="E14" s="815"/>
      <c r="F14" s="815"/>
      <c r="G14" s="815"/>
      <c r="H14" s="815"/>
    </row>
    <row r="15" spans="1:8" ht="13.8" x14ac:dyDescent="0.25">
      <c r="A15" s="815"/>
      <c r="B15" s="815"/>
      <c r="C15" s="815"/>
      <c r="D15" s="815"/>
      <c r="E15" s="815"/>
      <c r="F15" s="815"/>
      <c r="G15" s="815"/>
      <c r="H15" s="815"/>
    </row>
    <row r="16" spans="1:8" ht="13.8" x14ac:dyDescent="0.25">
      <c r="A16" s="815"/>
      <c r="B16" s="815" t="s">
        <v>51</v>
      </c>
      <c r="C16" s="815" t="s">
        <v>48</v>
      </c>
      <c r="D16" s="815"/>
      <c r="E16" s="814">
        <v>35000</v>
      </c>
      <c r="F16" s="815"/>
      <c r="G16" s="815"/>
      <c r="H16" s="815"/>
    </row>
    <row r="17" spans="1:8" ht="13.8" x14ac:dyDescent="0.25">
      <c r="A17" s="815"/>
      <c r="B17" s="815"/>
      <c r="C17" s="815" t="s">
        <v>49</v>
      </c>
      <c r="D17" s="815"/>
      <c r="E17" s="814">
        <v>2000</v>
      </c>
      <c r="F17" s="814">
        <v>37000</v>
      </c>
      <c r="G17" s="815"/>
      <c r="H17" s="815"/>
    </row>
    <row r="18" spans="1:8" ht="13.8" x14ac:dyDescent="0.25">
      <c r="A18" s="815"/>
      <c r="B18" s="815" t="s">
        <v>52</v>
      </c>
      <c r="C18" s="815" t="s">
        <v>50</v>
      </c>
      <c r="D18" s="815"/>
      <c r="E18" s="814">
        <v>24000</v>
      </c>
      <c r="F18" s="814">
        <v>24000</v>
      </c>
      <c r="G18" s="815"/>
      <c r="H18" s="815"/>
    </row>
    <row r="19" spans="1:8" ht="13.8" x14ac:dyDescent="0.25">
      <c r="A19" s="815"/>
      <c r="B19" s="815"/>
      <c r="C19" s="815"/>
      <c r="D19" s="815"/>
      <c r="E19" s="815"/>
      <c r="F19" s="820">
        <v>61000</v>
      </c>
      <c r="G19" s="815"/>
      <c r="H19" s="815"/>
    </row>
    <row r="20" spans="1:8" ht="13.8" x14ac:dyDescent="0.25">
      <c r="A20" s="815"/>
      <c r="B20" s="815"/>
      <c r="C20" s="815"/>
      <c r="D20" s="815"/>
      <c r="E20" s="815"/>
      <c r="F20" s="815"/>
      <c r="G20" s="815"/>
      <c r="H20" s="815"/>
    </row>
    <row r="21" spans="1:8" ht="13.8" x14ac:dyDescent="0.25">
      <c r="A21" s="815"/>
      <c r="B21" s="864" t="s">
        <v>532</v>
      </c>
      <c r="C21" s="815"/>
      <c r="D21" s="815"/>
      <c r="E21" s="815"/>
      <c r="F21" s="815"/>
      <c r="G21" s="815"/>
      <c r="H21" s="815"/>
    </row>
    <row r="22" spans="1:8" ht="13.8" x14ac:dyDescent="0.25">
      <c r="A22" s="815"/>
      <c r="B22" s="815"/>
      <c r="C22" s="815"/>
      <c r="D22" s="815"/>
      <c r="E22" s="815"/>
      <c r="F22" s="815"/>
      <c r="G22" s="815"/>
      <c r="H22" s="815"/>
    </row>
    <row r="23" spans="1:8" ht="13.8" x14ac:dyDescent="0.25">
      <c r="A23" s="815"/>
      <c r="B23" s="815" t="s">
        <v>51</v>
      </c>
      <c r="C23" s="815" t="s">
        <v>12</v>
      </c>
      <c r="D23" s="815"/>
      <c r="E23" s="815">
        <v>7000</v>
      </c>
      <c r="F23" s="815"/>
      <c r="G23" s="815"/>
      <c r="H23" s="815"/>
    </row>
    <row r="24" spans="1:8" ht="13.8" x14ac:dyDescent="0.25">
      <c r="A24" s="815"/>
      <c r="B24" s="815"/>
      <c r="C24" s="815" t="s">
        <v>13</v>
      </c>
      <c r="D24" s="815"/>
      <c r="E24" s="815">
        <v>200</v>
      </c>
      <c r="F24" s="814">
        <v>7200</v>
      </c>
      <c r="G24" s="815"/>
      <c r="H24" s="815"/>
    </row>
    <row r="25" spans="1:8" ht="13.8" x14ac:dyDescent="0.25">
      <c r="A25" s="815"/>
      <c r="B25" s="815" t="s">
        <v>52</v>
      </c>
      <c r="C25" s="815" t="s">
        <v>14</v>
      </c>
      <c r="D25" s="815"/>
      <c r="E25" s="814">
        <v>8000</v>
      </c>
      <c r="F25" s="814">
        <v>8000</v>
      </c>
      <c r="G25" s="815"/>
      <c r="H25" s="815"/>
    </row>
    <row r="26" spans="1:8" ht="13.8" x14ac:dyDescent="0.25">
      <c r="A26" s="815"/>
      <c r="B26" s="815"/>
      <c r="C26" s="815"/>
      <c r="D26" s="815"/>
      <c r="E26" s="815"/>
      <c r="F26" s="820">
        <v>15200</v>
      </c>
      <c r="G26" s="815"/>
      <c r="H26" s="815"/>
    </row>
    <row r="27" spans="1:8" ht="15.6" x14ac:dyDescent="0.3">
      <c r="A27" s="815"/>
      <c r="B27" s="861" t="s">
        <v>81</v>
      </c>
      <c r="C27" s="815"/>
      <c r="D27" s="815"/>
      <c r="E27" s="815"/>
      <c r="F27" s="814"/>
      <c r="G27" s="815"/>
      <c r="H27" s="815"/>
    </row>
    <row r="28" spans="1:8" ht="15.6" x14ac:dyDescent="0.3">
      <c r="A28" s="815"/>
      <c r="B28" s="863" t="s">
        <v>69</v>
      </c>
      <c r="C28" s="863" t="s">
        <v>719</v>
      </c>
      <c r="D28" s="863" t="s">
        <v>83</v>
      </c>
      <c r="E28" s="862" t="s">
        <v>141</v>
      </c>
      <c r="F28" s="862" t="s">
        <v>140</v>
      </c>
      <c r="G28" s="815"/>
      <c r="H28" s="815"/>
    </row>
    <row r="29" spans="1:8" ht="13.8" x14ac:dyDescent="0.25">
      <c r="A29" s="815"/>
      <c r="B29" s="857" t="s">
        <v>586</v>
      </c>
      <c r="C29" s="857" t="s">
        <v>587</v>
      </c>
      <c r="D29" s="857" t="s">
        <v>588</v>
      </c>
      <c r="E29" s="857" t="s">
        <v>589</v>
      </c>
      <c r="F29" s="857" t="s">
        <v>590</v>
      </c>
      <c r="G29" s="815"/>
      <c r="H29" s="815"/>
    </row>
    <row r="30" spans="1:8" ht="15.6" x14ac:dyDescent="0.3">
      <c r="A30" s="815"/>
      <c r="B30" s="856" t="s">
        <v>85</v>
      </c>
      <c r="C30" s="856" t="s">
        <v>212</v>
      </c>
      <c r="D30" s="856" t="s">
        <v>213</v>
      </c>
      <c r="E30" s="856"/>
      <c r="F30" s="856"/>
      <c r="G30" s="815"/>
      <c r="H30" s="815"/>
    </row>
    <row r="31" spans="1:8" ht="15.6" x14ac:dyDescent="0.3">
      <c r="A31" s="815"/>
      <c r="B31" s="855">
        <f>80*F19</f>
        <v>4880000</v>
      </c>
      <c r="C31" s="855">
        <f>80*64200</f>
        <v>5136000</v>
      </c>
      <c r="D31" s="855">
        <v>5010000</v>
      </c>
      <c r="E31" s="855">
        <f>B31-C31</f>
        <v>-256000</v>
      </c>
      <c r="F31" s="855">
        <f>C31-D31</f>
        <v>126000</v>
      </c>
      <c r="G31" s="815"/>
      <c r="H31" s="815"/>
    </row>
    <row r="32" spans="1:8" ht="13.8" x14ac:dyDescent="0.25">
      <c r="A32" s="815"/>
      <c r="B32" s="815"/>
      <c r="C32" s="815"/>
      <c r="D32" s="815"/>
      <c r="E32" s="815"/>
      <c r="F32" s="814"/>
      <c r="G32" s="815"/>
      <c r="H32" s="815"/>
    </row>
    <row r="33" spans="1:8" ht="15.6" x14ac:dyDescent="0.3">
      <c r="A33" s="815"/>
      <c r="B33" s="861" t="s">
        <v>406</v>
      </c>
      <c r="C33" s="860"/>
      <c r="D33" s="860"/>
      <c r="E33" s="860"/>
      <c r="F33" s="860"/>
      <c r="G33" s="815"/>
      <c r="H33" s="815"/>
    </row>
    <row r="34" spans="1:8" ht="15.6" x14ac:dyDescent="0.3">
      <c r="A34" s="815"/>
      <c r="B34" s="858" t="s">
        <v>69</v>
      </c>
      <c r="C34" s="858" t="str">
        <f>C28</f>
        <v>Virkelig forbruk</v>
      </c>
      <c r="D34" s="859" t="s">
        <v>83</v>
      </c>
      <c r="E34" s="859" t="s">
        <v>79</v>
      </c>
      <c r="F34" s="858" t="s">
        <v>78</v>
      </c>
      <c r="G34" s="815"/>
      <c r="H34" s="815"/>
    </row>
    <row r="35" spans="1:8" ht="13.8" x14ac:dyDescent="0.25">
      <c r="A35" s="815"/>
      <c r="B35" s="857" t="s">
        <v>586</v>
      </c>
      <c r="C35" s="857" t="s">
        <v>591</v>
      </c>
      <c r="D35" s="857" t="s">
        <v>588</v>
      </c>
      <c r="E35" s="857" t="s">
        <v>589</v>
      </c>
      <c r="F35" s="857" t="s">
        <v>590</v>
      </c>
      <c r="G35" s="815"/>
      <c r="H35" s="815"/>
    </row>
    <row r="36" spans="1:8" ht="15.6" x14ac:dyDescent="0.3">
      <c r="A36" s="815"/>
      <c r="B36" s="856" t="s">
        <v>215</v>
      </c>
      <c r="C36" s="856" t="s">
        <v>216</v>
      </c>
      <c r="D36" s="856" t="s">
        <v>217</v>
      </c>
      <c r="E36" s="856"/>
      <c r="F36" s="856"/>
      <c r="G36" s="815"/>
      <c r="H36" s="815"/>
    </row>
    <row r="37" spans="1:8" ht="15.6" x14ac:dyDescent="0.3">
      <c r="A37" s="815"/>
      <c r="B37" s="855">
        <f>240*F26</f>
        <v>3648000</v>
      </c>
      <c r="C37" s="855">
        <f>240*14900</f>
        <v>3576000</v>
      </c>
      <c r="D37" s="855">
        <v>3730000</v>
      </c>
      <c r="E37" s="855">
        <f>B37-C37</f>
        <v>72000</v>
      </c>
      <c r="F37" s="855">
        <f>C37-D37</f>
        <v>-154000</v>
      </c>
      <c r="G37" s="815"/>
      <c r="H37" s="815"/>
    </row>
    <row r="38" spans="1:8" ht="13.8" x14ac:dyDescent="0.25">
      <c r="A38" s="815"/>
      <c r="B38" s="815"/>
      <c r="C38" s="815"/>
      <c r="D38" s="815"/>
      <c r="E38" s="815"/>
      <c r="F38" s="814"/>
      <c r="G38" s="815"/>
      <c r="H38" s="815"/>
    </row>
    <row r="39" spans="1:8" ht="13.8" x14ac:dyDescent="0.25">
      <c r="A39" s="815"/>
      <c r="B39" s="815"/>
      <c r="C39" s="815"/>
      <c r="D39" s="815"/>
      <c r="E39" s="380"/>
      <c r="F39" s="815"/>
      <c r="G39" s="815"/>
      <c r="H39" s="815"/>
    </row>
    <row r="40" spans="1:8" ht="13.8" x14ac:dyDescent="0.25">
      <c r="A40" s="813" t="s">
        <v>203</v>
      </c>
      <c r="B40" s="854"/>
      <c r="C40" s="853"/>
      <c r="D40" s="973" t="s">
        <v>173</v>
      </c>
      <c r="E40" s="974"/>
      <c r="F40" s="974"/>
      <c r="G40" s="849"/>
      <c r="H40" s="829"/>
    </row>
    <row r="41" spans="1:8" ht="13.8" x14ac:dyDescent="0.25">
      <c r="B41" s="837"/>
      <c r="C41" s="824"/>
      <c r="D41" s="848" t="s">
        <v>51</v>
      </c>
      <c r="E41" s="852" t="s">
        <v>52</v>
      </c>
      <c r="F41" s="848" t="s">
        <v>15</v>
      </c>
      <c r="G41" s="847" t="s">
        <v>199</v>
      </c>
      <c r="H41" s="851" t="s">
        <v>378</v>
      </c>
    </row>
    <row r="42" spans="1:8" ht="13.8" x14ac:dyDescent="0.25">
      <c r="B42" s="832" t="s">
        <v>96</v>
      </c>
      <c r="C42" s="815"/>
      <c r="D42" s="850">
        <v>7146000</v>
      </c>
      <c r="E42" s="850">
        <v>6360000</v>
      </c>
      <c r="F42" s="849">
        <v>13506000</v>
      </c>
      <c r="G42" s="849">
        <v>13506000</v>
      </c>
      <c r="H42" s="848"/>
    </row>
    <row r="43" spans="1:8" ht="13.8" x14ac:dyDescent="0.25">
      <c r="B43" s="832"/>
      <c r="C43" s="815"/>
      <c r="D43" s="847"/>
      <c r="E43" s="847"/>
      <c r="F43" s="847"/>
      <c r="G43" s="847"/>
      <c r="H43" s="847"/>
    </row>
    <row r="44" spans="1:8" ht="13.8" x14ac:dyDescent="0.25">
      <c r="B44" s="844" t="s">
        <v>16</v>
      </c>
      <c r="C44" s="815"/>
      <c r="D44" s="831">
        <f>F17*80</f>
        <v>2960000</v>
      </c>
      <c r="E44" s="831">
        <f>F18*80</f>
        <v>1920000</v>
      </c>
      <c r="F44" s="831">
        <f t="shared" ref="F44:F49" si="0">SUM(D44:E44)</f>
        <v>4880000</v>
      </c>
      <c r="G44" s="831">
        <v>5010000</v>
      </c>
      <c r="H44" s="831">
        <f>F44-G44</f>
        <v>-130000</v>
      </c>
    </row>
    <row r="45" spans="1:8" ht="13.8" x14ac:dyDescent="0.25">
      <c r="B45" s="844" t="s">
        <v>18</v>
      </c>
      <c r="C45" s="815"/>
      <c r="D45" s="831">
        <f>F24*240</f>
        <v>1728000</v>
      </c>
      <c r="E45" s="831">
        <f>F25*240</f>
        <v>1920000</v>
      </c>
      <c r="F45" s="831">
        <f t="shared" si="0"/>
        <v>3648000</v>
      </c>
      <c r="G45" s="831">
        <v>3730000</v>
      </c>
      <c r="H45" s="826">
        <f>F45-G45</f>
        <v>-82000</v>
      </c>
    </row>
    <row r="46" spans="1:8" ht="13.8" x14ac:dyDescent="0.25">
      <c r="B46" s="832" t="s">
        <v>379</v>
      </c>
      <c r="C46" s="815"/>
      <c r="D46" s="831"/>
      <c r="E46" s="831"/>
      <c r="F46" s="831">
        <f t="shared" si="0"/>
        <v>0</v>
      </c>
      <c r="G46" s="831"/>
      <c r="H46" s="846">
        <f>SUM(H44:H45)</f>
        <v>-212000</v>
      </c>
    </row>
    <row r="47" spans="1:8" ht="13.8" x14ac:dyDescent="0.25">
      <c r="B47" s="845" t="s">
        <v>92</v>
      </c>
      <c r="C47" s="815"/>
      <c r="D47" s="831"/>
      <c r="E47" s="831"/>
      <c r="F47" s="831">
        <f t="shared" si="0"/>
        <v>0</v>
      </c>
      <c r="G47" s="831"/>
      <c r="H47" s="835"/>
    </row>
    <row r="48" spans="1:8" ht="13.8" x14ac:dyDescent="0.25">
      <c r="B48" s="844" t="s">
        <v>19</v>
      </c>
      <c r="C48" s="815"/>
      <c r="D48" s="831">
        <f>F17*30</f>
        <v>1110000</v>
      </c>
      <c r="E48" s="831">
        <f>F18*30</f>
        <v>720000</v>
      </c>
      <c r="F48" s="831">
        <f t="shared" si="0"/>
        <v>1830000</v>
      </c>
      <c r="G48" s="841">
        <v>1953000</v>
      </c>
      <c r="H48" s="831">
        <f>F48-G48</f>
        <v>-123000</v>
      </c>
    </row>
    <row r="49" spans="2:8" ht="13.8" x14ac:dyDescent="0.25">
      <c r="B49" s="843" t="s">
        <v>20</v>
      </c>
      <c r="C49" s="836"/>
      <c r="D49" s="826">
        <f>F24*80</f>
        <v>576000</v>
      </c>
      <c r="E49" s="826">
        <f>F25*80</f>
        <v>640000</v>
      </c>
      <c r="F49" s="826">
        <f t="shared" si="0"/>
        <v>1216000</v>
      </c>
      <c r="G49" s="841">
        <v>1110000</v>
      </c>
      <c r="H49" s="831">
        <f>F49-G49</f>
        <v>106000</v>
      </c>
    </row>
    <row r="50" spans="2:8" ht="13.8" x14ac:dyDescent="0.25">
      <c r="B50" s="832" t="s">
        <v>394</v>
      </c>
      <c r="C50" s="815"/>
      <c r="D50" s="831">
        <f>SUM(D44:D49)</f>
        <v>6374000</v>
      </c>
      <c r="E50" s="831">
        <f>SUM(E44:E49)</f>
        <v>5200000</v>
      </c>
      <c r="F50" s="831">
        <f>SUM(F44:F49)</f>
        <v>11574000</v>
      </c>
      <c r="G50" s="831"/>
      <c r="H50" s="835"/>
    </row>
    <row r="51" spans="2:8" ht="13.8" x14ac:dyDescent="0.25">
      <c r="B51" s="843" t="s">
        <v>533</v>
      </c>
      <c r="C51" s="836"/>
      <c r="D51" s="826">
        <f>200*-C68</f>
        <v>-284000</v>
      </c>
      <c r="E51" s="842">
        <v>0</v>
      </c>
      <c r="F51" s="838">
        <v>-284000</v>
      </c>
      <c r="G51" s="831">
        <v>-284000</v>
      </c>
      <c r="H51" s="835"/>
    </row>
    <row r="52" spans="2:8" ht="13.8" x14ac:dyDescent="0.25">
      <c r="B52" s="832" t="s">
        <v>534</v>
      </c>
      <c r="C52" s="815"/>
      <c r="D52" s="831">
        <f>SUM(D50:D51)</f>
        <v>6090000</v>
      </c>
      <c r="E52" s="831">
        <f>SUM(E50:E51)</f>
        <v>5200000</v>
      </c>
      <c r="F52" s="831">
        <f>SUM(F50:F51)</f>
        <v>11290000</v>
      </c>
      <c r="G52" s="831"/>
      <c r="H52" s="835"/>
    </row>
    <row r="53" spans="2:8" ht="13.8" x14ac:dyDescent="0.25">
      <c r="B53" s="843" t="s">
        <v>382</v>
      </c>
      <c r="C53" s="836"/>
      <c r="D53" s="826">
        <f>-1470*100</f>
        <v>-147000</v>
      </c>
      <c r="E53" s="842">
        <f>2600*200</f>
        <v>520000</v>
      </c>
      <c r="F53" s="838">
        <v>346000</v>
      </c>
      <c r="G53" s="831">
        <v>346000</v>
      </c>
      <c r="H53" s="835"/>
    </row>
    <row r="54" spans="2:8" ht="13.8" x14ac:dyDescent="0.25">
      <c r="B54" s="832" t="s">
        <v>383</v>
      </c>
      <c r="C54" s="815"/>
      <c r="D54" s="831">
        <f>SUM(D52:D53)</f>
        <v>5943000</v>
      </c>
      <c r="E54" s="831">
        <f>SUM(E52:E53)</f>
        <v>5720000</v>
      </c>
      <c r="F54" s="831">
        <f>SUM(F52:F53)</f>
        <v>11636000</v>
      </c>
      <c r="G54" s="831"/>
      <c r="H54" s="835"/>
    </row>
    <row r="55" spans="2:8" ht="13.8" x14ac:dyDescent="0.25">
      <c r="B55" s="837" t="s">
        <v>535</v>
      </c>
      <c r="C55" s="836"/>
      <c r="D55" s="826">
        <f>100*3400</f>
        <v>340000</v>
      </c>
      <c r="E55" s="842">
        <f>100*2200</f>
        <v>220000</v>
      </c>
      <c r="F55" s="838">
        <f>SUM(D55:E55)</f>
        <v>560000</v>
      </c>
      <c r="G55" s="841">
        <v>580000</v>
      </c>
      <c r="H55" s="831">
        <f>F55-G55</f>
        <v>-20000</v>
      </c>
    </row>
    <row r="56" spans="2:8" ht="13.8" x14ac:dyDescent="0.25">
      <c r="B56" s="832" t="s">
        <v>17</v>
      </c>
      <c r="C56" s="815"/>
      <c r="D56" s="831">
        <v>6256000</v>
      </c>
      <c r="E56" s="814">
        <v>5940000</v>
      </c>
      <c r="F56" s="830">
        <f>SUM(D56:E56)</f>
        <v>12196000</v>
      </c>
      <c r="G56" s="831"/>
      <c r="H56" s="835"/>
    </row>
    <row r="57" spans="2:8" ht="13.8" x14ac:dyDescent="0.25">
      <c r="B57" s="837"/>
      <c r="C57" s="836"/>
      <c r="D57" s="840"/>
      <c r="E57" s="839"/>
      <c r="F57" s="838"/>
      <c r="G57" s="831"/>
      <c r="H57" s="835"/>
    </row>
    <row r="58" spans="2:8" ht="13.8" x14ac:dyDescent="0.25">
      <c r="B58" s="837" t="s">
        <v>385</v>
      </c>
      <c r="C58" s="836"/>
      <c r="D58" s="827">
        <f>D42-D56</f>
        <v>890000</v>
      </c>
      <c r="E58" s="827">
        <f>E42-E56</f>
        <v>420000</v>
      </c>
      <c r="F58" s="827">
        <f>F42-F56</f>
        <v>1310000</v>
      </c>
      <c r="G58" s="831"/>
      <c r="H58" s="835"/>
    </row>
    <row r="59" spans="2:8" ht="13.8" x14ac:dyDescent="0.25">
      <c r="B59" s="832" t="s">
        <v>379</v>
      </c>
      <c r="C59" s="815"/>
      <c r="D59" s="831"/>
      <c r="E59" s="814"/>
      <c r="F59" s="830">
        <f>H46</f>
        <v>-212000</v>
      </c>
      <c r="G59" s="834"/>
      <c r="H59" s="833"/>
    </row>
    <row r="60" spans="2:8" ht="13.8" x14ac:dyDescent="0.25">
      <c r="B60" s="832" t="s">
        <v>386</v>
      </c>
      <c r="C60" s="815"/>
      <c r="D60" s="831"/>
      <c r="E60" s="814"/>
      <c r="F60" s="830">
        <f>H60</f>
        <v>-37000</v>
      </c>
      <c r="G60" s="826"/>
      <c r="H60" s="829">
        <f>SUM(H48:H58)</f>
        <v>-37000</v>
      </c>
    </row>
    <row r="61" spans="2:8" ht="13.8" x14ac:dyDescent="0.25">
      <c r="B61" s="828" t="s">
        <v>187</v>
      </c>
      <c r="C61" s="821"/>
      <c r="D61" s="827"/>
      <c r="E61" s="820"/>
      <c r="F61" s="827">
        <f>SUM(F58:F60)</f>
        <v>1061000</v>
      </c>
      <c r="G61" s="826">
        <f>G42-G44-G45-G48-G51-G53-G55-G49</f>
        <v>1061000</v>
      </c>
      <c r="H61" s="825"/>
    </row>
    <row r="62" spans="2:8" ht="13.8" x14ac:dyDescent="0.25">
      <c r="B62" s="815"/>
      <c r="C62" s="815"/>
      <c r="D62" s="814"/>
      <c r="E62" s="814"/>
      <c r="F62" s="814"/>
      <c r="G62" s="814"/>
      <c r="H62" s="814"/>
    </row>
    <row r="63" spans="2:8" ht="13.8" x14ac:dyDescent="0.25">
      <c r="B63" s="824" t="s">
        <v>347</v>
      </c>
      <c r="C63" s="823" t="s">
        <v>51</v>
      </c>
      <c r="D63" s="822"/>
      <c r="E63" s="814"/>
      <c r="F63" s="814"/>
      <c r="G63" s="814"/>
      <c r="H63" s="814"/>
    </row>
    <row r="64" spans="2:8" ht="13.8" x14ac:dyDescent="0.25">
      <c r="B64" s="815" t="s">
        <v>536</v>
      </c>
      <c r="C64" s="815">
        <v>800</v>
      </c>
      <c r="D64" s="814"/>
      <c r="E64" s="814"/>
      <c r="F64" s="814"/>
      <c r="G64" s="814"/>
      <c r="H64" s="814"/>
    </row>
    <row r="65" spans="1:8" ht="13.8" x14ac:dyDescent="0.25">
      <c r="B65" s="815" t="s">
        <v>90</v>
      </c>
      <c r="C65" s="815">
        <f>480/2</f>
        <v>240</v>
      </c>
      <c r="D65" s="814"/>
      <c r="E65" s="814"/>
      <c r="F65" s="814"/>
      <c r="G65" s="814"/>
      <c r="H65" s="814"/>
    </row>
    <row r="66" spans="1:8" ht="13.8" x14ac:dyDescent="0.25">
      <c r="B66" s="815" t="s">
        <v>537</v>
      </c>
      <c r="C66" s="815">
        <v>300</v>
      </c>
      <c r="D66" s="814"/>
      <c r="E66" s="814"/>
      <c r="F66" s="814"/>
      <c r="G66" s="814"/>
      <c r="H66" s="814"/>
    </row>
    <row r="67" spans="1:8" ht="13.8" x14ac:dyDescent="0.25">
      <c r="B67" s="815" t="s">
        <v>538</v>
      </c>
      <c r="C67" s="815">
        <f>160/2</f>
        <v>80</v>
      </c>
      <c r="D67" s="814"/>
      <c r="E67" s="814"/>
      <c r="F67" s="814"/>
      <c r="G67" s="814"/>
      <c r="H67" s="814"/>
    </row>
    <row r="68" spans="1:8" ht="13.8" x14ac:dyDescent="0.25">
      <c r="B68" s="821" t="s">
        <v>539</v>
      </c>
      <c r="C68" s="820">
        <f>SUM(C64:C67)</f>
        <v>1420</v>
      </c>
      <c r="D68" s="814"/>
      <c r="E68" s="814"/>
      <c r="F68" s="814"/>
      <c r="G68" s="814"/>
      <c r="H68" s="814"/>
    </row>
    <row r="69" spans="1:8" ht="13.8" x14ac:dyDescent="0.25">
      <c r="B69" s="815"/>
      <c r="C69" s="814"/>
      <c r="D69" s="814"/>
      <c r="E69" s="814"/>
      <c r="F69" s="814"/>
      <c r="G69" s="814"/>
      <c r="H69" s="814"/>
    </row>
    <row r="70" spans="1:8" ht="13.8" x14ac:dyDescent="0.25">
      <c r="B70" s="815"/>
      <c r="C70" s="814"/>
      <c r="D70" s="814"/>
      <c r="E70" s="814"/>
      <c r="F70" s="814"/>
      <c r="G70" s="814"/>
      <c r="H70" s="814"/>
    </row>
    <row r="71" spans="1:8" ht="13.8" x14ac:dyDescent="0.25">
      <c r="A71" s="813" t="s">
        <v>204</v>
      </c>
      <c r="B71" s="815"/>
      <c r="C71" s="814"/>
      <c r="D71" s="814"/>
      <c r="E71" s="814"/>
      <c r="F71" s="814"/>
      <c r="G71" s="814"/>
      <c r="H71" s="814"/>
    </row>
    <row r="72" spans="1:8" ht="27.6" x14ac:dyDescent="0.3">
      <c r="B72" s="287"/>
      <c r="C72" s="819" t="s">
        <v>271</v>
      </c>
      <c r="D72" s="819" t="s">
        <v>683</v>
      </c>
      <c r="E72" s="819" t="s">
        <v>270</v>
      </c>
      <c r="F72" s="536" t="s">
        <v>249</v>
      </c>
      <c r="G72" s="536" t="s">
        <v>682</v>
      </c>
      <c r="H72" s="814"/>
    </row>
    <row r="73" spans="1:8" ht="19.8" x14ac:dyDescent="0.3">
      <c r="B73" s="302"/>
      <c r="C73" s="221" t="s">
        <v>387</v>
      </c>
      <c r="D73" s="226"/>
      <c r="E73" s="225"/>
      <c r="F73" s="225" t="s">
        <v>296</v>
      </c>
      <c r="G73" s="225" t="s">
        <v>297</v>
      </c>
      <c r="H73" s="814"/>
    </row>
    <row r="74" spans="1:8" ht="15.6" x14ac:dyDescent="0.3">
      <c r="B74" s="291" t="s">
        <v>396</v>
      </c>
      <c r="C74" s="291">
        <f>F91</f>
        <v>610000</v>
      </c>
      <c r="D74" s="291">
        <f>G86</f>
        <v>604000</v>
      </c>
      <c r="E74" s="291">
        <v>632000</v>
      </c>
      <c r="F74" s="381">
        <f>C74-D74</f>
        <v>6000</v>
      </c>
      <c r="G74" s="381">
        <f>D74-E74</f>
        <v>-28000</v>
      </c>
      <c r="H74" s="814"/>
    </row>
    <row r="75" spans="1:8" ht="13.8" x14ac:dyDescent="0.25">
      <c r="B75" s="815"/>
      <c r="C75" s="814"/>
      <c r="D75" s="814"/>
      <c r="E75" s="814"/>
      <c r="F75" s="814"/>
      <c r="G75" s="814"/>
      <c r="H75" s="814"/>
    </row>
    <row r="76" spans="1:8" ht="13.8" x14ac:dyDescent="0.25">
      <c r="B76" s="815"/>
      <c r="C76" s="814"/>
      <c r="D76" s="814"/>
      <c r="E76" s="814"/>
      <c r="F76" s="814"/>
      <c r="G76" s="814"/>
      <c r="H76" s="814"/>
    </row>
    <row r="77" spans="1:8" ht="27.6" x14ac:dyDescent="0.3">
      <c r="B77" s="287"/>
      <c r="C77" s="819" t="s">
        <v>271</v>
      </c>
      <c r="D77" s="819" t="s">
        <v>269</v>
      </c>
      <c r="E77" s="819" t="s">
        <v>270</v>
      </c>
      <c r="F77" s="536" t="s">
        <v>21</v>
      </c>
      <c r="G77" s="536" t="s">
        <v>399</v>
      </c>
      <c r="H77" s="814"/>
    </row>
    <row r="78" spans="1:8" ht="18" x14ac:dyDescent="0.3">
      <c r="B78" s="287"/>
      <c r="C78" s="301" t="s">
        <v>407</v>
      </c>
      <c r="D78" s="301" t="s">
        <v>400</v>
      </c>
      <c r="E78" s="301" t="s">
        <v>199</v>
      </c>
      <c r="F78" s="301" t="s">
        <v>296</v>
      </c>
      <c r="G78" s="301" t="s">
        <v>297</v>
      </c>
      <c r="H78" s="814"/>
    </row>
    <row r="79" spans="1:8" ht="15.6" x14ac:dyDescent="0.3">
      <c r="B79" s="291" t="s">
        <v>397</v>
      </c>
      <c r="C79" s="291">
        <f>F92</f>
        <v>1220000</v>
      </c>
      <c r="D79" s="291">
        <f>G87</f>
        <v>1284000</v>
      </c>
      <c r="E79" s="291">
        <v>1321000</v>
      </c>
      <c r="F79" s="381">
        <f>C79-D79</f>
        <v>-64000</v>
      </c>
      <c r="G79" s="381">
        <f>D79-E79</f>
        <v>-37000</v>
      </c>
      <c r="H79" s="814"/>
    </row>
    <row r="80" spans="1:8" ht="13.8" x14ac:dyDescent="0.25">
      <c r="B80" s="815"/>
      <c r="C80" s="814"/>
      <c r="D80" s="814"/>
      <c r="E80" s="814"/>
      <c r="F80" s="814"/>
      <c r="G80" s="814"/>
      <c r="H80" s="814"/>
    </row>
    <row r="81" spans="2:8" ht="13.8" x14ac:dyDescent="0.25">
      <c r="B81" s="818" t="s">
        <v>22</v>
      </c>
      <c r="C81" s="815"/>
      <c r="D81" s="814"/>
      <c r="E81" s="814"/>
      <c r="F81" s="814"/>
      <c r="G81" s="814"/>
      <c r="H81" s="814"/>
    </row>
    <row r="82" spans="2:8" ht="13.8" x14ac:dyDescent="0.25">
      <c r="B82" s="815"/>
      <c r="C82" s="815"/>
      <c r="D82" s="814"/>
      <c r="E82" s="814"/>
      <c r="F82" s="814"/>
      <c r="G82" s="814"/>
      <c r="H82" s="814"/>
    </row>
    <row r="83" spans="2:8" ht="13.8" x14ac:dyDescent="0.25">
      <c r="B83" s="817" t="s">
        <v>685</v>
      </c>
      <c r="C83" s="815"/>
      <c r="D83" s="814"/>
      <c r="E83" s="814"/>
      <c r="F83" s="814"/>
      <c r="G83" s="814"/>
      <c r="H83" s="814"/>
    </row>
    <row r="84" spans="2:8" ht="13.8" x14ac:dyDescent="0.25">
      <c r="C84" s="814"/>
      <c r="D84" s="814"/>
      <c r="E84" s="814"/>
      <c r="F84" s="814"/>
      <c r="G84" s="814"/>
      <c r="H84" s="814"/>
    </row>
    <row r="85" spans="2:8" ht="13.8" x14ac:dyDescent="0.25">
      <c r="B85" s="815" t="s">
        <v>540</v>
      </c>
      <c r="C85" s="814"/>
      <c r="D85" s="814"/>
      <c r="E85" s="814"/>
      <c r="F85" s="814"/>
      <c r="G85" s="814"/>
      <c r="H85" s="814"/>
    </row>
    <row r="86" spans="2:8" ht="13.8" x14ac:dyDescent="0.25">
      <c r="B86" s="815" t="s">
        <v>396</v>
      </c>
      <c r="C86" s="814"/>
      <c r="D86" s="814" t="s">
        <v>23</v>
      </c>
      <c r="E86" s="814"/>
      <c r="F86" s="814"/>
      <c r="G86" s="814">
        <v>604000</v>
      </c>
      <c r="H86" s="814"/>
    </row>
    <row r="87" spans="2:8" ht="13.8" x14ac:dyDescent="0.25">
      <c r="B87" s="815" t="s">
        <v>686</v>
      </c>
      <c r="C87" s="815"/>
      <c r="D87" s="816" t="s">
        <v>25</v>
      </c>
      <c r="E87" s="814"/>
      <c r="F87" s="816" t="s">
        <v>24</v>
      </c>
      <c r="G87" s="814">
        <f>64200*20</f>
        <v>1284000</v>
      </c>
      <c r="H87" s="814"/>
    </row>
    <row r="88" spans="2:8" ht="13.8" x14ac:dyDescent="0.25">
      <c r="B88" s="815"/>
      <c r="C88" s="815"/>
      <c r="D88" s="815"/>
      <c r="E88" s="814"/>
      <c r="F88" s="815"/>
      <c r="G88" s="814"/>
      <c r="H88" s="814"/>
    </row>
    <row r="89" spans="2:8" ht="13.8" x14ac:dyDescent="0.25">
      <c r="B89" s="815"/>
      <c r="C89" s="815"/>
      <c r="D89" s="814"/>
      <c r="E89" s="814"/>
      <c r="F89" s="814"/>
      <c r="G89" s="814"/>
      <c r="H89" s="814"/>
    </row>
    <row r="90" spans="2:8" ht="13.8" x14ac:dyDescent="0.25">
      <c r="B90" s="815" t="s">
        <v>541</v>
      </c>
      <c r="C90" s="815"/>
      <c r="D90" s="814"/>
      <c r="E90" s="814"/>
      <c r="F90" s="814"/>
      <c r="G90" s="814"/>
      <c r="H90" s="814"/>
    </row>
    <row r="91" spans="2:8" ht="13.8" x14ac:dyDescent="0.25">
      <c r="B91" s="815" t="s">
        <v>396</v>
      </c>
      <c r="D91" s="816" t="s">
        <v>26</v>
      </c>
      <c r="E91" s="814"/>
      <c r="F91" s="814">
        <f>61000*10</f>
        <v>610000</v>
      </c>
      <c r="G91" s="814" t="s">
        <v>28</v>
      </c>
    </row>
    <row r="92" spans="2:8" ht="13.8" x14ac:dyDescent="0.25">
      <c r="B92" s="815" t="s">
        <v>397</v>
      </c>
      <c r="D92" s="816" t="s">
        <v>27</v>
      </c>
      <c r="E92" s="814"/>
      <c r="F92" s="814">
        <f>61000*20</f>
        <v>1220000</v>
      </c>
      <c r="G92" s="814" t="s">
        <v>28</v>
      </c>
    </row>
    <row r="93" spans="2:8" ht="13.8" x14ac:dyDescent="0.25">
      <c r="B93" s="815"/>
      <c r="C93" s="815"/>
      <c r="D93" s="814"/>
      <c r="E93" s="814"/>
      <c r="F93" s="814"/>
      <c r="G93" s="814"/>
      <c r="H93" s="814"/>
    </row>
  </sheetData>
  <mergeCells count="1">
    <mergeCell ref="D40:F40"/>
  </mergeCells>
  <pageMargins left="0.70866141732283472" right="0.70866141732283472" top="0.78740157480314965" bottom="0.78740157480314965" header="0.31496062992125984" footer="0.31496062992125984"/>
  <pageSetup paperSize="9" scale="91" fitToHeight="0" orientation="portrait" r:id="rId1"/>
  <headerFooter>
    <oddHeader>&amp;A&amp;RSide &amp;P</oddHeader>
    <oddFooter>&amp;CLøsning kapittel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I28"/>
  <sheetViews>
    <sheetView zoomScaleNormal="100" workbookViewId="0">
      <selection activeCell="G12" sqref="G12"/>
    </sheetView>
  </sheetViews>
  <sheetFormatPr baseColWidth="10" defaultColWidth="9.109375" defaultRowHeight="15.6" x14ac:dyDescent="0.3"/>
  <cols>
    <col min="1" max="1" width="3.109375" style="496" customWidth="1"/>
    <col min="2" max="2" width="1.33203125" style="496" hidden="1" customWidth="1"/>
    <col min="3" max="3" width="21.109375" style="496" customWidth="1"/>
    <col min="4" max="8" width="12.88671875" style="496" customWidth="1"/>
    <col min="9" max="256" width="9.109375" style="496"/>
    <col min="257" max="257" width="5.33203125" style="496" customWidth="1"/>
    <col min="258" max="258" width="0" style="496" hidden="1" customWidth="1"/>
    <col min="259" max="259" width="21.109375" style="496" customWidth="1"/>
    <col min="260" max="260" width="17" style="496" customWidth="1"/>
    <col min="261" max="261" width="25.109375" style="496" customWidth="1"/>
    <col min="262" max="262" width="14.33203125" style="496" customWidth="1"/>
    <col min="263" max="263" width="16.33203125" style="496" customWidth="1"/>
    <col min="264" max="264" width="15" style="496" customWidth="1"/>
    <col min="265" max="512" width="9.109375" style="496"/>
    <col min="513" max="513" width="5.33203125" style="496" customWidth="1"/>
    <col min="514" max="514" width="0" style="496" hidden="1" customWidth="1"/>
    <col min="515" max="515" width="21.109375" style="496" customWidth="1"/>
    <col min="516" max="516" width="17" style="496" customWidth="1"/>
    <col min="517" max="517" width="25.109375" style="496" customWidth="1"/>
    <col min="518" max="518" width="14.33203125" style="496" customWidth="1"/>
    <col min="519" max="519" width="16.33203125" style="496" customWidth="1"/>
    <col min="520" max="520" width="15" style="496" customWidth="1"/>
    <col min="521" max="768" width="9.109375" style="496"/>
    <col min="769" max="769" width="5.33203125" style="496" customWidth="1"/>
    <col min="770" max="770" width="0" style="496" hidden="1" customWidth="1"/>
    <col min="771" max="771" width="21.109375" style="496" customWidth="1"/>
    <col min="772" max="772" width="17" style="496" customWidth="1"/>
    <col min="773" max="773" width="25.109375" style="496" customWidth="1"/>
    <col min="774" max="774" width="14.33203125" style="496" customWidth="1"/>
    <col min="775" max="775" width="16.33203125" style="496" customWidth="1"/>
    <col min="776" max="776" width="15" style="496" customWidth="1"/>
    <col min="777" max="1024" width="9.109375" style="496"/>
    <col min="1025" max="1025" width="5.33203125" style="496" customWidth="1"/>
    <col min="1026" max="1026" width="0" style="496" hidden="1" customWidth="1"/>
    <col min="1027" max="1027" width="21.109375" style="496" customWidth="1"/>
    <col min="1028" max="1028" width="17" style="496" customWidth="1"/>
    <col min="1029" max="1029" width="25.109375" style="496" customWidth="1"/>
    <col min="1030" max="1030" width="14.33203125" style="496" customWidth="1"/>
    <col min="1031" max="1031" width="16.33203125" style="496" customWidth="1"/>
    <col min="1032" max="1032" width="15" style="496" customWidth="1"/>
    <col min="1033" max="1280" width="9.109375" style="496"/>
    <col min="1281" max="1281" width="5.33203125" style="496" customWidth="1"/>
    <col min="1282" max="1282" width="0" style="496" hidden="1" customWidth="1"/>
    <col min="1283" max="1283" width="21.109375" style="496" customWidth="1"/>
    <col min="1284" max="1284" width="17" style="496" customWidth="1"/>
    <col min="1285" max="1285" width="25.109375" style="496" customWidth="1"/>
    <col min="1286" max="1286" width="14.33203125" style="496" customWidth="1"/>
    <col min="1287" max="1287" width="16.33203125" style="496" customWidth="1"/>
    <col min="1288" max="1288" width="15" style="496" customWidth="1"/>
    <col min="1289" max="1536" width="9.109375" style="496"/>
    <col min="1537" max="1537" width="5.33203125" style="496" customWidth="1"/>
    <col min="1538" max="1538" width="0" style="496" hidden="1" customWidth="1"/>
    <col min="1539" max="1539" width="21.109375" style="496" customWidth="1"/>
    <col min="1540" max="1540" width="17" style="496" customWidth="1"/>
    <col min="1541" max="1541" width="25.109375" style="496" customWidth="1"/>
    <col min="1542" max="1542" width="14.33203125" style="496" customWidth="1"/>
    <col min="1543" max="1543" width="16.33203125" style="496" customWidth="1"/>
    <col min="1544" max="1544" width="15" style="496" customWidth="1"/>
    <col min="1545" max="1792" width="9.109375" style="496"/>
    <col min="1793" max="1793" width="5.33203125" style="496" customWidth="1"/>
    <col min="1794" max="1794" width="0" style="496" hidden="1" customWidth="1"/>
    <col min="1795" max="1795" width="21.109375" style="496" customWidth="1"/>
    <col min="1796" max="1796" width="17" style="496" customWidth="1"/>
    <col min="1797" max="1797" width="25.109375" style="496" customWidth="1"/>
    <col min="1798" max="1798" width="14.33203125" style="496" customWidth="1"/>
    <col min="1799" max="1799" width="16.33203125" style="496" customWidth="1"/>
    <col min="1800" max="1800" width="15" style="496" customWidth="1"/>
    <col min="1801" max="2048" width="9.109375" style="496"/>
    <col min="2049" max="2049" width="5.33203125" style="496" customWidth="1"/>
    <col min="2050" max="2050" width="0" style="496" hidden="1" customWidth="1"/>
    <col min="2051" max="2051" width="21.109375" style="496" customWidth="1"/>
    <col min="2052" max="2052" width="17" style="496" customWidth="1"/>
    <col min="2053" max="2053" width="25.109375" style="496" customWidth="1"/>
    <col min="2054" max="2054" width="14.33203125" style="496" customWidth="1"/>
    <col min="2055" max="2055" width="16.33203125" style="496" customWidth="1"/>
    <col min="2056" max="2056" width="15" style="496" customWidth="1"/>
    <col min="2057" max="2304" width="9.109375" style="496"/>
    <col min="2305" max="2305" width="5.33203125" style="496" customWidth="1"/>
    <col min="2306" max="2306" width="0" style="496" hidden="1" customWidth="1"/>
    <col min="2307" max="2307" width="21.109375" style="496" customWidth="1"/>
    <col min="2308" max="2308" width="17" style="496" customWidth="1"/>
    <col min="2309" max="2309" width="25.109375" style="496" customWidth="1"/>
    <col min="2310" max="2310" width="14.33203125" style="496" customWidth="1"/>
    <col min="2311" max="2311" width="16.33203125" style="496" customWidth="1"/>
    <col min="2312" max="2312" width="15" style="496" customWidth="1"/>
    <col min="2313" max="2560" width="9.109375" style="496"/>
    <col min="2561" max="2561" width="5.33203125" style="496" customWidth="1"/>
    <col min="2562" max="2562" width="0" style="496" hidden="1" customWidth="1"/>
    <col min="2563" max="2563" width="21.109375" style="496" customWidth="1"/>
    <col min="2564" max="2564" width="17" style="496" customWidth="1"/>
    <col min="2565" max="2565" width="25.109375" style="496" customWidth="1"/>
    <col min="2566" max="2566" width="14.33203125" style="496" customWidth="1"/>
    <col min="2567" max="2567" width="16.33203125" style="496" customWidth="1"/>
    <col min="2568" max="2568" width="15" style="496" customWidth="1"/>
    <col min="2569" max="2816" width="9.109375" style="496"/>
    <col min="2817" max="2817" width="5.33203125" style="496" customWidth="1"/>
    <col min="2818" max="2818" width="0" style="496" hidden="1" customWidth="1"/>
    <col min="2819" max="2819" width="21.109375" style="496" customWidth="1"/>
    <col min="2820" max="2820" width="17" style="496" customWidth="1"/>
    <col min="2821" max="2821" width="25.109375" style="496" customWidth="1"/>
    <col min="2822" max="2822" width="14.33203125" style="496" customWidth="1"/>
    <col min="2823" max="2823" width="16.33203125" style="496" customWidth="1"/>
    <col min="2824" max="2824" width="15" style="496" customWidth="1"/>
    <col min="2825" max="3072" width="9.109375" style="496"/>
    <col min="3073" max="3073" width="5.33203125" style="496" customWidth="1"/>
    <col min="3074" max="3074" width="0" style="496" hidden="1" customWidth="1"/>
    <col min="3075" max="3075" width="21.109375" style="496" customWidth="1"/>
    <col min="3076" max="3076" width="17" style="496" customWidth="1"/>
    <col min="3077" max="3077" width="25.109375" style="496" customWidth="1"/>
    <col min="3078" max="3078" width="14.33203125" style="496" customWidth="1"/>
    <col min="3079" max="3079" width="16.33203125" style="496" customWidth="1"/>
    <col min="3080" max="3080" width="15" style="496" customWidth="1"/>
    <col min="3081" max="3328" width="9.109375" style="496"/>
    <col min="3329" max="3329" width="5.33203125" style="496" customWidth="1"/>
    <col min="3330" max="3330" width="0" style="496" hidden="1" customWidth="1"/>
    <col min="3331" max="3331" width="21.109375" style="496" customWidth="1"/>
    <col min="3332" max="3332" width="17" style="496" customWidth="1"/>
    <col min="3333" max="3333" width="25.109375" style="496" customWidth="1"/>
    <col min="3334" max="3334" width="14.33203125" style="496" customWidth="1"/>
    <col min="3335" max="3335" width="16.33203125" style="496" customWidth="1"/>
    <col min="3336" max="3336" width="15" style="496" customWidth="1"/>
    <col min="3337" max="3584" width="9.109375" style="496"/>
    <col min="3585" max="3585" width="5.33203125" style="496" customWidth="1"/>
    <col min="3586" max="3586" width="0" style="496" hidden="1" customWidth="1"/>
    <col min="3587" max="3587" width="21.109375" style="496" customWidth="1"/>
    <col min="3588" max="3588" width="17" style="496" customWidth="1"/>
    <col min="3589" max="3589" width="25.109375" style="496" customWidth="1"/>
    <col min="3590" max="3590" width="14.33203125" style="496" customWidth="1"/>
    <col min="3591" max="3591" width="16.33203125" style="496" customWidth="1"/>
    <col min="3592" max="3592" width="15" style="496" customWidth="1"/>
    <col min="3593" max="3840" width="9.109375" style="496"/>
    <col min="3841" max="3841" width="5.33203125" style="496" customWidth="1"/>
    <col min="3842" max="3842" width="0" style="496" hidden="1" customWidth="1"/>
    <col min="3843" max="3843" width="21.109375" style="496" customWidth="1"/>
    <col min="3844" max="3844" width="17" style="496" customWidth="1"/>
    <col min="3845" max="3845" width="25.109375" style="496" customWidth="1"/>
    <col min="3846" max="3846" width="14.33203125" style="496" customWidth="1"/>
    <col min="3847" max="3847" width="16.33203125" style="496" customWidth="1"/>
    <col min="3848" max="3848" width="15" style="496" customWidth="1"/>
    <col min="3849" max="4096" width="9.109375" style="496"/>
    <col min="4097" max="4097" width="5.33203125" style="496" customWidth="1"/>
    <col min="4098" max="4098" width="0" style="496" hidden="1" customWidth="1"/>
    <col min="4099" max="4099" width="21.109375" style="496" customWidth="1"/>
    <col min="4100" max="4100" width="17" style="496" customWidth="1"/>
    <col min="4101" max="4101" width="25.109375" style="496" customWidth="1"/>
    <col min="4102" max="4102" width="14.33203125" style="496" customWidth="1"/>
    <col min="4103" max="4103" width="16.33203125" style="496" customWidth="1"/>
    <col min="4104" max="4104" width="15" style="496" customWidth="1"/>
    <col min="4105" max="4352" width="9.109375" style="496"/>
    <col min="4353" max="4353" width="5.33203125" style="496" customWidth="1"/>
    <col min="4354" max="4354" width="0" style="496" hidden="1" customWidth="1"/>
    <col min="4355" max="4355" width="21.109375" style="496" customWidth="1"/>
    <col min="4356" max="4356" width="17" style="496" customWidth="1"/>
    <col min="4357" max="4357" width="25.109375" style="496" customWidth="1"/>
    <col min="4358" max="4358" width="14.33203125" style="496" customWidth="1"/>
    <col min="4359" max="4359" width="16.33203125" style="496" customWidth="1"/>
    <col min="4360" max="4360" width="15" style="496" customWidth="1"/>
    <col min="4361" max="4608" width="9.109375" style="496"/>
    <col min="4609" max="4609" width="5.33203125" style="496" customWidth="1"/>
    <col min="4610" max="4610" width="0" style="496" hidden="1" customWidth="1"/>
    <col min="4611" max="4611" width="21.109375" style="496" customWidth="1"/>
    <col min="4612" max="4612" width="17" style="496" customWidth="1"/>
    <col min="4613" max="4613" width="25.109375" style="496" customWidth="1"/>
    <col min="4614" max="4614" width="14.33203125" style="496" customWidth="1"/>
    <col min="4615" max="4615" width="16.33203125" style="496" customWidth="1"/>
    <col min="4616" max="4616" width="15" style="496" customWidth="1"/>
    <col min="4617" max="4864" width="9.109375" style="496"/>
    <col min="4865" max="4865" width="5.33203125" style="496" customWidth="1"/>
    <col min="4866" max="4866" width="0" style="496" hidden="1" customWidth="1"/>
    <col min="4867" max="4867" width="21.109375" style="496" customWidth="1"/>
    <col min="4868" max="4868" width="17" style="496" customWidth="1"/>
    <col min="4869" max="4869" width="25.109375" style="496" customWidth="1"/>
    <col min="4870" max="4870" width="14.33203125" style="496" customWidth="1"/>
    <col min="4871" max="4871" width="16.33203125" style="496" customWidth="1"/>
    <col min="4872" max="4872" width="15" style="496" customWidth="1"/>
    <col min="4873" max="5120" width="9.109375" style="496"/>
    <col min="5121" max="5121" width="5.33203125" style="496" customWidth="1"/>
    <col min="5122" max="5122" width="0" style="496" hidden="1" customWidth="1"/>
    <col min="5123" max="5123" width="21.109375" style="496" customWidth="1"/>
    <col min="5124" max="5124" width="17" style="496" customWidth="1"/>
    <col min="5125" max="5125" width="25.109375" style="496" customWidth="1"/>
    <col min="5126" max="5126" width="14.33203125" style="496" customWidth="1"/>
    <col min="5127" max="5127" width="16.33203125" style="496" customWidth="1"/>
    <col min="5128" max="5128" width="15" style="496" customWidth="1"/>
    <col min="5129" max="5376" width="9.109375" style="496"/>
    <col min="5377" max="5377" width="5.33203125" style="496" customWidth="1"/>
    <col min="5378" max="5378" width="0" style="496" hidden="1" customWidth="1"/>
    <col min="5379" max="5379" width="21.109375" style="496" customWidth="1"/>
    <col min="5380" max="5380" width="17" style="496" customWidth="1"/>
    <col min="5381" max="5381" width="25.109375" style="496" customWidth="1"/>
    <col min="5382" max="5382" width="14.33203125" style="496" customWidth="1"/>
    <col min="5383" max="5383" width="16.33203125" style="496" customWidth="1"/>
    <col min="5384" max="5384" width="15" style="496" customWidth="1"/>
    <col min="5385" max="5632" width="9.109375" style="496"/>
    <col min="5633" max="5633" width="5.33203125" style="496" customWidth="1"/>
    <col min="5634" max="5634" width="0" style="496" hidden="1" customWidth="1"/>
    <col min="5635" max="5635" width="21.109375" style="496" customWidth="1"/>
    <col min="5636" max="5636" width="17" style="496" customWidth="1"/>
    <col min="5637" max="5637" width="25.109375" style="496" customWidth="1"/>
    <col min="5638" max="5638" width="14.33203125" style="496" customWidth="1"/>
    <col min="5639" max="5639" width="16.33203125" style="496" customWidth="1"/>
    <col min="5640" max="5640" width="15" style="496" customWidth="1"/>
    <col min="5641" max="5888" width="9.109375" style="496"/>
    <col min="5889" max="5889" width="5.33203125" style="496" customWidth="1"/>
    <col min="5890" max="5890" width="0" style="496" hidden="1" customWidth="1"/>
    <col min="5891" max="5891" width="21.109375" style="496" customWidth="1"/>
    <col min="5892" max="5892" width="17" style="496" customWidth="1"/>
    <col min="5893" max="5893" width="25.109375" style="496" customWidth="1"/>
    <col min="5894" max="5894" width="14.33203125" style="496" customWidth="1"/>
    <col min="5895" max="5895" width="16.33203125" style="496" customWidth="1"/>
    <col min="5896" max="5896" width="15" style="496" customWidth="1"/>
    <col min="5897" max="6144" width="9.109375" style="496"/>
    <col min="6145" max="6145" width="5.33203125" style="496" customWidth="1"/>
    <col min="6146" max="6146" width="0" style="496" hidden="1" customWidth="1"/>
    <col min="6147" max="6147" width="21.109375" style="496" customWidth="1"/>
    <col min="6148" max="6148" width="17" style="496" customWidth="1"/>
    <col min="6149" max="6149" width="25.109375" style="496" customWidth="1"/>
    <col min="6150" max="6150" width="14.33203125" style="496" customWidth="1"/>
    <col min="6151" max="6151" width="16.33203125" style="496" customWidth="1"/>
    <col min="6152" max="6152" width="15" style="496" customWidth="1"/>
    <col min="6153" max="6400" width="9.109375" style="496"/>
    <col min="6401" max="6401" width="5.33203125" style="496" customWidth="1"/>
    <col min="6402" max="6402" width="0" style="496" hidden="1" customWidth="1"/>
    <col min="6403" max="6403" width="21.109375" style="496" customWidth="1"/>
    <col min="6404" max="6404" width="17" style="496" customWidth="1"/>
    <col min="6405" max="6405" width="25.109375" style="496" customWidth="1"/>
    <col min="6406" max="6406" width="14.33203125" style="496" customWidth="1"/>
    <col min="6407" max="6407" width="16.33203125" style="496" customWidth="1"/>
    <col min="6408" max="6408" width="15" style="496" customWidth="1"/>
    <col min="6409" max="6656" width="9.109375" style="496"/>
    <col min="6657" max="6657" width="5.33203125" style="496" customWidth="1"/>
    <col min="6658" max="6658" width="0" style="496" hidden="1" customWidth="1"/>
    <col min="6659" max="6659" width="21.109375" style="496" customWidth="1"/>
    <col min="6660" max="6660" width="17" style="496" customWidth="1"/>
    <col min="6661" max="6661" width="25.109375" style="496" customWidth="1"/>
    <col min="6662" max="6662" width="14.33203125" style="496" customWidth="1"/>
    <col min="6663" max="6663" width="16.33203125" style="496" customWidth="1"/>
    <col min="6664" max="6664" width="15" style="496" customWidth="1"/>
    <col min="6665" max="6912" width="9.109375" style="496"/>
    <col min="6913" max="6913" width="5.33203125" style="496" customWidth="1"/>
    <col min="6914" max="6914" width="0" style="496" hidden="1" customWidth="1"/>
    <col min="6915" max="6915" width="21.109375" style="496" customWidth="1"/>
    <col min="6916" max="6916" width="17" style="496" customWidth="1"/>
    <col min="6917" max="6917" width="25.109375" style="496" customWidth="1"/>
    <col min="6918" max="6918" width="14.33203125" style="496" customWidth="1"/>
    <col min="6919" max="6919" width="16.33203125" style="496" customWidth="1"/>
    <col min="6920" max="6920" width="15" style="496" customWidth="1"/>
    <col min="6921" max="7168" width="9.109375" style="496"/>
    <col min="7169" max="7169" width="5.33203125" style="496" customWidth="1"/>
    <col min="7170" max="7170" width="0" style="496" hidden="1" customWidth="1"/>
    <col min="7171" max="7171" width="21.109375" style="496" customWidth="1"/>
    <col min="7172" max="7172" width="17" style="496" customWidth="1"/>
    <col min="7173" max="7173" width="25.109375" style="496" customWidth="1"/>
    <col min="7174" max="7174" width="14.33203125" style="496" customWidth="1"/>
    <col min="7175" max="7175" width="16.33203125" style="496" customWidth="1"/>
    <col min="7176" max="7176" width="15" style="496" customWidth="1"/>
    <col min="7177" max="7424" width="9.109375" style="496"/>
    <col min="7425" max="7425" width="5.33203125" style="496" customWidth="1"/>
    <col min="7426" max="7426" width="0" style="496" hidden="1" customWidth="1"/>
    <col min="7427" max="7427" width="21.109375" style="496" customWidth="1"/>
    <col min="7428" max="7428" width="17" style="496" customWidth="1"/>
    <col min="7429" max="7429" width="25.109375" style="496" customWidth="1"/>
    <col min="7430" max="7430" width="14.33203125" style="496" customWidth="1"/>
    <col min="7431" max="7431" width="16.33203125" style="496" customWidth="1"/>
    <col min="7432" max="7432" width="15" style="496" customWidth="1"/>
    <col min="7433" max="7680" width="9.109375" style="496"/>
    <col min="7681" max="7681" width="5.33203125" style="496" customWidth="1"/>
    <col min="7682" max="7682" width="0" style="496" hidden="1" customWidth="1"/>
    <col min="7683" max="7683" width="21.109375" style="496" customWidth="1"/>
    <col min="7684" max="7684" width="17" style="496" customWidth="1"/>
    <col min="7685" max="7685" width="25.109375" style="496" customWidth="1"/>
    <col min="7686" max="7686" width="14.33203125" style="496" customWidth="1"/>
    <col min="7687" max="7687" width="16.33203125" style="496" customWidth="1"/>
    <col min="7688" max="7688" width="15" style="496" customWidth="1"/>
    <col min="7689" max="7936" width="9.109375" style="496"/>
    <col min="7937" max="7937" width="5.33203125" style="496" customWidth="1"/>
    <col min="7938" max="7938" width="0" style="496" hidden="1" customWidth="1"/>
    <col min="7939" max="7939" width="21.109375" style="496" customWidth="1"/>
    <col min="7940" max="7940" width="17" style="496" customWidth="1"/>
    <col min="7941" max="7941" width="25.109375" style="496" customWidth="1"/>
    <col min="7942" max="7942" width="14.33203125" style="496" customWidth="1"/>
    <col min="7943" max="7943" width="16.33203125" style="496" customWidth="1"/>
    <col min="7944" max="7944" width="15" style="496" customWidth="1"/>
    <col min="7945" max="8192" width="9.109375" style="496"/>
    <col min="8193" max="8193" width="5.33203125" style="496" customWidth="1"/>
    <col min="8194" max="8194" width="0" style="496" hidden="1" customWidth="1"/>
    <col min="8195" max="8195" width="21.109375" style="496" customWidth="1"/>
    <col min="8196" max="8196" width="17" style="496" customWidth="1"/>
    <col min="8197" max="8197" width="25.109375" style="496" customWidth="1"/>
    <col min="8198" max="8198" width="14.33203125" style="496" customWidth="1"/>
    <col min="8199" max="8199" width="16.33203125" style="496" customWidth="1"/>
    <col min="8200" max="8200" width="15" style="496" customWidth="1"/>
    <col min="8201" max="8448" width="9.109375" style="496"/>
    <col min="8449" max="8449" width="5.33203125" style="496" customWidth="1"/>
    <col min="8450" max="8450" width="0" style="496" hidden="1" customWidth="1"/>
    <col min="8451" max="8451" width="21.109375" style="496" customWidth="1"/>
    <col min="8452" max="8452" width="17" style="496" customWidth="1"/>
    <col min="8453" max="8453" width="25.109375" style="496" customWidth="1"/>
    <col min="8454" max="8454" width="14.33203125" style="496" customWidth="1"/>
    <col min="8455" max="8455" width="16.33203125" style="496" customWidth="1"/>
    <col min="8456" max="8456" width="15" style="496" customWidth="1"/>
    <col min="8457" max="8704" width="9.109375" style="496"/>
    <col min="8705" max="8705" width="5.33203125" style="496" customWidth="1"/>
    <col min="8706" max="8706" width="0" style="496" hidden="1" customWidth="1"/>
    <col min="8707" max="8707" width="21.109375" style="496" customWidth="1"/>
    <col min="8708" max="8708" width="17" style="496" customWidth="1"/>
    <col min="8709" max="8709" width="25.109375" style="496" customWidth="1"/>
    <col min="8710" max="8710" width="14.33203125" style="496" customWidth="1"/>
    <col min="8711" max="8711" width="16.33203125" style="496" customWidth="1"/>
    <col min="8712" max="8712" width="15" style="496" customWidth="1"/>
    <col min="8713" max="8960" width="9.109375" style="496"/>
    <col min="8961" max="8961" width="5.33203125" style="496" customWidth="1"/>
    <col min="8962" max="8962" width="0" style="496" hidden="1" customWidth="1"/>
    <col min="8963" max="8963" width="21.109375" style="496" customWidth="1"/>
    <col min="8964" max="8964" width="17" style="496" customWidth="1"/>
    <col min="8965" max="8965" width="25.109375" style="496" customWidth="1"/>
    <col min="8966" max="8966" width="14.33203125" style="496" customWidth="1"/>
    <col min="8967" max="8967" width="16.33203125" style="496" customWidth="1"/>
    <col min="8968" max="8968" width="15" style="496" customWidth="1"/>
    <col min="8969" max="9216" width="9.109375" style="496"/>
    <col min="9217" max="9217" width="5.33203125" style="496" customWidth="1"/>
    <col min="9218" max="9218" width="0" style="496" hidden="1" customWidth="1"/>
    <col min="9219" max="9219" width="21.109375" style="496" customWidth="1"/>
    <col min="9220" max="9220" width="17" style="496" customWidth="1"/>
    <col min="9221" max="9221" width="25.109375" style="496" customWidth="1"/>
    <col min="9222" max="9222" width="14.33203125" style="496" customWidth="1"/>
    <col min="9223" max="9223" width="16.33203125" style="496" customWidth="1"/>
    <col min="9224" max="9224" width="15" style="496" customWidth="1"/>
    <col min="9225" max="9472" width="9.109375" style="496"/>
    <col min="9473" max="9473" width="5.33203125" style="496" customWidth="1"/>
    <col min="9474" max="9474" width="0" style="496" hidden="1" customWidth="1"/>
    <col min="9475" max="9475" width="21.109375" style="496" customWidth="1"/>
    <col min="9476" max="9476" width="17" style="496" customWidth="1"/>
    <col min="9477" max="9477" width="25.109375" style="496" customWidth="1"/>
    <col min="9478" max="9478" width="14.33203125" style="496" customWidth="1"/>
    <col min="9479" max="9479" width="16.33203125" style="496" customWidth="1"/>
    <col min="9480" max="9480" width="15" style="496" customWidth="1"/>
    <col min="9481" max="9728" width="9.109375" style="496"/>
    <col min="9729" max="9729" width="5.33203125" style="496" customWidth="1"/>
    <col min="9730" max="9730" width="0" style="496" hidden="1" customWidth="1"/>
    <col min="9731" max="9731" width="21.109375" style="496" customWidth="1"/>
    <col min="9732" max="9732" width="17" style="496" customWidth="1"/>
    <col min="9733" max="9733" width="25.109375" style="496" customWidth="1"/>
    <col min="9734" max="9734" width="14.33203125" style="496" customWidth="1"/>
    <col min="9735" max="9735" width="16.33203125" style="496" customWidth="1"/>
    <col min="9736" max="9736" width="15" style="496" customWidth="1"/>
    <col min="9737" max="9984" width="9.109375" style="496"/>
    <col min="9985" max="9985" width="5.33203125" style="496" customWidth="1"/>
    <col min="9986" max="9986" width="0" style="496" hidden="1" customWidth="1"/>
    <col min="9987" max="9987" width="21.109375" style="496" customWidth="1"/>
    <col min="9988" max="9988" width="17" style="496" customWidth="1"/>
    <col min="9989" max="9989" width="25.109375" style="496" customWidth="1"/>
    <col min="9990" max="9990" width="14.33203125" style="496" customWidth="1"/>
    <col min="9991" max="9991" width="16.33203125" style="496" customWidth="1"/>
    <col min="9992" max="9992" width="15" style="496" customWidth="1"/>
    <col min="9993" max="10240" width="9.109375" style="496"/>
    <col min="10241" max="10241" width="5.33203125" style="496" customWidth="1"/>
    <col min="10242" max="10242" width="0" style="496" hidden="1" customWidth="1"/>
    <col min="10243" max="10243" width="21.109375" style="496" customWidth="1"/>
    <col min="10244" max="10244" width="17" style="496" customWidth="1"/>
    <col min="10245" max="10245" width="25.109375" style="496" customWidth="1"/>
    <col min="10246" max="10246" width="14.33203125" style="496" customWidth="1"/>
    <col min="10247" max="10247" width="16.33203125" style="496" customWidth="1"/>
    <col min="10248" max="10248" width="15" style="496" customWidth="1"/>
    <col min="10249" max="10496" width="9.109375" style="496"/>
    <col min="10497" max="10497" width="5.33203125" style="496" customWidth="1"/>
    <col min="10498" max="10498" width="0" style="496" hidden="1" customWidth="1"/>
    <col min="10499" max="10499" width="21.109375" style="496" customWidth="1"/>
    <col min="10500" max="10500" width="17" style="496" customWidth="1"/>
    <col min="10501" max="10501" width="25.109375" style="496" customWidth="1"/>
    <col min="10502" max="10502" width="14.33203125" style="496" customWidth="1"/>
    <col min="10503" max="10503" width="16.33203125" style="496" customWidth="1"/>
    <col min="10504" max="10504" width="15" style="496" customWidth="1"/>
    <col min="10505" max="10752" width="9.109375" style="496"/>
    <col min="10753" max="10753" width="5.33203125" style="496" customWidth="1"/>
    <col min="10754" max="10754" width="0" style="496" hidden="1" customWidth="1"/>
    <col min="10755" max="10755" width="21.109375" style="496" customWidth="1"/>
    <col min="10756" max="10756" width="17" style="496" customWidth="1"/>
    <col min="10757" max="10757" width="25.109375" style="496" customWidth="1"/>
    <col min="10758" max="10758" width="14.33203125" style="496" customWidth="1"/>
    <col min="10759" max="10759" width="16.33203125" style="496" customWidth="1"/>
    <col min="10760" max="10760" width="15" style="496" customWidth="1"/>
    <col min="10761" max="11008" width="9.109375" style="496"/>
    <col min="11009" max="11009" width="5.33203125" style="496" customWidth="1"/>
    <col min="11010" max="11010" width="0" style="496" hidden="1" customWidth="1"/>
    <col min="11011" max="11011" width="21.109375" style="496" customWidth="1"/>
    <col min="11012" max="11012" width="17" style="496" customWidth="1"/>
    <col min="11013" max="11013" width="25.109375" style="496" customWidth="1"/>
    <col min="11014" max="11014" width="14.33203125" style="496" customWidth="1"/>
    <col min="11015" max="11015" width="16.33203125" style="496" customWidth="1"/>
    <col min="11016" max="11016" width="15" style="496" customWidth="1"/>
    <col min="11017" max="11264" width="9.109375" style="496"/>
    <col min="11265" max="11265" width="5.33203125" style="496" customWidth="1"/>
    <col min="11266" max="11266" width="0" style="496" hidden="1" customWidth="1"/>
    <col min="11267" max="11267" width="21.109375" style="496" customWidth="1"/>
    <col min="11268" max="11268" width="17" style="496" customWidth="1"/>
    <col min="11269" max="11269" width="25.109375" style="496" customWidth="1"/>
    <col min="11270" max="11270" width="14.33203125" style="496" customWidth="1"/>
    <col min="11271" max="11271" width="16.33203125" style="496" customWidth="1"/>
    <col min="11272" max="11272" width="15" style="496" customWidth="1"/>
    <col min="11273" max="11520" width="9.109375" style="496"/>
    <col min="11521" max="11521" width="5.33203125" style="496" customWidth="1"/>
    <col min="11522" max="11522" width="0" style="496" hidden="1" customWidth="1"/>
    <col min="11523" max="11523" width="21.109375" style="496" customWidth="1"/>
    <col min="11524" max="11524" width="17" style="496" customWidth="1"/>
    <col min="11525" max="11525" width="25.109375" style="496" customWidth="1"/>
    <col min="11526" max="11526" width="14.33203125" style="496" customWidth="1"/>
    <col min="11527" max="11527" width="16.33203125" style="496" customWidth="1"/>
    <col min="11528" max="11528" width="15" style="496" customWidth="1"/>
    <col min="11529" max="11776" width="9.109375" style="496"/>
    <col min="11777" max="11777" width="5.33203125" style="496" customWidth="1"/>
    <col min="11778" max="11778" width="0" style="496" hidden="1" customWidth="1"/>
    <col min="11779" max="11779" width="21.109375" style="496" customWidth="1"/>
    <col min="11780" max="11780" width="17" style="496" customWidth="1"/>
    <col min="11781" max="11781" width="25.109375" style="496" customWidth="1"/>
    <col min="11782" max="11782" width="14.33203125" style="496" customWidth="1"/>
    <col min="11783" max="11783" width="16.33203125" style="496" customWidth="1"/>
    <col min="11784" max="11784" width="15" style="496" customWidth="1"/>
    <col min="11785" max="12032" width="9.109375" style="496"/>
    <col min="12033" max="12033" width="5.33203125" style="496" customWidth="1"/>
    <col min="12034" max="12034" width="0" style="496" hidden="1" customWidth="1"/>
    <col min="12035" max="12035" width="21.109375" style="496" customWidth="1"/>
    <col min="12036" max="12036" width="17" style="496" customWidth="1"/>
    <col min="12037" max="12037" width="25.109375" style="496" customWidth="1"/>
    <col min="12038" max="12038" width="14.33203125" style="496" customWidth="1"/>
    <col min="12039" max="12039" width="16.33203125" style="496" customWidth="1"/>
    <col min="12040" max="12040" width="15" style="496" customWidth="1"/>
    <col min="12041" max="12288" width="9.109375" style="496"/>
    <col min="12289" max="12289" width="5.33203125" style="496" customWidth="1"/>
    <col min="12290" max="12290" width="0" style="496" hidden="1" customWidth="1"/>
    <col min="12291" max="12291" width="21.109375" style="496" customWidth="1"/>
    <col min="12292" max="12292" width="17" style="496" customWidth="1"/>
    <col min="12293" max="12293" width="25.109375" style="496" customWidth="1"/>
    <col min="12294" max="12294" width="14.33203125" style="496" customWidth="1"/>
    <col min="12295" max="12295" width="16.33203125" style="496" customWidth="1"/>
    <col min="12296" max="12296" width="15" style="496" customWidth="1"/>
    <col min="12297" max="12544" width="9.109375" style="496"/>
    <col min="12545" max="12545" width="5.33203125" style="496" customWidth="1"/>
    <col min="12546" max="12546" width="0" style="496" hidden="1" customWidth="1"/>
    <col min="12547" max="12547" width="21.109375" style="496" customWidth="1"/>
    <col min="12548" max="12548" width="17" style="496" customWidth="1"/>
    <col min="12549" max="12549" width="25.109375" style="496" customWidth="1"/>
    <col min="12550" max="12550" width="14.33203125" style="496" customWidth="1"/>
    <col min="12551" max="12551" width="16.33203125" style="496" customWidth="1"/>
    <col min="12552" max="12552" width="15" style="496" customWidth="1"/>
    <col min="12553" max="12800" width="9.109375" style="496"/>
    <col min="12801" max="12801" width="5.33203125" style="496" customWidth="1"/>
    <col min="12802" max="12802" width="0" style="496" hidden="1" customWidth="1"/>
    <col min="12803" max="12803" width="21.109375" style="496" customWidth="1"/>
    <col min="12804" max="12804" width="17" style="496" customWidth="1"/>
    <col min="12805" max="12805" width="25.109375" style="496" customWidth="1"/>
    <col min="12806" max="12806" width="14.33203125" style="496" customWidth="1"/>
    <col min="12807" max="12807" width="16.33203125" style="496" customWidth="1"/>
    <col min="12808" max="12808" width="15" style="496" customWidth="1"/>
    <col min="12809" max="13056" width="9.109375" style="496"/>
    <col min="13057" max="13057" width="5.33203125" style="496" customWidth="1"/>
    <col min="13058" max="13058" width="0" style="496" hidden="1" customWidth="1"/>
    <col min="13059" max="13059" width="21.109375" style="496" customWidth="1"/>
    <col min="13060" max="13060" width="17" style="496" customWidth="1"/>
    <col min="13061" max="13061" width="25.109375" style="496" customWidth="1"/>
    <col min="13062" max="13062" width="14.33203125" style="496" customWidth="1"/>
    <col min="13063" max="13063" width="16.33203125" style="496" customWidth="1"/>
    <col min="13064" max="13064" width="15" style="496" customWidth="1"/>
    <col min="13065" max="13312" width="9.109375" style="496"/>
    <col min="13313" max="13313" width="5.33203125" style="496" customWidth="1"/>
    <col min="13314" max="13314" width="0" style="496" hidden="1" customWidth="1"/>
    <col min="13315" max="13315" width="21.109375" style="496" customWidth="1"/>
    <col min="13316" max="13316" width="17" style="496" customWidth="1"/>
    <col min="13317" max="13317" width="25.109375" style="496" customWidth="1"/>
    <col min="13318" max="13318" width="14.33203125" style="496" customWidth="1"/>
    <col min="13319" max="13319" width="16.33203125" style="496" customWidth="1"/>
    <col min="13320" max="13320" width="15" style="496" customWidth="1"/>
    <col min="13321" max="13568" width="9.109375" style="496"/>
    <col min="13569" max="13569" width="5.33203125" style="496" customWidth="1"/>
    <col min="13570" max="13570" width="0" style="496" hidden="1" customWidth="1"/>
    <col min="13571" max="13571" width="21.109375" style="496" customWidth="1"/>
    <col min="13572" max="13572" width="17" style="496" customWidth="1"/>
    <col min="13573" max="13573" width="25.109375" style="496" customWidth="1"/>
    <col min="13574" max="13574" width="14.33203125" style="496" customWidth="1"/>
    <col min="13575" max="13575" width="16.33203125" style="496" customWidth="1"/>
    <col min="13576" max="13576" width="15" style="496" customWidth="1"/>
    <col min="13577" max="13824" width="9.109375" style="496"/>
    <col min="13825" max="13825" width="5.33203125" style="496" customWidth="1"/>
    <col min="13826" max="13826" width="0" style="496" hidden="1" customWidth="1"/>
    <col min="13827" max="13827" width="21.109375" style="496" customWidth="1"/>
    <col min="13828" max="13828" width="17" style="496" customWidth="1"/>
    <col min="13829" max="13829" width="25.109375" style="496" customWidth="1"/>
    <col min="13830" max="13830" width="14.33203125" style="496" customWidth="1"/>
    <col min="13831" max="13831" width="16.33203125" style="496" customWidth="1"/>
    <col min="13832" max="13832" width="15" style="496" customWidth="1"/>
    <col min="13833" max="14080" width="9.109375" style="496"/>
    <col min="14081" max="14081" width="5.33203125" style="496" customWidth="1"/>
    <col min="14082" max="14082" width="0" style="496" hidden="1" customWidth="1"/>
    <col min="14083" max="14083" width="21.109375" style="496" customWidth="1"/>
    <col min="14084" max="14084" width="17" style="496" customWidth="1"/>
    <col min="14085" max="14085" width="25.109375" style="496" customWidth="1"/>
    <col min="14086" max="14086" width="14.33203125" style="496" customWidth="1"/>
    <col min="14087" max="14087" width="16.33203125" style="496" customWidth="1"/>
    <col min="14088" max="14088" width="15" style="496" customWidth="1"/>
    <col min="14089" max="14336" width="9.109375" style="496"/>
    <col min="14337" max="14337" width="5.33203125" style="496" customWidth="1"/>
    <col min="14338" max="14338" width="0" style="496" hidden="1" customWidth="1"/>
    <col min="14339" max="14339" width="21.109375" style="496" customWidth="1"/>
    <col min="14340" max="14340" width="17" style="496" customWidth="1"/>
    <col min="14341" max="14341" width="25.109375" style="496" customWidth="1"/>
    <col min="14342" max="14342" width="14.33203125" style="496" customWidth="1"/>
    <col min="14343" max="14343" width="16.33203125" style="496" customWidth="1"/>
    <col min="14344" max="14344" width="15" style="496" customWidth="1"/>
    <col min="14345" max="14592" width="9.109375" style="496"/>
    <col min="14593" max="14593" width="5.33203125" style="496" customWidth="1"/>
    <col min="14594" max="14594" width="0" style="496" hidden="1" customWidth="1"/>
    <col min="14595" max="14595" width="21.109375" style="496" customWidth="1"/>
    <col min="14596" max="14596" width="17" style="496" customWidth="1"/>
    <col min="14597" max="14597" width="25.109375" style="496" customWidth="1"/>
    <col min="14598" max="14598" width="14.33203125" style="496" customWidth="1"/>
    <col min="14599" max="14599" width="16.33203125" style="496" customWidth="1"/>
    <col min="14600" max="14600" width="15" style="496" customWidth="1"/>
    <col min="14601" max="14848" width="9.109375" style="496"/>
    <col min="14849" max="14849" width="5.33203125" style="496" customWidth="1"/>
    <col min="14850" max="14850" width="0" style="496" hidden="1" customWidth="1"/>
    <col min="14851" max="14851" width="21.109375" style="496" customWidth="1"/>
    <col min="14852" max="14852" width="17" style="496" customWidth="1"/>
    <col min="14853" max="14853" width="25.109375" style="496" customWidth="1"/>
    <col min="14854" max="14854" width="14.33203125" style="496" customWidth="1"/>
    <col min="14855" max="14855" width="16.33203125" style="496" customWidth="1"/>
    <col min="14856" max="14856" width="15" style="496" customWidth="1"/>
    <col min="14857" max="15104" width="9.109375" style="496"/>
    <col min="15105" max="15105" width="5.33203125" style="496" customWidth="1"/>
    <col min="15106" max="15106" width="0" style="496" hidden="1" customWidth="1"/>
    <col min="15107" max="15107" width="21.109375" style="496" customWidth="1"/>
    <col min="15108" max="15108" width="17" style="496" customWidth="1"/>
    <col min="15109" max="15109" width="25.109375" style="496" customWidth="1"/>
    <col min="15110" max="15110" width="14.33203125" style="496" customWidth="1"/>
    <col min="15111" max="15111" width="16.33203125" style="496" customWidth="1"/>
    <col min="15112" max="15112" width="15" style="496" customWidth="1"/>
    <col min="15113" max="15360" width="9.109375" style="496"/>
    <col min="15361" max="15361" width="5.33203125" style="496" customWidth="1"/>
    <col min="15362" max="15362" width="0" style="496" hidden="1" customWidth="1"/>
    <col min="15363" max="15363" width="21.109375" style="496" customWidth="1"/>
    <col min="15364" max="15364" width="17" style="496" customWidth="1"/>
    <col min="15365" max="15365" width="25.109375" style="496" customWidth="1"/>
    <col min="15366" max="15366" width="14.33203125" style="496" customWidth="1"/>
    <col min="15367" max="15367" width="16.33203125" style="496" customWidth="1"/>
    <col min="15368" max="15368" width="15" style="496" customWidth="1"/>
    <col min="15369" max="15616" width="9.109375" style="496"/>
    <col min="15617" max="15617" width="5.33203125" style="496" customWidth="1"/>
    <col min="15618" max="15618" width="0" style="496" hidden="1" customWidth="1"/>
    <col min="15619" max="15619" width="21.109375" style="496" customWidth="1"/>
    <col min="15620" max="15620" width="17" style="496" customWidth="1"/>
    <col min="15621" max="15621" width="25.109375" style="496" customWidth="1"/>
    <col min="15622" max="15622" width="14.33203125" style="496" customWidth="1"/>
    <col min="15623" max="15623" width="16.33203125" style="496" customWidth="1"/>
    <col min="15624" max="15624" width="15" style="496" customWidth="1"/>
    <col min="15625" max="15872" width="9.109375" style="496"/>
    <col min="15873" max="15873" width="5.33203125" style="496" customWidth="1"/>
    <col min="15874" max="15874" width="0" style="496" hidden="1" customWidth="1"/>
    <col min="15875" max="15875" width="21.109375" style="496" customWidth="1"/>
    <col min="15876" max="15876" width="17" style="496" customWidth="1"/>
    <col min="15877" max="15877" width="25.109375" style="496" customWidth="1"/>
    <col min="15878" max="15878" width="14.33203125" style="496" customWidth="1"/>
    <col min="15879" max="15879" width="16.33203125" style="496" customWidth="1"/>
    <col min="15880" max="15880" width="15" style="496" customWidth="1"/>
    <col min="15881" max="16128" width="9.109375" style="496"/>
    <col min="16129" max="16129" width="5.33203125" style="496" customWidth="1"/>
    <col min="16130" max="16130" width="0" style="496" hidden="1" customWidth="1"/>
    <col min="16131" max="16131" width="21.109375" style="496" customWidth="1"/>
    <col min="16132" max="16132" width="17" style="496" customWidth="1"/>
    <col min="16133" max="16133" width="25.109375" style="496" customWidth="1"/>
    <col min="16134" max="16134" width="14.33203125" style="496" customWidth="1"/>
    <col min="16135" max="16135" width="16.33203125" style="496" customWidth="1"/>
    <col min="16136" max="16136" width="15" style="496" customWidth="1"/>
    <col min="16137" max="16384" width="9.109375" style="496"/>
  </cols>
  <sheetData>
    <row r="1" spans="1:9" x14ac:dyDescent="0.3">
      <c r="A1" s="496" t="s">
        <v>485</v>
      </c>
    </row>
    <row r="3" spans="1:9" x14ac:dyDescent="0.3">
      <c r="C3" s="496" t="s">
        <v>469</v>
      </c>
      <c r="E3" s="496" t="s">
        <v>680</v>
      </c>
      <c r="F3" s="496" t="s">
        <v>486</v>
      </c>
    </row>
    <row r="4" spans="1:9" x14ac:dyDescent="0.3">
      <c r="C4" s="511" t="s">
        <v>487</v>
      </c>
      <c r="D4" s="512">
        <f>E4*F4</f>
        <v>720</v>
      </c>
      <c r="E4" s="513">
        <v>120</v>
      </c>
      <c r="F4" s="513">
        <v>6</v>
      </c>
      <c r="G4" s="513"/>
      <c r="H4" s="513"/>
      <c r="I4" s="513"/>
    </row>
    <row r="5" spans="1:9" x14ac:dyDescent="0.3">
      <c r="C5" s="511" t="s">
        <v>471</v>
      </c>
      <c r="D5" s="512">
        <f>E5*F5</f>
        <v>3400</v>
      </c>
      <c r="E5" s="513">
        <v>340</v>
      </c>
      <c r="F5" s="513">
        <v>10</v>
      </c>
      <c r="G5" s="513"/>
      <c r="H5" s="513"/>
      <c r="I5" s="513"/>
    </row>
    <row r="6" spans="1:9" x14ac:dyDescent="0.3">
      <c r="C6" s="514" t="s">
        <v>472</v>
      </c>
      <c r="D6" s="515">
        <f>E6*F6</f>
        <v>1500</v>
      </c>
      <c r="E6" s="513">
        <v>150</v>
      </c>
      <c r="F6" s="513">
        <f>F5</f>
        <v>10</v>
      </c>
      <c r="G6" s="513"/>
      <c r="H6" s="513"/>
      <c r="I6" s="513"/>
    </row>
    <row r="7" spans="1:9" ht="15.75" customHeight="1" x14ac:dyDescent="0.3">
      <c r="C7" s="511" t="s">
        <v>282</v>
      </c>
      <c r="D7" s="512">
        <f>SUM(D4:D6)</f>
        <v>5620</v>
      </c>
      <c r="E7" s="516"/>
      <c r="F7" s="513"/>
      <c r="G7" s="513"/>
      <c r="H7" s="513"/>
      <c r="I7" s="513"/>
    </row>
    <row r="8" spans="1:9" x14ac:dyDescent="0.3">
      <c r="C8" s="511" t="s">
        <v>473</v>
      </c>
      <c r="D8" s="513">
        <v>6350</v>
      </c>
      <c r="E8" s="513"/>
      <c r="F8" s="517"/>
      <c r="G8" s="513"/>
      <c r="H8" s="513"/>
      <c r="I8" s="513"/>
    </row>
    <row r="9" spans="1:9" x14ac:dyDescent="0.3">
      <c r="C9" s="518" t="s">
        <v>131</v>
      </c>
      <c r="D9" s="519">
        <f>D8-D7</f>
        <v>730</v>
      </c>
      <c r="E9" s="513"/>
      <c r="F9" s="513"/>
      <c r="G9" s="513"/>
      <c r="H9" s="513"/>
      <c r="I9" s="513"/>
    </row>
    <row r="10" spans="1:9" x14ac:dyDescent="0.3">
      <c r="C10" s="520"/>
      <c r="D10" s="516"/>
      <c r="E10" s="513"/>
      <c r="F10" s="513"/>
      <c r="G10" s="513"/>
      <c r="H10" s="513"/>
      <c r="I10" s="513"/>
    </row>
    <row r="11" spans="1:9" x14ac:dyDescent="0.3">
      <c r="C11" s="520" t="s">
        <v>488</v>
      </c>
      <c r="D11" s="516"/>
      <c r="E11" s="513"/>
      <c r="F11" s="513"/>
      <c r="G11" s="513"/>
      <c r="H11" s="513"/>
      <c r="I11" s="513"/>
    </row>
    <row r="12" spans="1:9" x14ac:dyDescent="0.3">
      <c r="D12" s="513"/>
      <c r="E12" s="513"/>
      <c r="F12" s="513"/>
      <c r="G12" s="513"/>
      <c r="H12" s="513"/>
      <c r="I12" s="513"/>
    </row>
    <row r="13" spans="1:9" ht="31.2" x14ac:dyDescent="0.3">
      <c r="C13" s="511" t="s">
        <v>474</v>
      </c>
      <c r="D13" s="512">
        <v>4000000</v>
      </c>
      <c r="E13" s="513"/>
      <c r="F13" s="513"/>
      <c r="G13" s="513"/>
      <c r="H13" s="513"/>
      <c r="I13" s="513"/>
    </row>
    <row r="14" spans="1:9" ht="31.2" x14ac:dyDescent="0.3">
      <c r="C14" s="511" t="s">
        <v>475</v>
      </c>
      <c r="D14" s="512">
        <v>6000</v>
      </c>
      <c r="E14" s="513"/>
      <c r="F14" s="513"/>
      <c r="G14" s="513"/>
      <c r="H14" s="513"/>
      <c r="I14" s="513"/>
    </row>
    <row r="15" spans="1:9" x14ac:dyDescent="0.3">
      <c r="C15" s="521" t="s">
        <v>489</v>
      </c>
      <c r="D15" s="512">
        <v>7000</v>
      </c>
      <c r="E15" s="513"/>
      <c r="F15" s="513"/>
      <c r="G15" s="513"/>
      <c r="H15" s="513"/>
      <c r="I15" s="513"/>
    </row>
    <row r="16" spans="1:9" x14ac:dyDescent="0.3">
      <c r="D16" s="513"/>
      <c r="E16" s="513"/>
      <c r="F16" s="513"/>
      <c r="G16" s="513"/>
      <c r="H16" s="513"/>
      <c r="I16" s="513"/>
    </row>
    <row r="17" spans="3:9" ht="31.2" x14ac:dyDescent="0.3">
      <c r="C17" s="522"/>
      <c r="D17" s="523" t="s">
        <v>199</v>
      </c>
      <c r="E17" s="523" t="s">
        <v>477</v>
      </c>
      <c r="F17" s="523" t="s">
        <v>376</v>
      </c>
      <c r="G17" s="523" t="s">
        <v>478</v>
      </c>
      <c r="H17" s="523" t="s">
        <v>479</v>
      </c>
      <c r="I17" s="513"/>
    </row>
    <row r="18" spans="3:9" x14ac:dyDescent="0.3">
      <c r="C18" s="524" t="s">
        <v>480</v>
      </c>
      <c r="D18" s="525">
        <f>D15</f>
        <v>7000</v>
      </c>
      <c r="E18" s="526"/>
      <c r="F18" s="525">
        <f>D15</f>
        <v>7000</v>
      </c>
      <c r="G18" s="526"/>
      <c r="H18" s="525">
        <f>D14</f>
        <v>6000</v>
      </c>
      <c r="I18" s="513"/>
    </row>
    <row r="19" spans="3:9" x14ac:dyDescent="0.3">
      <c r="C19" s="527"/>
      <c r="D19" s="528"/>
      <c r="E19" s="529"/>
      <c r="F19" s="528"/>
      <c r="G19" s="529"/>
      <c r="H19" s="528"/>
      <c r="I19" s="513"/>
    </row>
    <row r="20" spans="3:9" x14ac:dyDescent="0.3">
      <c r="C20" s="527" t="s">
        <v>96</v>
      </c>
      <c r="D20" s="528">
        <v>43500000</v>
      </c>
      <c r="E20" s="529">
        <f>D20-F20</f>
        <v>-950000</v>
      </c>
      <c r="F20" s="528">
        <f>D15*D8</f>
        <v>44450000</v>
      </c>
      <c r="G20" s="529">
        <f>F20-H20</f>
        <v>6350000</v>
      </c>
      <c r="H20" s="528">
        <f>D8*D14</f>
        <v>38100000</v>
      </c>
      <c r="I20" s="513"/>
    </row>
    <row r="21" spans="3:9" x14ac:dyDescent="0.3">
      <c r="C21" s="530"/>
      <c r="D21" s="531"/>
      <c r="E21" s="513"/>
      <c r="F21" s="531"/>
      <c r="G21" s="513"/>
      <c r="H21" s="531"/>
      <c r="I21" s="513"/>
    </row>
    <row r="22" spans="3:9" x14ac:dyDescent="0.3">
      <c r="C22" s="530" t="s">
        <v>470</v>
      </c>
      <c r="D22" s="531">
        <v>5350000</v>
      </c>
      <c r="E22" s="513">
        <f t="shared" ref="E22:E27" si="0">F22-D22</f>
        <v>-310000</v>
      </c>
      <c r="F22" s="531">
        <f>D15*D4</f>
        <v>5040000</v>
      </c>
      <c r="G22" s="513">
        <f t="shared" ref="G22:G27" si="1">H22-F22</f>
        <v>-720000</v>
      </c>
      <c r="H22" s="531">
        <f>D4*D14</f>
        <v>4320000</v>
      </c>
      <c r="I22" s="513"/>
    </row>
    <row r="23" spans="3:9" x14ac:dyDescent="0.3">
      <c r="C23" s="530" t="s">
        <v>471</v>
      </c>
      <c r="D23" s="531">
        <v>23650000</v>
      </c>
      <c r="E23" s="513">
        <f t="shared" si="0"/>
        <v>150000</v>
      </c>
      <c r="F23" s="531">
        <f>D15*D5</f>
        <v>23800000</v>
      </c>
      <c r="G23" s="513">
        <f t="shared" si="1"/>
        <v>-3400000</v>
      </c>
      <c r="H23" s="531">
        <f>D5*D14</f>
        <v>20400000</v>
      </c>
      <c r="I23" s="513"/>
    </row>
    <row r="24" spans="3:9" x14ac:dyDescent="0.3">
      <c r="C24" s="532" t="s">
        <v>681</v>
      </c>
      <c r="D24" s="533">
        <v>10250000</v>
      </c>
      <c r="E24" s="534">
        <f t="shared" si="0"/>
        <v>250000</v>
      </c>
      <c r="F24" s="533">
        <f>D6*D15</f>
        <v>10500000</v>
      </c>
      <c r="G24" s="534">
        <f t="shared" si="1"/>
        <v>-1500000</v>
      </c>
      <c r="H24" s="533">
        <f>D14*D6</f>
        <v>9000000</v>
      </c>
      <c r="I24" s="513"/>
    </row>
    <row r="25" spans="3:9" x14ac:dyDescent="0.3">
      <c r="C25" s="532" t="s">
        <v>481</v>
      </c>
      <c r="D25" s="533">
        <f>SUM(D22:D24)</f>
        <v>39250000</v>
      </c>
      <c r="E25" s="534">
        <f t="shared" si="0"/>
        <v>90000</v>
      </c>
      <c r="F25" s="533">
        <f>SUM(F22:F24)</f>
        <v>39340000</v>
      </c>
      <c r="G25" s="534">
        <f t="shared" si="1"/>
        <v>-5620000</v>
      </c>
      <c r="H25" s="533">
        <f>SUM(H22:H24)</f>
        <v>33720000</v>
      </c>
      <c r="I25" s="513"/>
    </row>
    <row r="26" spans="3:9" x14ac:dyDescent="0.3">
      <c r="C26" s="530" t="s">
        <v>131</v>
      </c>
      <c r="D26" s="531">
        <f>D20-D25</f>
        <v>4250000</v>
      </c>
      <c r="E26" s="540">
        <f>D26-F26</f>
        <v>-860000</v>
      </c>
      <c r="F26" s="541">
        <f>F20-F25</f>
        <v>5110000</v>
      </c>
      <c r="G26" s="540">
        <f>F26-H26</f>
        <v>730000</v>
      </c>
      <c r="H26" s="531">
        <f>H20-H25</f>
        <v>4380000</v>
      </c>
      <c r="I26" s="513"/>
    </row>
    <row r="27" spans="3:9" x14ac:dyDescent="0.3">
      <c r="C27" s="532" t="s">
        <v>132</v>
      </c>
      <c r="D27" s="533">
        <v>4100000</v>
      </c>
      <c r="E27" s="534">
        <f t="shared" si="0"/>
        <v>-100000</v>
      </c>
      <c r="F27" s="533">
        <f>D13</f>
        <v>4000000</v>
      </c>
      <c r="G27" s="534">
        <f t="shared" si="1"/>
        <v>0</v>
      </c>
      <c r="H27" s="533">
        <f>D13</f>
        <v>4000000</v>
      </c>
      <c r="I27" s="513"/>
    </row>
    <row r="28" spans="3:9" x14ac:dyDescent="0.3">
      <c r="C28" s="535" t="s">
        <v>133</v>
      </c>
      <c r="D28" s="533">
        <f>D26-D27</f>
        <v>150000</v>
      </c>
      <c r="E28" s="533">
        <f>D28-F28</f>
        <v>-960000</v>
      </c>
      <c r="F28" s="533">
        <f>F26-F27</f>
        <v>1110000</v>
      </c>
      <c r="G28" s="533">
        <f>F28-H28</f>
        <v>730000</v>
      </c>
      <c r="H28" s="533">
        <f>H26-H27</f>
        <v>380000</v>
      </c>
      <c r="I28" s="513"/>
    </row>
  </sheetData>
  <pageMargins left="0.7" right="0.7" top="0.75" bottom="0.75" header="0.3" footer="0.3"/>
  <pageSetup paperSize="9" orientation="portrait" r:id="rId1"/>
  <headerFooter>
    <oddHeader>&amp;C&amp;A&amp;R&amp;P</oddHeader>
    <oddFooter>&amp;CLøsninger kapittel 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pageSetUpPr fitToPage="1"/>
  </sheetPr>
  <dimension ref="A1:K113"/>
  <sheetViews>
    <sheetView topLeftCell="A22" workbookViewId="0">
      <selection activeCell="I42" sqref="I42"/>
    </sheetView>
  </sheetViews>
  <sheetFormatPr baseColWidth="10" defaultColWidth="11.33203125" defaultRowHeight="15.6" x14ac:dyDescent="0.3"/>
  <cols>
    <col min="1" max="1" width="3.109375" style="287" customWidth="1"/>
    <col min="2" max="2" width="25.33203125" style="287" customWidth="1"/>
    <col min="3" max="3" width="15.33203125" style="287" customWidth="1"/>
    <col min="4" max="4" width="16.109375" style="287" customWidth="1"/>
    <col min="5" max="5" width="11.88671875" style="287" customWidth="1"/>
    <col min="6" max="6" width="13.109375" style="287" customWidth="1"/>
    <col min="7" max="7" width="10.33203125" style="287" customWidth="1"/>
    <col min="8" max="8" width="11.109375" style="287" customWidth="1"/>
    <col min="9" max="11" width="9.109375" style="287" customWidth="1"/>
    <col min="12" max="12" width="24.109375" style="287" customWidth="1"/>
    <col min="13" max="13" width="35.109375" style="287" customWidth="1"/>
    <col min="14" max="14" width="30.88671875" style="287" customWidth="1"/>
    <col min="15" max="15" width="26.88671875" style="287" customWidth="1"/>
    <col min="16" max="16" width="33.109375" style="287" customWidth="1"/>
    <col min="17" max="16384" width="11.33203125" style="287"/>
  </cols>
  <sheetData>
    <row r="1" spans="1:8" x14ac:dyDescent="0.3">
      <c r="A1" s="298" t="s">
        <v>29</v>
      </c>
      <c r="B1" s="332" t="s">
        <v>214</v>
      </c>
      <c r="C1" s="331"/>
      <c r="D1" s="331"/>
      <c r="E1" s="331"/>
      <c r="F1" s="331"/>
    </row>
    <row r="2" spans="1:8" x14ac:dyDescent="0.3">
      <c r="B2" s="542" t="s">
        <v>69</v>
      </c>
      <c r="C2" s="542" t="s">
        <v>719</v>
      </c>
      <c r="D2" s="543" t="s">
        <v>83</v>
      </c>
      <c r="E2" s="543" t="s">
        <v>79</v>
      </c>
      <c r="F2" s="542" t="s">
        <v>391</v>
      </c>
    </row>
    <row r="3" spans="1:8" x14ac:dyDescent="0.3">
      <c r="B3" s="544" t="s">
        <v>586</v>
      </c>
      <c r="C3" s="544" t="s">
        <v>591</v>
      </c>
      <c r="D3" s="544" t="s">
        <v>588</v>
      </c>
      <c r="E3" s="544" t="s">
        <v>589</v>
      </c>
      <c r="F3" s="544" t="s">
        <v>606</v>
      </c>
    </row>
    <row r="4" spans="1:8" ht="15.75" customHeight="1" x14ac:dyDescent="0.3">
      <c r="B4" s="330" t="s">
        <v>215</v>
      </c>
      <c r="C4" s="330" t="s">
        <v>216</v>
      </c>
      <c r="D4" s="330" t="s">
        <v>217</v>
      </c>
      <c r="E4" s="330"/>
      <c r="F4" s="330"/>
    </row>
    <row r="5" spans="1:8" x14ac:dyDescent="0.3">
      <c r="B5" s="222">
        <f>150*E11</f>
        <v>142500</v>
      </c>
      <c r="C5" s="222">
        <f>150*957</f>
        <v>143550</v>
      </c>
      <c r="D5" s="222">
        <v>146500</v>
      </c>
      <c r="E5" s="222">
        <f>B5-C5</f>
        <v>-1050</v>
      </c>
      <c r="F5" s="222">
        <f>C5-D5</f>
        <v>-2950</v>
      </c>
    </row>
    <row r="6" spans="1:8" x14ac:dyDescent="0.3">
      <c r="B6" s="220"/>
      <c r="C6" s="220"/>
      <c r="D6" s="220"/>
      <c r="E6" s="220"/>
      <c r="F6" s="220"/>
    </row>
    <row r="7" spans="1:8" x14ac:dyDescent="0.3">
      <c r="B7" s="304" t="s">
        <v>689</v>
      </c>
      <c r="C7" s="304"/>
      <c r="D7" s="304"/>
      <c r="E7" s="329"/>
      <c r="F7" s="288"/>
      <c r="G7" s="288"/>
      <c r="H7" s="288"/>
    </row>
    <row r="8" spans="1:8" x14ac:dyDescent="0.3">
      <c r="B8" s="288" t="s">
        <v>31</v>
      </c>
      <c r="C8" s="288" t="s">
        <v>462</v>
      </c>
      <c r="D8" s="288"/>
      <c r="E8" s="288">
        <f>120*4</f>
        <v>480</v>
      </c>
      <c r="F8" s="288"/>
      <c r="G8" s="288"/>
    </row>
    <row r="9" spans="1:8" x14ac:dyDescent="0.3">
      <c r="B9" s="288"/>
      <c r="C9" s="288" t="s">
        <v>461</v>
      </c>
      <c r="D9" s="288"/>
      <c r="E9" s="288">
        <f>40*3</f>
        <v>120</v>
      </c>
      <c r="F9" s="288"/>
      <c r="G9" s="288"/>
    </row>
    <row r="10" spans="1:8" x14ac:dyDescent="0.3">
      <c r="B10" s="288" t="s">
        <v>690</v>
      </c>
      <c r="C10" s="288" t="s">
        <v>460</v>
      </c>
      <c r="D10" s="288"/>
      <c r="E10" s="288">
        <f>50*7</f>
        <v>350</v>
      </c>
      <c r="F10" s="288"/>
      <c r="G10" s="288"/>
    </row>
    <row r="11" spans="1:8" x14ac:dyDescent="0.3">
      <c r="B11" s="537" t="s">
        <v>512</v>
      </c>
      <c r="C11" s="296"/>
      <c r="D11" s="296"/>
      <c r="E11" s="296">
        <f>SUM(E8:E10)</f>
        <v>950</v>
      </c>
      <c r="F11" s="288"/>
      <c r="G11" s="288"/>
    </row>
    <row r="12" spans="1:8" x14ac:dyDescent="0.3">
      <c r="C12" s="288"/>
      <c r="D12" s="288"/>
      <c r="E12" s="288"/>
      <c r="F12" s="288"/>
      <c r="G12" s="288"/>
      <c r="H12" s="288"/>
    </row>
    <row r="13" spans="1:8" x14ac:dyDescent="0.3">
      <c r="C13" s="288"/>
      <c r="D13" s="288"/>
      <c r="E13" s="288"/>
      <c r="F13" s="288"/>
      <c r="G13" s="288"/>
      <c r="H13" s="288"/>
    </row>
    <row r="14" spans="1:8" x14ac:dyDescent="0.3">
      <c r="B14" s="288" t="s">
        <v>687</v>
      </c>
      <c r="C14" s="288"/>
      <c r="D14" s="288"/>
      <c r="E14" s="288"/>
      <c r="G14" s="288"/>
      <c r="H14" s="288"/>
    </row>
    <row r="15" spans="1:8" x14ac:dyDescent="0.3">
      <c r="B15" s="288" t="s">
        <v>88</v>
      </c>
      <c r="C15" s="288"/>
      <c r="D15" s="288"/>
      <c r="E15" s="288">
        <v>1200</v>
      </c>
      <c r="H15" s="288"/>
    </row>
    <row r="16" spans="1:8" x14ac:dyDescent="0.3">
      <c r="B16" s="288" t="s">
        <v>459</v>
      </c>
      <c r="C16" s="288"/>
      <c r="D16" s="288"/>
      <c r="E16" s="288">
        <v>450</v>
      </c>
      <c r="H16" s="288"/>
    </row>
    <row r="17" spans="1:11" x14ac:dyDescent="0.3">
      <c r="B17" s="288" t="s">
        <v>458</v>
      </c>
      <c r="C17" s="288"/>
      <c r="D17" s="288" t="s">
        <v>457</v>
      </c>
      <c r="E17" s="288">
        <v>210</v>
      </c>
      <c r="H17" s="288"/>
    </row>
    <row r="18" spans="1:11" x14ac:dyDescent="0.3">
      <c r="B18" s="537" t="s">
        <v>688</v>
      </c>
      <c r="C18" s="296"/>
      <c r="D18" s="296"/>
      <c r="E18" s="296">
        <f>SUM(E15:E17)</f>
        <v>1860</v>
      </c>
      <c r="F18" s="288"/>
      <c r="H18" s="288"/>
    </row>
    <row r="20" spans="1:11" x14ac:dyDescent="0.3">
      <c r="A20" s="295" t="s">
        <v>30</v>
      </c>
    </row>
    <row r="21" spans="1:11" x14ac:dyDescent="0.3">
      <c r="B21" s="328"/>
      <c r="C21" s="975" t="s">
        <v>456</v>
      </c>
      <c r="D21" s="976"/>
      <c r="E21" s="977"/>
      <c r="F21" s="978" t="s">
        <v>455</v>
      </c>
      <c r="G21" s="979"/>
      <c r="H21" s="979"/>
      <c r="I21" s="321" t="s">
        <v>173</v>
      </c>
      <c r="J21" s="327" t="s">
        <v>199</v>
      </c>
      <c r="K21" s="321" t="s">
        <v>263</v>
      </c>
    </row>
    <row r="22" spans="1:11" x14ac:dyDescent="0.3">
      <c r="B22" s="311"/>
      <c r="C22" s="326" t="s">
        <v>175</v>
      </c>
      <c r="D22" s="326" t="s">
        <v>176</v>
      </c>
      <c r="E22" s="326" t="s">
        <v>145</v>
      </c>
      <c r="F22" s="326" t="s">
        <v>175</v>
      </c>
      <c r="G22" s="326" t="s">
        <v>176</v>
      </c>
      <c r="H22" s="325" t="s">
        <v>145</v>
      </c>
      <c r="I22" s="316" t="s">
        <v>193</v>
      </c>
      <c r="J22" s="324" t="s">
        <v>193</v>
      </c>
      <c r="K22" s="316" t="s">
        <v>84</v>
      </c>
    </row>
    <row r="23" spans="1:11" x14ac:dyDescent="0.3">
      <c r="B23" s="323" t="s">
        <v>96</v>
      </c>
      <c r="C23" s="321">
        <v>60</v>
      </c>
      <c r="D23" s="321">
        <f>E23/C23</f>
        <v>2980</v>
      </c>
      <c r="E23" s="322">
        <v>178800</v>
      </c>
      <c r="F23" s="321">
        <v>35</v>
      </c>
      <c r="G23" s="321">
        <f>H23/F23</f>
        <v>5200</v>
      </c>
      <c r="H23" s="322">
        <v>182000</v>
      </c>
      <c r="I23" s="322">
        <f>E23+H23</f>
        <v>360800</v>
      </c>
      <c r="J23" s="322">
        <f>I23</f>
        <v>360800</v>
      </c>
      <c r="K23" s="321"/>
    </row>
    <row r="24" spans="1:11" x14ac:dyDescent="0.3">
      <c r="B24" s="314"/>
      <c r="C24" s="317"/>
      <c r="D24" s="317"/>
      <c r="E24" s="317"/>
      <c r="F24" s="317"/>
      <c r="G24" s="317"/>
      <c r="H24" s="317"/>
      <c r="I24" s="316"/>
      <c r="J24" s="316"/>
      <c r="K24" s="316"/>
    </row>
    <row r="25" spans="1:11" ht="15.75" customHeight="1" x14ac:dyDescent="0.3">
      <c r="B25" s="314" t="s">
        <v>88</v>
      </c>
      <c r="C25" s="309"/>
      <c r="D25" s="309"/>
      <c r="E25" s="309">
        <v>192000</v>
      </c>
      <c r="F25" s="309"/>
      <c r="G25" s="309"/>
      <c r="H25" s="309">
        <v>100000</v>
      </c>
      <c r="I25" s="309">
        <v>292000</v>
      </c>
      <c r="J25" s="309">
        <v>290000</v>
      </c>
      <c r="K25" s="309">
        <f>I25-J25</f>
        <v>2000</v>
      </c>
    </row>
    <row r="26" spans="1:11" x14ac:dyDescent="0.3">
      <c r="B26" s="314" t="s">
        <v>90</v>
      </c>
      <c r="C26" s="316">
        <f>E8+E9</f>
        <v>600</v>
      </c>
      <c r="D26" s="316">
        <v>150</v>
      </c>
      <c r="E26" s="309">
        <f>C26*D26</f>
        <v>90000</v>
      </c>
      <c r="F26" s="316">
        <f>E10</f>
        <v>350</v>
      </c>
      <c r="G26" s="316">
        <v>150</v>
      </c>
      <c r="H26" s="309">
        <f>F26*G26</f>
        <v>52500</v>
      </c>
      <c r="I26" s="309">
        <f>E26+H26</f>
        <v>142500</v>
      </c>
      <c r="J26" s="309">
        <v>146500</v>
      </c>
      <c r="K26" s="309">
        <f>I26-J26</f>
        <v>-4000</v>
      </c>
    </row>
    <row r="27" spans="1:11" x14ac:dyDescent="0.3">
      <c r="B27" s="314"/>
      <c r="C27" s="309"/>
      <c r="D27" s="309"/>
      <c r="E27" s="309"/>
      <c r="F27" s="309"/>
      <c r="G27" s="309"/>
      <c r="H27" s="309"/>
      <c r="I27" s="309"/>
      <c r="J27" s="309"/>
      <c r="K27" s="303">
        <f>SUM(K25:K26)</f>
        <v>-2000</v>
      </c>
    </row>
    <row r="28" spans="1:11" x14ac:dyDescent="0.3">
      <c r="B28" s="320" t="s">
        <v>403</v>
      </c>
      <c r="C28" s="320"/>
      <c r="D28" s="320"/>
      <c r="E28" s="320"/>
      <c r="F28" s="309"/>
      <c r="G28" s="309"/>
      <c r="H28" s="309"/>
      <c r="I28" s="314"/>
      <c r="J28" s="309"/>
      <c r="K28" s="319" t="s">
        <v>265</v>
      </c>
    </row>
    <row r="29" spans="1:11" x14ac:dyDescent="0.3">
      <c r="B29" s="318" t="s">
        <v>267</v>
      </c>
      <c r="C29" s="317">
        <v>600</v>
      </c>
      <c r="D29" s="317">
        <v>70</v>
      </c>
      <c r="E29" s="309">
        <f>C29*D29</f>
        <v>42000</v>
      </c>
      <c r="F29" s="316">
        <v>350</v>
      </c>
      <c r="G29" s="316">
        <v>70</v>
      </c>
      <c r="H29" s="309">
        <f>F29*G29</f>
        <v>24500</v>
      </c>
      <c r="I29" s="309">
        <f>E29+H29</f>
        <v>66500</v>
      </c>
      <c r="J29" s="309">
        <v>47500</v>
      </c>
      <c r="K29" s="308">
        <f>I29-J29</f>
        <v>19000</v>
      </c>
    </row>
    <row r="30" spans="1:11" x14ac:dyDescent="0.3">
      <c r="B30" s="315"/>
      <c r="C30" s="315"/>
      <c r="D30" s="315"/>
      <c r="E30" s="315"/>
      <c r="F30" s="303"/>
      <c r="G30" s="303"/>
      <c r="H30" s="303"/>
      <c r="I30" s="303"/>
      <c r="J30" s="309"/>
      <c r="K30" s="308"/>
    </row>
    <row r="31" spans="1:11" x14ac:dyDescent="0.3">
      <c r="B31" s="311" t="s">
        <v>394</v>
      </c>
      <c r="C31" s="314"/>
      <c r="E31" s="309">
        <f>SUM(E25:E29)</f>
        <v>324000</v>
      </c>
      <c r="F31" s="288"/>
      <c r="G31" s="309"/>
      <c r="H31" s="288">
        <f>SUM(H25:H29)</f>
        <v>177000</v>
      </c>
      <c r="I31" s="310">
        <f>SUM(I25:I29)</f>
        <v>501000</v>
      </c>
      <c r="J31" s="309"/>
      <c r="K31" s="308"/>
    </row>
    <row r="32" spans="1:11" x14ac:dyDescent="0.3">
      <c r="B32" s="305" t="s">
        <v>323</v>
      </c>
      <c r="C32" s="312">
        <v>40</v>
      </c>
      <c r="D32" s="313">
        <v>1860</v>
      </c>
      <c r="E32" s="303">
        <f>-C32*D32</f>
        <v>-74400</v>
      </c>
      <c r="F32" s="304"/>
      <c r="G32" s="303"/>
      <c r="H32" s="304"/>
      <c r="I32" s="307">
        <f>E32</f>
        <v>-74400</v>
      </c>
      <c r="J32" s="309">
        <f>I32</f>
        <v>-74400</v>
      </c>
      <c r="K32" s="308"/>
    </row>
    <row r="33" spans="1:11" x14ac:dyDescent="0.3">
      <c r="B33" s="311" t="s">
        <v>395</v>
      </c>
      <c r="C33" s="314"/>
      <c r="E33" s="309">
        <f>SUM(E31:E32)</f>
        <v>249600</v>
      </c>
      <c r="F33" s="288"/>
      <c r="G33" s="309"/>
      <c r="H33" s="288">
        <f>SUM(H31)</f>
        <v>177000</v>
      </c>
      <c r="I33" s="310">
        <f>SUM(I31:I32)</f>
        <v>426600</v>
      </c>
      <c r="J33" s="309"/>
      <c r="K33" s="308"/>
    </row>
    <row r="34" spans="1:11" x14ac:dyDescent="0.3">
      <c r="B34" s="305" t="s">
        <v>155</v>
      </c>
      <c r="C34" s="312">
        <v>60</v>
      </c>
      <c r="D34" s="313">
        <v>2080</v>
      </c>
      <c r="E34" s="303">
        <f>-C34*D34</f>
        <v>-124800</v>
      </c>
      <c r="F34" s="313">
        <v>15</v>
      </c>
      <c r="G34" s="312">
        <v>3540</v>
      </c>
      <c r="H34" s="304">
        <f>-F34*G34</f>
        <v>-53100</v>
      </c>
      <c r="I34" s="307">
        <f>E34+H34</f>
        <v>-177900</v>
      </c>
      <c r="J34" s="309">
        <f>I34</f>
        <v>-177900</v>
      </c>
      <c r="K34" s="308"/>
    </row>
    <row r="35" spans="1:11" x14ac:dyDescent="0.3">
      <c r="B35" s="311" t="s">
        <v>383</v>
      </c>
      <c r="C35" s="309"/>
      <c r="D35" s="288"/>
      <c r="E35" s="309">
        <f>SUM(E33:E34)</f>
        <v>124800</v>
      </c>
      <c r="F35" s="288"/>
      <c r="G35" s="309"/>
      <c r="H35" s="288">
        <f>SUM(H33:H34)</f>
        <v>123900</v>
      </c>
      <c r="I35" s="310">
        <f>SUM(I33:I34)</f>
        <v>248700</v>
      </c>
      <c r="J35" s="309"/>
      <c r="K35" s="308"/>
    </row>
    <row r="36" spans="1:11" x14ac:dyDescent="0.3">
      <c r="B36" s="305" t="s">
        <v>72</v>
      </c>
      <c r="C36" s="312">
        <v>60</v>
      </c>
      <c r="D36" s="313">
        <v>250</v>
      </c>
      <c r="E36" s="303">
        <f>C36*D36</f>
        <v>15000</v>
      </c>
      <c r="F36" s="313">
        <v>35</v>
      </c>
      <c r="G36" s="312">
        <v>500</v>
      </c>
      <c r="H36" s="304">
        <f>F36*G36</f>
        <v>17500</v>
      </c>
      <c r="I36" s="307">
        <f>E36+H36</f>
        <v>32500</v>
      </c>
      <c r="J36" s="309">
        <v>46000</v>
      </c>
      <c r="K36" s="308">
        <f>I36-J36</f>
        <v>-13500</v>
      </c>
    </row>
    <row r="37" spans="1:11" x14ac:dyDescent="0.3">
      <c r="B37" s="311" t="s">
        <v>384</v>
      </c>
      <c r="C37" s="309"/>
      <c r="D37" s="288"/>
      <c r="E37" s="309">
        <f>SUM(E35:E36)</f>
        <v>139800</v>
      </c>
      <c r="F37" s="288"/>
      <c r="G37" s="309"/>
      <c r="H37" s="288">
        <f>SUM(H35:H36)</f>
        <v>141400</v>
      </c>
      <c r="I37" s="310">
        <f>SUM(I35:I36)</f>
        <v>281200</v>
      </c>
      <c r="J37" s="309"/>
      <c r="K37" s="308"/>
    </row>
    <row r="38" spans="1:11" x14ac:dyDescent="0.3">
      <c r="B38" s="305"/>
      <c r="C38" s="312"/>
      <c r="D38" s="313"/>
      <c r="E38" s="303"/>
      <c r="F38" s="313"/>
      <c r="G38" s="312"/>
      <c r="H38" s="304"/>
      <c r="I38" s="307"/>
      <c r="J38" s="309"/>
      <c r="K38" s="308"/>
    </row>
    <row r="39" spans="1:11" x14ac:dyDescent="0.3">
      <c r="B39" s="311" t="s">
        <v>385</v>
      </c>
      <c r="C39" s="309"/>
      <c r="D39" s="288"/>
      <c r="E39" s="309">
        <f>E23-E37</f>
        <v>39000</v>
      </c>
      <c r="F39" s="288"/>
      <c r="G39" s="309"/>
      <c r="H39" s="309">
        <f>H23-H37</f>
        <v>40600</v>
      </c>
      <c r="I39" s="310">
        <f>I23-I37</f>
        <v>79600</v>
      </c>
      <c r="J39" s="309"/>
      <c r="K39" s="308"/>
    </row>
    <row r="40" spans="1:11" x14ac:dyDescent="0.3">
      <c r="B40" s="311" t="s">
        <v>179</v>
      </c>
      <c r="C40" s="309"/>
      <c r="D40" s="288"/>
      <c r="E40" s="309"/>
      <c r="F40" s="288"/>
      <c r="G40" s="309"/>
      <c r="H40" s="288"/>
      <c r="I40" s="310">
        <f>K27</f>
        <v>-2000</v>
      </c>
      <c r="J40" s="309"/>
      <c r="K40" s="308"/>
    </row>
    <row r="41" spans="1:11" x14ac:dyDescent="0.3">
      <c r="B41" s="305" t="s">
        <v>160</v>
      </c>
      <c r="C41" s="303"/>
      <c r="D41" s="304"/>
      <c r="E41" s="303"/>
      <c r="F41" s="304"/>
      <c r="G41" s="303"/>
      <c r="H41" s="304"/>
      <c r="I41" s="307">
        <f>K41</f>
        <v>5500</v>
      </c>
      <c r="J41" s="303"/>
      <c r="K41" s="306">
        <f>SUM(K29:K36)</f>
        <v>5500</v>
      </c>
    </row>
    <row r="42" spans="1:11" x14ac:dyDescent="0.3">
      <c r="B42" s="305" t="s">
        <v>187</v>
      </c>
      <c r="C42" s="303"/>
      <c r="D42" s="304"/>
      <c r="E42" s="303"/>
      <c r="F42" s="304"/>
      <c r="G42" s="303"/>
      <c r="H42" s="304"/>
      <c r="I42" s="303">
        <f>SUM(I39:I41)</f>
        <v>83100</v>
      </c>
      <c r="J42" s="304">
        <f>J23-J25-J26-J29-J32-J34-J36</f>
        <v>83100</v>
      </c>
      <c r="K42" s="303"/>
    </row>
    <row r="44" spans="1:11" x14ac:dyDescent="0.3">
      <c r="A44" s="295" t="s">
        <v>32</v>
      </c>
      <c r="B44" s="288"/>
      <c r="C44" s="288"/>
      <c r="D44" s="288"/>
      <c r="E44" s="288"/>
      <c r="F44" s="288"/>
      <c r="G44" s="288"/>
      <c r="H44" s="288"/>
      <c r="I44" s="288"/>
    </row>
    <row r="45" spans="1:11" ht="27.6" x14ac:dyDescent="0.3">
      <c r="C45" s="545" t="s">
        <v>271</v>
      </c>
      <c r="D45" s="545" t="s">
        <v>683</v>
      </c>
      <c r="E45" s="545" t="s">
        <v>270</v>
      </c>
      <c r="F45" s="546" t="s">
        <v>249</v>
      </c>
      <c r="G45" s="546" t="s">
        <v>33</v>
      </c>
    </row>
    <row r="46" spans="1:11" ht="19.8" x14ac:dyDescent="0.3">
      <c r="B46" s="302"/>
      <c r="C46" s="221" t="s">
        <v>387</v>
      </c>
      <c r="D46" s="226" t="s">
        <v>388</v>
      </c>
      <c r="E46" s="225" t="s">
        <v>199</v>
      </c>
      <c r="F46" s="225" t="str">
        <f>F51</f>
        <v>1–2</v>
      </c>
      <c r="G46" s="225" t="str">
        <f>G51</f>
        <v>2–3</v>
      </c>
      <c r="H46" s="297"/>
    </row>
    <row r="47" spans="1:11" x14ac:dyDescent="0.3">
      <c r="B47" s="291" t="s">
        <v>396</v>
      </c>
      <c r="C47" s="291">
        <f>C58</f>
        <v>57000</v>
      </c>
      <c r="D47" s="291">
        <f>C63</f>
        <v>36000</v>
      </c>
      <c r="E47" s="291">
        <v>37500</v>
      </c>
      <c r="F47" s="300">
        <f>C47-D47</f>
        <v>21000</v>
      </c>
      <c r="G47" s="300">
        <f>D47-E47</f>
        <v>-1500</v>
      </c>
      <c r="H47" s="288"/>
    </row>
    <row r="50" spans="2:9" ht="27.6" x14ac:dyDescent="0.3">
      <c r="C50" s="545" t="s">
        <v>271</v>
      </c>
      <c r="D50" s="545" t="s">
        <v>269</v>
      </c>
      <c r="E50" s="545" t="s">
        <v>270</v>
      </c>
      <c r="F50" s="546" t="s">
        <v>34</v>
      </c>
      <c r="G50" s="546" t="s">
        <v>33</v>
      </c>
    </row>
    <row r="51" spans="2:9" ht="18" x14ac:dyDescent="0.3">
      <c r="C51" s="301" t="s">
        <v>407</v>
      </c>
      <c r="D51" s="301" t="s">
        <v>400</v>
      </c>
      <c r="E51" s="301" t="s">
        <v>199</v>
      </c>
      <c r="F51" s="301" t="s">
        <v>296</v>
      </c>
      <c r="G51" s="301" t="s">
        <v>297</v>
      </c>
    </row>
    <row r="52" spans="2:9" x14ac:dyDescent="0.3">
      <c r="B52" s="291" t="s">
        <v>397</v>
      </c>
      <c r="C52" s="291">
        <f>C59</f>
        <v>9500</v>
      </c>
      <c r="D52" s="291">
        <f>C64</f>
        <v>9570</v>
      </c>
      <c r="E52" s="291">
        <v>10000</v>
      </c>
      <c r="F52" s="300">
        <f>C52-D52</f>
        <v>-70</v>
      </c>
      <c r="G52" s="300">
        <f>D52-E52</f>
        <v>-430</v>
      </c>
    </row>
    <row r="55" spans="2:9" x14ac:dyDescent="0.3">
      <c r="B55" s="288" t="s">
        <v>454</v>
      </c>
      <c r="D55" s="299">
        <f>F47+G47+F52+G52</f>
        <v>19000</v>
      </c>
    </row>
    <row r="57" spans="2:9" x14ac:dyDescent="0.3">
      <c r="B57" s="298" t="s">
        <v>322</v>
      </c>
      <c r="C57" s="288"/>
      <c r="D57" s="288"/>
      <c r="E57" s="288"/>
      <c r="F57" s="288"/>
      <c r="G57" s="288"/>
      <c r="H57" s="288"/>
      <c r="I57" s="288"/>
    </row>
    <row r="58" spans="2:9" x14ac:dyDescent="0.3">
      <c r="B58" s="288" t="s">
        <v>453</v>
      </c>
      <c r="C58" s="288">
        <f>950*60</f>
        <v>57000</v>
      </c>
      <c r="D58" s="288"/>
      <c r="E58" s="288"/>
      <c r="F58" s="288"/>
      <c r="G58" s="288"/>
      <c r="H58" s="288"/>
      <c r="I58" s="288"/>
    </row>
    <row r="59" spans="2:9" x14ac:dyDescent="0.3">
      <c r="B59" s="288" t="s">
        <v>452</v>
      </c>
      <c r="C59" s="288">
        <f>950*10</f>
        <v>9500</v>
      </c>
      <c r="D59" s="288"/>
      <c r="E59" s="288"/>
      <c r="F59" s="288"/>
      <c r="G59" s="288"/>
      <c r="H59" s="288"/>
      <c r="I59" s="288"/>
    </row>
    <row r="60" spans="2:9" x14ac:dyDescent="0.3">
      <c r="B60" s="288"/>
      <c r="C60" s="288"/>
      <c r="D60" s="288"/>
      <c r="E60" s="288"/>
      <c r="F60" s="288"/>
      <c r="G60" s="288"/>
      <c r="H60" s="288"/>
      <c r="I60" s="288"/>
    </row>
    <row r="61" spans="2:9" x14ac:dyDescent="0.3">
      <c r="B61" s="288"/>
      <c r="C61" s="288"/>
      <c r="D61" s="288"/>
      <c r="E61" s="288"/>
      <c r="F61" s="288"/>
      <c r="G61" s="288"/>
      <c r="H61" s="288"/>
      <c r="I61" s="288"/>
    </row>
    <row r="62" spans="2:9" x14ac:dyDescent="0.3">
      <c r="B62" s="298" t="s">
        <v>405</v>
      </c>
      <c r="C62" s="288"/>
      <c r="D62" s="288"/>
      <c r="E62" s="288"/>
      <c r="F62" s="288"/>
      <c r="G62" s="288"/>
      <c r="H62" s="288"/>
      <c r="I62" s="288"/>
    </row>
    <row r="63" spans="2:9" x14ac:dyDescent="0.3">
      <c r="B63" s="288" t="s">
        <v>451</v>
      </c>
      <c r="C63" s="288">
        <f>432000/12</f>
        <v>36000</v>
      </c>
      <c r="D63" s="288"/>
      <c r="E63" s="288"/>
      <c r="F63" s="288"/>
      <c r="G63" s="288"/>
      <c r="H63" s="288"/>
      <c r="I63" s="288"/>
    </row>
    <row r="64" spans="2:9" x14ac:dyDescent="0.3">
      <c r="B64" s="288" t="s">
        <v>450</v>
      </c>
      <c r="C64" s="288">
        <f>957*10</f>
        <v>9570</v>
      </c>
      <c r="D64" s="288" t="s">
        <v>684</v>
      </c>
      <c r="E64" s="288"/>
      <c r="F64" s="288"/>
      <c r="G64" s="288"/>
      <c r="H64" s="288"/>
      <c r="I64" s="288"/>
    </row>
    <row r="65" spans="2:9" x14ac:dyDescent="0.3">
      <c r="B65" s="288"/>
      <c r="C65" s="288"/>
      <c r="D65" s="288"/>
      <c r="E65" s="288"/>
      <c r="F65" s="288"/>
      <c r="G65" s="288"/>
      <c r="H65" s="288"/>
      <c r="I65" s="288"/>
    </row>
    <row r="66" spans="2:9" x14ac:dyDescent="0.3">
      <c r="B66" s="298" t="s">
        <v>449</v>
      </c>
      <c r="C66" s="288"/>
      <c r="D66" s="288"/>
      <c r="E66" s="288"/>
      <c r="F66" s="288"/>
      <c r="G66" s="288"/>
      <c r="H66" s="288"/>
      <c r="I66" s="288"/>
    </row>
    <row r="67" spans="2:9" x14ac:dyDescent="0.3">
      <c r="B67" s="288"/>
      <c r="C67" s="297" t="s">
        <v>448</v>
      </c>
      <c r="D67" s="297" t="s">
        <v>447</v>
      </c>
      <c r="F67" s="288"/>
      <c r="G67" s="288"/>
      <c r="H67" s="288"/>
      <c r="I67" s="288"/>
    </row>
    <row r="68" spans="2:9" x14ac:dyDescent="0.3">
      <c r="B68" s="288" t="s">
        <v>31</v>
      </c>
      <c r="C68" s="297">
        <v>80</v>
      </c>
      <c r="D68" s="297">
        <v>4</v>
      </c>
      <c r="E68" s="288">
        <f>C68*D68</f>
        <v>320</v>
      </c>
      <c r="F68" s="288"/>
      <c r="G68" s="288"/>
      <c r="H68" s="288"/>
      <c r="I68" s="288"/>
    </row>
    <row r="69" spans="2:9" x14ac:dyDescent="0.3">
      <c r="B69" s="288" t="s">
        <v>35</v>
      </c>
      <c r="C69" s="297">
        <v>40</v>
      </c>
      <c r="D69" s="297">
        <v>7</v>
      </c>
      <c r="E69" s="288">
        <f>C69*D69</f>
        <v>280</v>
      </c>
      <c r="F69" s="288"/>
      <c r="G69" s="288"/>
      <c r="H69" s="288"/>
      <c r="I69" s="288"/>
    </row>
    <row r="70" spans="2:9" x14ac:dyDescent="0.3">
      <c r="B70" s="288" t="s">
        <v>446</v>
      </c>
      <c r="C70" s="288"/>
      <c r="D70" s="288"/>
      <c r="E70" s="296">
        <f>SUM(E68:E69)</f>
        <v>600</v>
      </c>
      <c r="F70" s="288" t="s">
        <v>148</v>
      </c>
      <c r="G70" s="288"/>
      <c r="H70" s="288"/>
      <c r="I70" s="288"/>
    </row>
    <row r="71" spans="2:9" x14ac:dyDescent="0.3">
      <c r="B71" s="288"/>
      <c r="C71" s="288"/>
      <c r="D71" s="288"/>
      <c r="E71" s="288"/>
      <c r="F71" s="288"/>
      <c r="G71" s="288"/>
      <c r="H71" s="288"/>
      <c r="I71" s="288"/>
    </row>
    <row r="72" spans="2:9" x14ac:dyDescent="0.3">
      <c r="B72" s="385" t="s">
        <v>1142</v>
      </c>
      <c r="C72" s="386"/>
      <c r="D72" s="288"/>
      <c r="E72" s="288"/>
      <c r="F72" s="288"/>
      <c r="G72" s="288"/>
      <c r="H72" s="288"/>
      <c r="I72" s="288"/>
    </row>
    <row r="73" spans="2:9" x14ac:dyDescent="0.3">
      <c r="B73" s="288" t="s">
        <v>1143</v>
      </c>
      <c r="C73" s="288"/>
      <c r="D73" s="288"/>
      <c r="E73" s="288"/>
      <c r="F73" s="288"/>
      <c r="G73" s="288"/>
      <c r="H73" s="288"/>
      <c r="I73" s="288"/>
    </row>
    <row r="74" spans="2:9" x14ac:dyDescent="0.3">
      <c r="B74" s="288" t="s">
        <v>1144</v>
      </c>
      <c r="C74" s="288"/>
      <c r="D74" s="288"/>
      <c r="E74" s="288"/>
      <c r="F74" s="288"/>
      <c r="G74" s="288"/>
      <c r="H74" s="288"/>
      <c r="I74" s="288"/>
    </row>
    <row r="75" spans="2:9" x14ac:dyDescent="0.3">
      <c r="B75" s="288"/>
      <c r="C75" s="288"/>
      <c r="D75" s="288"/>
      <c r="E75" s="288"/>
      <c r="F75" s="288"/>
      <c r="G75" s="288"/>
      <c r="H75" s="288"/>
      <c r="I75" s="288"/>
    </row>
    <row r="76" spans="2:9" x14ac:dyDescent="0.3">
      <c r="B76" s="298" t="s">
        <v>691</v>
      </c>
      <c r="C76" s="288"/>
      <c r="D76" s="288"/>
      <c r="E76" s="288"/>
      <c r="F76" s="288"/>
      <c r="G76" s="288"/>
      <c r="H76" s="288"/>
      <c r="I76" s="288"/>
    </row>
    <row r="77" spans="2:9" x14ac:dyDescent="0.3">
      <c r="B77" s="288" t="s">
        <v>445</v>
      </c>
      <c r="C77" s="288"/>
      <c r="D77" s="288"/>
      <c r="E77" s="288"/>
      <c r="F77" s="288"/>
      <c r="G77" s="288"/>
      <c r="H77" s="288"/>
      <c r="I77" s="288"/>
    </row>
    <row r="78" spans="2:9" x14ac:dyDescent="0.3">
      <c r="B78" s="288" t="s">
        <v>444</v>
      </c>
      <c r="C78" s="288"/>
      <c r="D78" s="288"/>
      <c r="E78" s="288"/>
      <c r="F78" s="288"/>
      <c r="G78" s="288"/>
      <c r="H78" s="288"/>
      <c r="I78" s="288"/>
    </row>
    <row r="79" spans="2:9" x14ac:dyDescent="0.3">
      <c r="B79" s="288"/>
      <c r="C79" s="288"/>
      <c r="D79" s="288"/>
      <c r="E79" s="288"/>
      <c r="F79" s="288"/>
      <c r="G79" s="288"/>
      <c r="H79" s="288"/>
      <c r="I79" s="288"/>
    </row>
    <row r="80" spans="2:9" x14ac:dyDescent="0.3">
      <c r="B80" s="298" t="s">
        <v>293</v>
      </c>
      <c r="C80" s="288"/>
      <c r="D80" s="288"/>
      <c r="E80" s="288"/>
      <c r="F80" s="288"/>
      <c r="G80" s="288"/>
      <c r="H80" s="288"/>
      <c r="I80" s="288"/>
    </row>
    <row r="81" spans="1:9" x14ac:dyDescent="0.3">
      <c r="B81" s="288" t="s">
        <v>692</v>
      </c>
      <c r="C81" s="288"/>
      <c r="D81" s="288"/>
      <c r="E81" s="288"/>
      <c r="F81" s="288"/>
      <c r="G81" s="288"/>
      <c r="H81" s="288"/>
      <c r="I81" s="288"/>
    </row>
    <row r="82" spans="1:9" x14ac:dyDescent="0.3">
      <c r="B82" s="288" t="s">
        <v>4</v>
      </c>
      <c r="C82" s="288"/>
      <c r="D82" s="288"/>
      <c r="E82" s="288"/>
      <c r="F82" s="288"/>
      <c r="G82" s="288"/>
      <c r="H82" s="288"/>
      <c r="I82" s="288"/>
    </row>
    <row r="83" spans="1:9" x14ac:dyDescent="0.3">
      <c r="B83" s="288" t="s">
        <v>3</v>
      </c>
      <c r="C83" s="288"/>
      <c r="D83" s="288"/>
      <c r="E83" s="288"/>
      <c r="F83" s="288"/>
      <c r="G83" s="288"/>
      <c r="H83" s="288"/>
      <c r="I83" s="288"/>
    </row>
    <row r="84" spans="1:9" x14ac:dyDescent="0.3">
      <c r="B84" s="288"/>
      <c r="C84" s="288"/>
      <c r="D84" s="288"/>
      <c r="E84" s="288"/>
      <c r="F84" s="288"/>
      <c r="G84" s="288"/>
      <c r="H84" s="288"/>
      <c r="I84" s="288"/>
    </row>
    <row r="85" spans="1:9" x14ac:dyDescent="0.3">
      <c r="A85" s="295" t="s">
        <v>2</v>
      </c>
      <c r="B85" s="288" t="s">
        <v>443</v>
      </c>
      <c r="C85" s="288"/>
      <c r="D85" s="288"/>
      <c r="E85" s="288"/>
      <c r="F85" s="288"/>
      <c r="G85" s="288"/>
      <c r="H85" s="288"/>
      <c r="I85" s="288"/>
    </row>
    <row r="86" spans="1:9" x14ac:dyDescent="0.3">
      <c r="B86" s="287" t="s">
        <v>442</v>
      </c>
      <c r="C86" s="288"/>
      <c r="D86" s="288"/>
      <c r="E86" s="288"/>
      <c r="F86" s="288"/>
      <c r="G86" s="288"/>
      <c r="H86" s="288"/>
      <c r="I86" s="288"/>
    </row>
    <row r="87" spans="1:9" x14ac:dyDescent="0.3">
      <c r="C87" s="288"/>
      <c r="D87" s="288"/>
      <c r="E87" s="288"/>
      <c r="F87" s="288"/>
      <c r="G87" s="288"/>
      <c r="H87" s="288"/>
      <c r="I87" s="288"/>
    </row>
    <row r="88" spans="1:9" x14ac:dyDescent="0.3">
      <c r="C88" s="288"/>
      <c r="D88" s="288"/>
      <c r="F88" s="294" t="s">
        <v>173</v>
      </c>
      <c r="G88" s="294" t="s">
        <v>199</v>
      </c>
      <c r="H88" s="288"/>
      <c r="I88" s="288"/>
    </row>
    <row r="89" spans="1:9" x14ac:dyDescent="0.3">
      <c r="B89" s="287" t="s">
        <v>5</v>
      </c>
      <c r="C89" s="288"/>
      <c r="D89" s="288"/>
      <c r="F89" s="291">
        <f>J38+50000</f>
        <v>50000</v>
      </c>
      <c r="G89" s="291"/>
      <c r="H89" s="288"/>
      <c r="I89" s="288"/>
    </row>
    <row r="90" spans="1:9" x14ac:dyDescent="0.3">
      <c r="C90" s="288"/>
      <c r="D90" s="288"/>
      <c r="F90" s="291"/>
      <c r="G90" s="291"/>
      <c r="H90" s="288"/>
      <c r="I90" s="288"/>
    </row>
    <row r="91" spans="1:9" x14ac:dyDescent="0.3">
      <c r="C91" s="288"/>
      <c r="D91" s="288"/>
      <c r="F91" s="291"/>
      <c r="G91" s="291"/>
      <c r="H91" s="288"/>
      <c r="I91" s="288"/>
    </row>
    <row r="92" spans="1:9" x14ac:dyDescent="0.3">
      <c r="B92" s="288" t="s">
        <v>441</v>
      </c>
      <c r="C92" s="288"/>
      <c r="D92" s="288"/>
      <c r="F92" s="291">
        <v>426600</v>
      </c>
      <c r="G92" s="291"/>
      <c r="H92" s="288"/>
      <c r="I92" s="288"/>
    </row>
    <row r="93" spans="1:9" x14ac:dyDescent="0.3">
      <c r="B93" s="287" t="s">
        <v>440</v>
      </c>
      <c r="C93" s="288"/>
      <c r="D93" s="288"/>
      <c r="E93" s="288"/>
      <c r="F93" s="291">
        <v>-147900</v>
      </c>
      <c r="G93" s="293"/>
      <c r="H93" s="290" t="s">
        <v>439</v>
      </c>
      <c r="I93" s="288"/>
    </row>
    <row r="94" spans="1:9" x14ac:dyDescent="0.3">
      <c r="B94" s="287" t="s">
        <v>438</v>
      </c>
      <c r="C94" s="288"/>
      <c r="D94" s="288"/>
      <c r="E94" s="288"/>
      <c r="F94" s="291">
        <f>SUM(F92:F93)</f>
        <v>278700</v>
      </c>
      <c r="G94" s="291"/>
      <c r="H94" s="288" t="s">
        <v>6</v>
      </c>
      <c r="I94" s="288"/>
    </row>
    <row r="95" spans="1:9" x14ac:dyDescent="0.3">
      <c r="B95" s="288" t="s">
        <v>437</v>
      </c>
      <c r="C95" s="288"/>
      <c r="D95" s="288"/>
      <c r="E95" s="288"/>
      <c r="F95" s="291">
        <v>37500</v>
      </c>
      <c r="G95" s="291">
        <v>46000</v>
      </c>
      <c r="H95" s="292">
        <f>F95-G95</f>
        <v>-8500</v>
      </c>
    </row>
    <row r="96" spans="1:9" x14ac:dyDescent="0.3">
      <c r="B96" s="288" t="s">
        <v>384</v>
      </c>
      <c r="C96" s="288"/>
      <c r="D96" s="288"/>
      <c r="E96" s="288"/>
      <c r="F96" s="291">
        <f>SUM(F94:F95)</f>
        <v>316200</v>
      </c>
      <c r="G96" s="291"/>
      <c r="H96" s="288"/>
    </row>
    <row r="97" spans="2:9" x14ac:dyDescent="0.3">
      <c r="B97" s="287" t="s">
        <v>385</v>
      </c>
      <c r="C97" s="288"/>
      <c r="D97" s="288"/>
      <c r="F97" s="291">
        <f>F89-F96</f>
        <v>-266200</v>
      </c>
      <c r="G97" s="291"/>
      <c r="H97" s="290" t="s">
        <v>7</v>
      </c>
    </row>
    <row r="98" spans="2:9" x14ac:dyDescent="0.3">
      <c r="B98" s="287" t="s">
        <v>379</v>
      </c>
      <c r="C98" s="288"/>
      <c r="D98" s="288"/>
      <c r="F98" s="291">
        <v>-2000</v>
      </c>
      <c r="G98" s="291"/>
      <c r="H98" s="290" t="s">
        <v>8</v>
      </c>
    </row>
    <row r="99" spans="2:9" x14ac:dyDescent="0.3">
      <c r="B99" s="288" t="s">
        <v>436</v>
      </c>
      <c r="C99" s="288"/>
      <c r="D99" s="288"/>
      <c r="E99" s="288"/>
      <c r="F99" s="291">
        <v>10500</v>
      </c>
      <c r="G99" s="291"/>
      <c r="H99" s="290" t="s">
        <v>435</v>
      </c>
    </row>
    <row r="100" spans="2:9" x14ac:dyDescent="0.3">
      <c r="B100" s="288" t="s">
        <v>187</v>
      </c>
      <c r="C100" s="288"/>
      <c r="D100" s="288"/>
      <c r="E100" s="288"/>
      <c r="F100" s="291">
        <f>SUM(F97:F99)</f>
        <v>-257700</v>
      </c>
      <c r="G100" s="291"/>
      <c r="H100" s="290" t="s">
        <v>434</v>
      </c>
    </row>
    <row r="101" spans="2:9" x14ac:dyDescent="0.3">
      <c r="B101" s="288"/>
      <c r="C101" s="288"/>
      <c r="D101" s="288"/>
      <c r="E101" s="288"/>
      <c r="F101" s="288"/>
      <c r="G101" s="288"/>
      <c r="H101" s="290" t="s">
        <v>433</v>
      </c>
    </row>
    <row r="102" spans="2:9" x14ac:dyDescent="0.3">
      <c r="B102" s="288" t="s">
        <v>10</v>
      </c>
      <c r="C102" s="288"/>
      <c r="D102" s="288"/>
      <c r="E102" s="288"/>
      <c r="F102" s="288"/>
      <c r="G102" s="288"/>
      <c r="H102" s="290" t="s">
        <v>9</v>
      </c>
    </row>
    <row r="103" spans="2:9" x14ac:dyDescent="0.3">
      <c r="B103" s="288" t="s">
        <v>11</v>
      </c>
      <c r="C103" s="288"/>
      <c r="D103" s="288"/>
      <c r="E103" s="288"/>
      <c r="F103" s="288"/>
      <c r="G103" s="288"/>
      <c r="H103" s="288">
        <v>10500</v>
      </c>
      <c r="I103" s="288"/>
    </row>
    <row r="104" spans="2:9" x14ac:dyDescent="0.3">
      <c r="B104" s="288"/>
      <c r="C104" s="288"/>
      <c r="D104" s="288"/>
      <c r="E104" s="288"/>
      <c r="F104" s="288"/>
      <c r="G104" s="288"/>
      <c r="H104" s="288"/>
      <c r="I104" s="288"/>
    </row>
    <row r="105" spans="2:9" ht="16.2" x14ac:dyDescent="0.35">
      <c r="B105" s="289" t="s">
        <v>1</v>
      </c>
      <c r="C105" s="288"/>
      <c r="D105" s="288"/>
      <c r="E105" s="288"/>
      <c r="F105" s="288"/>
      <c r="G105" s="288"/>
      <c r="H105" s="288"/>
      <c r="I105" s="288"/>
    </row>
    <row r="106" spans="2:9" ht="16.2" x14ac:dyDescent="0.35">
      <c r="B106" s="289" t="s">
        <v>0</v>
      </c>
      <c r="C106" s="288"/>
      <c r="D106" s="288"/>
      <c r="E106" s="288"/>
      <c r="F106" s="288"/>
      <c r="G106" s="288"/>
      <c r="H106" s="288"/>
      <c r="I106" s="288"/>
    </row>
    <row r="107" spans="2:9" x14ac:dyDescent="0.3">
      <c r="B107" s="288"/>
      <c r="C107" s="288"/>
      <c r="D107" s="288"/>
      <c r="E107" s="288"/>
      <c r="F107" s="288"/>
      <c r="G107" s="288"/>
      <c r="H107" s="288"/>
      <c r="I107" s="288"/>
    </row>
    <row r="108" spans="2:9" x14ac:dyDescent="0.3">
      <c r="B108" s="288"/>
      <c r="C108" s="288"/>
      <c r="D108" s="288"/>
      <c r="E108" s="288"/>
      <c r="F108" s="288"/>
      <c r="G108" s="288"/>
      <c r="H108" s="288"/>
      <c r="I108" s="288"/>
    </row>
    <row r="109" spans="2:9" x14ac:dyDescent="0.3">
      <c r="B109" s="288"/>
      <c r="C109" s="288"/>
      <c r="D109" s="288"/>
      <c r="E109" s="288"/>
      <c r="F109" s="288"/>
      <c r="G109" s="288"/>
      <c r="H109" s="288"/>
      <c r="I109" s="288"/>
    </row>
    <row r="110" spans="2:9" x14ac:dyDescent="0.3">
      <c r="B110" s="288"/>
      <c r="C110" s="288"/>
      <c r="D110" s="288"/>
      <c r="E110" s="288"/>
      <c r="F110" s="288"/>
      <c r="G110" s="288"/>
      <c r="H110" s="288"/>
      <c r="I110" s="288"/>
    </row>
    <row r="111" spans="2:9" x14ac:dyDescent="0.3">
      <c r="B111" s="288"/>
    </row>
    <row r="112" spans="2:9" x14ac:dyDescent="0.3">
      <c r="B112" s="288"/>
    </row>
    <row r="113" spans="2:2" x14ac:dyDescent="0.3">
      <c r="B113" s="288"/>
    </row>
  </sheetData>
  <mergeCells count="2">
    <mergeCell ref="C21:E21"/>
    <mergeCell ref="F21:H21"/>
  </mergeCells>
  <phoneticPr fontId="42" type="noConversion"/>
  <pageMargins left="0.39370078740157483" right="0.39370078740157483" top="0.98425196850393704" bottom="0.98425196850393704" header="0.51181102362204722" footer="0.51181102362204722"/>
  <pageSetup paperSize="9" scale="61" fitToHeight="0" orientation="portrait" r:id="rId1"/>
  <headerFooter alignWithMargins="0">
    <oddHeader>&amp;A&amp;RSide &amp;P</oddHeader>
    <oddFooter>&amp;CLøsning kapittel 5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pageSetUpPr fitToPage="1"/>
  </sheetPr>
  <dimension ref="A1:G115"/>
  <sheetViews>
    <sheetView topLeftCell="A73" workbookViewId="0">
      <selection activeCell="H91" sqref="H91"/>
    </sheetView>
  </sheetViews>
  <sheetFormatPr baseColWidth="10" defaultRowHeight="14.1" customHeight="1" x14ac:dyDescent="0.3"/>
  <cols>
    <col min="1" max="1" width="2.88671875" style="149" customWidth="1"/>
    <col min="2" max="2" width="24.33203125" style="149" customWidth="1"/>
    <col min="3" max="3" width="14.109375" style="334" customWidth="1"/>
    <col min="4" max="7" width="12.88671875" style="149" customWidth="1"/>
    <col min="8" max="256" width="10.88671875" style="149"/>
    <col min="257" max="257" width="2.88671875" style="149" customWidth="1"/>
    <col min="258" max="258" width="24.33203125" style="149" customWidth="1"/>
    <col min="259" max="263" width="12.88671875" style="149" customWidth="1"/>
    <col min="264" max="512" width="10.88671875" style="149"/>
    <col min="513" max="513" width="2.88671875" style="149" customWidth="1"/>
    <col min="514" max="514" width="24.33203125" style="149" customWidth="1"/>
    <col min="515" max="519" width="12.88671875" style="149" customWidth="1"/>
    <col min="520" max="768" width="10.88671875" style="149"/>
    <col min="769" max="769" width="2.88671875" style="149" customWidth="1"/>
    <col min="770" max="770" width="24.33203125" style="149" customWidth="1"/>
    <col min="771" max="775" width="12.88671875" style="149" customWidth="1"/>
    <col min="776" max="1024" width="10.88671875" style="149"/>
    <col min="1025" max="1025" width="2.88671875" style="149" customWidth="1"/>
    <col min="1026" max="1026" width="24.33203125" style="149" customWidth="1"/>
    <col min="1027" max="1031" width="12.88671875" style="149" customWidth="1"/>
    <col min="1032" max="1280" width="10.88671875" style="149"/>
    <col min="1281" max="1281" width="2.88671875" style="149" customWidth="1"/>
    <col min="1282" max="1282" width="24.33203125" style="149" customWidth="1"/>
    <col min="1283" max="1287" width="12.88671875" style="149" customWidth="1"/>
    <col min="1288" max="1536" width="10.88671875" style="149"/>
    <col min="1537" max="1537" width="2.88671875" style="149" customWidth="1"/>
    <col min="1538" max="1538" width="24.33203125" style="149" customWidth="1"/>
    <col min="1539" max="1543" width="12.88671875" style="149" customWidth="1"/>
    <col min="1544" max="1792" width="10.88671875" style="149"/>
    <col min="1793" max="1793" width="2.88671875" style="149" customWidth="1"/>
    <col min="1794" max="1794" width="24.33203125" style="149" customWidth="1"/>
    <col min="1795" max="1799" width="12.88671875" style="149" customWidth="1"/>
    <col min="1800" max="2048" width="10.88671875" style="149"/>
    <col min="2049" max="2049" width="2.88671875" style="149" customWidth="1"/>
    <col min="2050" max="2050" width="24.33203125" style="149" customWidth="1"/>
    <col min="2051" max="2055" width="12.88671875" style="149" customWidth="1"/>
    <col min="2056" max="2304" width="10.88671875" style="149"/>
    <col min="2305" max="2305" width="2.88671875" style="149" customWidth="1"/>
    <col min="2306" max="2306" width="24.33203125" style="149" customWidth="1"/>
    <col min="2307" max="2311" width="12.88671875" style="149" customWidth="1"/>
    <col min="2312" max="2560" width="10.88671875" style="149"/>
    <col min="2561" max="2561" width="2.88671875" style="149" customWidth="1"/>
    <col min="2562" max="2562" width="24.33203125" style="149" customWidth="1"/>
    <col min="2563" max="2567" width="12.88671875" style="149" customWidth="1"/>
    <col min="2568" max="2816" width="10.88671875" style="149"/>
    <col min="2817" max="2817" width="2.88671875" style="149" customWidth="1"/>
    <col min="2818" max="2818" width="24.33203125" style="149" customWidth="1"/>
    <col min="2819" max="2823" width="12.88671875" style="149" customWidth="1"/>
    <col min="2824" max="3072" width="10.88671875" style="149"/>
    <col min="3073" max="3073" width="2.88671875" style="149" customWidth="1"/>
    <col min="3074" max="3074" width="24.33203125" style="149" customWidth="1"/>
    <col min="3075" max="3079" width="12.88671875" style="149" customWidth="1"/>
    <col min="3080" max="3328" width="10.88671875" style="149"/>
    <col min="3329" max="3329" width="2.88671875" style="149" customWidth="1"/>
    <col min="3330" max="3330" width="24.33203125" style="149" customWidth="1"/>
    <col min="3331" max="3335" width="12.88671875" style="149" customWidth="1"/>
    <col min="3336" max="3584" width="10.88671875" style="149"/>
    <col min="3585" max="3585" width="2.88671875" style="149" customWidth="1"/>
    <col min="3586" max="3586" width="24.33203125" style="149" customWidth="1"/>
    <col min="3587" max="3591" width="12.88671875" style="149" customWidth="1"/>
    <col min="3592" max="3840" width="10.88671875" style="149"/>
    <col min="3841" max="3841" width="2.88671875" style="149" customWidth="1"/>
    <col min="3842" max="3842" width="24.33203125" style="149" customWidth="1"/>
    <col min="3843" max="3847" width="12.88671875" style="149" customWidth="1"/>
    <col min="3848" max="4096" width="10.88671875" style="149"/>
    <col min="4097" max="4097" width="2.88671875" style="149" customWidth="1"/>
    <col min="4098" max="4098" width="24.33203125" style="149" customWidth="1"/>
    <col min="4099" max="4103" width="12.88671875" style="149" customWidth="1"/>
    <col min="4104" max="4352" width="10.88671875" style="149"/>
    <col min="4353" max="4353" width="2.88671875" style="149" customWidth="1"/>
    <col min="4354" max="4354" width="24.33203125" style="149" customWidth="1"/>
    <col min="4355" max="4359" width="12.88671875" style="149" customWidth="1"/>
    <col min="4360" max="4608" width="10.88671875" style="149"/>
    <col min="4609" max="4609" width="2.88671875" style="149" customWidth="1"/>
    <col min="4610" max="4610" width="24.33203125" style="149" customWidth="1"/>
    <col min="4611" max="4615" width="12.88671875" style="149" customWidth="1"/>
    <col min="4616" max="4864" width="10.88671875" style="149"/>
    <col min="4865" max="4865" width="2.88671875" style="149" customWidth="1"/>
    <col min="4866" max="4866" width="24.33203125" style="149" customWidth="1"/>
    <col min="4867" max="4871" width="12.88671875" style="149" customWidth="1"/>
    <col min="4872" max="5120" width="10.88671875" style="149"/>
    <col min="5121" max="5121" width="2.88671875" style="149" customWidth="1"/>
    <col min="5122" max="5122" width="24.33203125" style="149" customWidth="1"/>
    <col min="5123" max="5127" width="12.88671875" style="149" customWidth="1"/>
    <col min="5128" max="5376" width="10.88671875" style="149"/>
    <col min="5377" max="5377" width="2.88671875" style="149" customWidth="1"/>
    <col min="5378" max="5378" width="24.33203125" style="149" customWidth="1"/>
    <col min="5379" max="5383" width="12.88671875" style="149" customWidth="1"/>
    <col min="5384" max="5632" width="10.88671875" style="149"/>
    <col min="5633" max="5633" width="2.88671875" style="149" customWidth="1"/>
    <col min="5634" max="5634" width="24.33203125" style="149" customWidth="1"/>
    <col min="5635" max="5639" width="12.88671875" style="149" customWidth="1"/>
    <col min="5640" max="5888" width="10.88671875" style="149"/>
    <col min="5889" max="5889" width="2.88671875" style="149" customWidth="1"/>
    <col min="5890" max="5890" width="24.33203125" style="149" customWidth="1"/>
    <col min="5891" max="5895" width="12.88671875" style="149" customWidth="1"/>
    <col min="5896" max="6144" width="10.88671875" style="149"/>
    <col min="6145" max="6145" width="2.88671875" style="149" customWidth="1"/>
    <col min="6146" max="6146" width="24.33203125" style="149" customWidth="1"/>
    <col min="6147" max="6151" width="12.88671875" style="149" customWidth="1"/>
    <col min="6152" max="6400" width="10.88671875" style="149"/>
    <col min="6401" max="6401" width="2.88671875" style="149" customWidth="1"/>
    <col min="6402" max="6402" width="24.33203125" style="149" customWidth="1"/>
    <col min="6403" max="6407" width="12.88671875" style="149" customWidth="1"/>
    <col min="6408" max="6656" width="10.88671875" style="149"/>
    <col min="6657" max="6657" width="2.88671875" style="149" customWidth="1"/>
    <col min="6658" max="6658" width="24.33203125" style="149" customWidth="1"/>
    <col min="6659" max="6663" width="12.88671875" style="149" customWidth="1"/>
    <col min="6664" max="6912" width="10.88671875" style="149"/>
    <col min="6913" max="6913" width="2.88671875" style="149" customWidth="1"/>
    <col min="6914" max="6914" width="24.33203125" style="149" customWidth="1"/>
    <col min="6915" max="6919" width="12.88671875" style="149" customWidth="1"/>
    <col min="6920" max="7168" width="10.88671875" style="149"/>
    <col min="7169" max="7169" width="2.88671875" style="149" customWidth="1"/>
    <col min="7170" max="7170" width="24.33203125" style="149" customWidth="1"/>
    <col min="7171" max="7175" width="12.88671875" style="149" customWidth="1"/>
    <col min="7176" max="7424" width="10.88671875" style="149"/>
    <col min="7425" max="7425" width="2.88671875" style="149" customWidth="1"/>
    <col min="7426" max="7426" width="24.33203125" style="149" customWidth="1"/>
    <col min="7427" max="7431" width="12.88671875" style="149" customWidth="1"/>
    <col min="7432" max="7680" width="10.88671875" style="149"/>
    <col min="7681" max="7681" width="2.88671875" style="149" customWidth="1"/>
    <col min="7682" max="7682" width="24.33203125" style="149" customWidth="1"/>
    <col min="7683" max="7687" width="12.88671875" style="149" customWidth="1"/>
    <col min="7688" max="7936" width="10.88671875" style="149"/>
    <col min="7937" max="7937" width="2.88671875" style="149" customWidth="1"/>
    <col min="7938" max="7938" width="24.33203125" style="149" customWidth="1"/>
    <col min="7939" max="7943" width="12.88671875" style="149" customWidth="1"/>
    <col min="7944" max="8192" width="10.88671875" style="149"/>
    <col min="8193" max="8193" width="2.88671875" style="149" customWidth="1"/>
    <col min="8194" max="8194" width="24.33203125" style="149" customWidth="1"/>
    <col min="8195" max="8199" width="12.88671875" style="149" customWidth="1"/>
    <col min="8200" max="8448" width="10.88671875" style="149"/>
    <col min="8449" max="8449" width="2.88671875" style="149" customWidth="1"/>
    <col min="8450" max="8450" width="24.33203125" style="149" customWidth="1"/>
    <col min="8451" max="8455" width="12.88671875" style="149" customWidth="1"/>
    <col min="8456" max="8704" width="10.88671875" style="149"/>
    <col min="8705" max="8705" width="2.88671875" style="149" customWidth="1"/>
    <col min="8706" max="8706" width="24.33203125" style="149" customWidth="1"/>
    <col min="8707" max="8711" width="12.88671875" style="149" customWidth="1"/>
    <col min="8712" max="8960" width="10.88671875" style="149"/>
    <col min="8961" max="8961" width="2.88671875" style="149" customWidth="1"/>
    <col min="8962" max="8962" width="24.33203125" style="149" customWidth="1"/>
    <col min="8963" max="8967" width="12.88671875" style="149" customWidth="1"/>
    <col min="8968" max="9216" width="10.88671875" style="149"/>
    <col min="9217" max="9217" width="2.88671875" style="149" customWidth="1"/>
    <col min="9218" max="9218" width="24.33203125" style="149" customWidth="1"/>
    <col min="9219" max="9223" width="12.88671875" style="149" customWidth="1"/>
    <col min="9224" max="9472" width="10.88671875" style="149"/>
    <col min="9473" max="9473" width="2.88671875" style="149" customWidth="1"/>
    <col min="9474" max="9474" width="24.33203125" style="149" customWidth="1"/>
    <col min="9475" max="9479" width="12.88671875" style="149" customWidth="1"/>
    <col min="9480" max="9728" width="10.88671875" style="149"/>
    <col min="9729" max="9729" width="2.88671875" style="149" customWidth="1"/>
    <col min="9730" max="9730" width="24.33203125" style="149" customWidth="1"/>
    <col min="9731" max="9735" width="12.88671875" style="149" customWidth="1"/>
    <col min="9736" max="9984" width="10.88671875" style="149"/>
    <col min="9985" max="9985" width="2.88671875" style="149" customWidth="1"/>
    <col min="9986" max="9986" width="24.33203125" style="149" customWidth="1"/>
    <col min="9987" max="9991" width="12.88671875" style="149" customWidth="1"/>
    <col min="9992" max="10240" width="10.88671875" style="149"/>
    <col min="10241" max="10241" width="2.88671875" style="149" customWidth="1"/>
    <col min="10242" max="10242" width="24.33203125" style="149" customWidth="1"/>
    <col min="10243" max="10247" width="12.88671875" style="149" customWidth="1"/>
    <col min="10248" max="10496" width="10.88671875" style="149"/>
    <col min="10497" max="10497" width="2.88671875" style="149" customWidth="1"/>
    <col min="10498" max="10498" width="24.33203125" style="149" customWidth="1"/>
    <col min="10499" max="10503" width="12.88671875" style="149" customWidth="1"/>
    <col min="10504" max="10752" width="10.88671875" style="149"/>
    <col min="10753" max="10753" width="2.88671875" style="149" customWidth="1"/>
    <col min="10754" max="10754" width="24.33203125" style="149" customWidth="1"/>
    <col min="10755" max="10759" width="12.88671875" style="149" customWidth="1"/>
    <col min="10760" max="11008" width="10.88671875" style="149"/>
    <col min="11009" max="11009" width="2.88671875" style="149" customWidth="1"/>
    <col min="11010" max="11010" width="24.33203125" style="149" customWidth="1"/>
    <col min="11011" max="11015" width="12.88671875" style="149" customWidth="1"/>
    <col min="11016" max="11264" width="10.88671875" style="149"/>
    <col min="11265" max="11265" width="2.88671875" style="149" customWidth="1"/>
    <col min="11266" max="11266" width="24.33203125" style="149" customWidth="1"/>
    <col min="11267" max="11271" width="12.88671875" style="149" customWidth="1"/>
    <col min="11272" max="11520" width="10.88671875" style="149"/>
    <col min="11521" max="11521" width="2.88671875" style="149" customWidth="1"/>
    <col min="11522" max="11522" width="24.33203125" style="149" customWidth="1"/>
    <col min="11523" max="11527" width="12.88671875" style="149" customWidth="1"/>
    <col min="11528" max="11776" width="10.88671875" style="149"/>
    <col min="11777" max="11777" width="2.88671875" style="149" customWidth="1"/>
    <col min="11778" max="11778" width="24.33203125" style="149" customWidth="1"/>
    <col min="11779" max="11783" width="12.88671875" style="149" customWidth="1"/>
    <col min="11784" max="12032" width="10.88671875" style="149"/>
    <col min="12033" max="12033" width="2.88671875" style="149" customWidth="1"/>
    <col min="12034" max="12034" width="24.33203125" style="149" customWidth="1"/>
    <col min="12035" max="12039" width="12.88671875" style="149" customWidth="1"/>
    <col min="12040" max="12288" width="10.88671875" style="149"/>
    <col min="12289" max="12289" width="2.88671875" style="149" customWidth="1"/>
    <col min="12290" max="12290" width="24.33203125" style="149" customWidth="1"/>
    <col min="12291" max="12295" width="12.88671875" style="149" customWidth="1"/>
    <col min="12296" max="12544" width="10.88671875" style="149"/>
    <col min="12545" max="12545" width="2.88671875" style="149" customWidth="1"/>
    <col min="12546" max="12546" width="24.33203125" style="149" customWidth="1"/>
    <col min="12547" max="12551" width="12.88671875" style="149" customWidth="1"/>
    <col min="12552" max="12800" width="10.88671875" style="149"/>
    <col min="12801" max="12801" width="2.88671875" style="149" customWidth="1"/>
    <col min="12802" max="12802" width="24.33203125" style="149" customWidth="1"/>
    <col min="12803" max="12807" width="12.88671875" style="149" customWidth="1"/>
    <col min="12808" max="13056" width="10.88671875" style="149"/>
    <col min="13057" max="13057" width="2.88671875" style="149" customWidth="1"/>
    <col min="13058" max="13058" width="24.33203125" style="149" customWidth="1"/>
    <col min="13059" max="13063" width="12.88671875" style="149" customWidth="1"/>
    <col min="13064" max="13312" width="10.88671875" style="149"/>
    <col min="13313" max="13313" width="2.88671875" style="149" customWidth="1"/>
    <col min="13314" max="13314" width="24.33203125" style="149" customWidth="1"/>
    <col min="13315" max="13319" width="12.88671875" style="149" customWidth="1"/>
    <col min="13320" max="13568" width="10.88671875" style="149"/>
    <col min="13569" max="13569" width="2.88671875" style="149" customWidth="1"/>
    <col min="13570" max="13570" width="24.33203125" style="149" customWidth="1"/>
    <col min="13571" max="13575" width="12.88671875" style="149" customWidth="1"/>
    <col min="13576" max="13824" width="10.88671875" style="149"/>
    <col min="13825" max="13825" width="2.88671875" style="149" customWidth="1"/>
    <col min="13826" max="13826" width="24.33203125" style="149" customWidth="1"/>
    <col min="13827" max="13831" width="12.88671875" style="149" customWidth="1"/>
    <col min="13832" max="14080" width="10.88671875" style="149"/>
    <col min="14081" max="14081" width="2.88671875" style="149" customWidth="1"/>
    <col min="14082" max="14082" width="24.33203125" style="149" customWidth="1"/>
    <col min="14083" max="14087" width="12.88671875" style="149" customWidth="1"/>
    <col min="14088" max="14336" width="10.88671875" style="149"/>
    <col min="14337" max="14337" width="2.88671875" style="149" customWidth="1"/>
    <col min="14338" max="14338" width="24.33203125" style="149" customWidth="1"/>
    <col min="14339" max="14343" width="12.88671875" style="149" customWidth="1"/>
    <col min="14344" max="14592" width="10.88671875" style="149"/>
    <col min="14593" max="14593" width="2.88671875" style="149" customWidth="1"/>
    <col min="14594" max="14594" width="24.33203125" style="149" customWidth="1"/>
    <col min="14595" max="14599" width="12.88671875" style="149" customWidth="1"/>
    <col min="14600" max="14848" width="10.88671875" style="149"/>
    <col min="14849" max="14849" width="2.88671875" style="149" customWidth="1"/>
    <col min="14850" max="14850" width="24.33203125" style="149" customWidth="1"/>
    <col min="14851" max="14855" width="12.88671875" style="149" customWidth="1"/>
    <col min="14856" max="15104" width="10.88671875" style="149"/>
    <col min="15105" max="15105" width="2.88671875" style="149" customWidth="1"/>
    <col min="15106" max="15106" width="24.33203125" style="149" customWidth="1"/>
    <col min="15107" max="15111" width="12.88671875" style="149" customWidth="1"/>
    <col min="15112" max="15360" width="10.88671875" style="149"/>
    <col min="15361" max="15361" width="2.88671875" style="149" customWidth="1"/>
    <col min="15362" max="15362" width="24.33203125" style="149" customWidth="1"/>
    <col min="15363" max="15367" width="12.88671875" style="149" customWidth="1"/>
    <col min="15368" max="15616" width="10.88671875" style="149"/>
    <col min="15617" max="15617" width="2.88671875" style="149" customWidth="1"/>
    <col min="15618" max="15618" width="24.33203125" style="149" customWidth="1"/>
    <col min="15619" max="15623" width="12.88671875" style="149" customWidth="1"/>
    <col min="15624" max="15872" width="10.88671875" style="149"/>
    <col min="15873" max="15873" width="2.88671875" style="149" customWidth="1"/>
    <col min="15874" max="15874" width="24.33203125" style="149" customWidth="1"/>
    <col min="15875" max="15879" width="12.88671875" style="149" customWidth="1"/>
    <col min="15880" max="16128" width="10.88671875" style="149"/>
    <col min="16129" max="16129" width="2.88671875" style="149" customWidth="1"/>
    <col min="16130" max="16130" width="24.33203125" style="149" customWidth="1"/>
    <col min="16131" max="16135" width="12.88671875" style="149" customWidth="1"/>
    <col min="16136" max="16384" width="10.88671875" style="149"/>
  </cols>
  <sheetData>
    <row r="1" spans="2:3" ht="15" customHeight="1" x14ac:dyDescent="0.3"/>
    <row r="2" spans="2:3" ht="15" customHeight="1" x14ac:dyDescent="0.3">
      <c r="B2" s="150" t="s">
        <v>469</v>
      </c>
    </row>
    <row r="3" spans="2:3" ht="15" customHeight="1" x14ac:dyDescent="0.3">
      <c r="B3" s="335" t="s">
        <v>402</v>
      </c>
      <c r="C3" s="336">
        <v>650</v>
      </c>
    </row>
    <row r="4" spans="2:3" ht="15" customHeight="1" x14ac:dyDescent="0.3">
      <c r="B4" s="335" t="s">
        <v>492</v>
      </c>
      <c r="C4" s="336">
        <v>600</v>
      </c>
    </row>
    <row r="5" spans="2:3" ht="15" customHeight="1" x14ac:dyDescent="0.3">
      <c r="B5" s="337" t="s">
        <v>493</v>
      </c>
      <c r="C5" s="336"/>
    </row>
    <row r="6" spans="2:3" ht="15" customHeight="1" x14ac:dyDescent="0.3">
      <c r="B6" s="338" t="s">
        <v>494</v>
      </c>
      <c r="C6" s="336">
        <v>50</v>
      </c>
    </row>
    <row r="7" spans="2:3" ht="15" customHeight="1" x14ac:dyDescent="0.3">
      <c r="B7" s="335" t="s">
        <v>126</v>
      </c>
      <c r="C7" s="339">
        <f>SUM(C3:C6)</f>
        <v>1300</v>
      </c>
    </row>
    <row r="8" spans="2:3" ht="15" customHeight="1" x14ac:dyDescent="0.3"/>
    <row r="9" spans="2:3" ht="15" customHeight="1" x14ac:dyDescent="0.3">
      <c r="B9" s="149" t="s">
        <v>495</v>
      </c>
      <c r="C9" s="334">
        <v>1000</v>
      </c>
    </row>
    <row r="10" spans="2:3" ht="15" customHeight="1" x14ac:dyDescent="0.3">
      <c r="B10" s="149" t="s">
        <v>496</v>
      </c>
      <c r="C10" s="334">
        <v>1870</v>
      </c>
    </row>
    <row r="11" spans="2:3" ht="15" customHeight="1" x14ac:dyDescent="0.3"/>
    <row r="12" spans="2:3" ht="15" customHeight="1" x14ac:dyDescent="0.3"/>
    <row r="13" spans="2:3" ht="15" customHeight="1" x14ac:dyDescent="0.3">
      <c r="B13" s="150" t="s">
        <v>497</v>
      </c>
    </row>
    <row r="14" spans="2:3" ht="15" customHeight="1" x14ac:dyDescent="0.3">
      <c r="B14" s="338" t="s">
        <v>498</v>
      </c>
      <c r="C14" s="334">
        <f>C3*$C$9</f>
        <v>650000</v>
      </c>
    </row>
    <row r="15" spans="2:3" ht="15" customHeight="1" x14ac:dyDescent="0.3">
      <c r="B15" s="338" t="s">
        <v>90</v>
      </c>
      <c r="C15" s="334">
        <f>C4*$C$9</f>
        <v>600000</v>
      </c>
    </row>
    <row r="16" spans="2:3" ht="15" customHeight="1" x14ac:dyDescent="0.3">
      <c r="B16" s="337" t="s">
        <v>493</v>
      </c>
    </row>
    <row r="17" spans="1:5" ht="15" customHeight="1" x14ac:dyDescent="0.3">
      <c r="B17" s="338" t="s">
        <v>494</v>
      </c>
    </row>
    <row r="18" spans="1:5" ht="15" customHeight="1" x14ac:dyDescent="0.3">
      <c r="B18" s="338" t="s">
        <v>676</v>
      </c>
      <c r="C18" s="334">
        <f>C6*$C$9</f>
        <v>50000</v>
      </c>
    </row>
    <row r="19" spans="1:5" ht="15" customHeight="1" thickBot="1" x14ac:dyDescent="0.35">
      <c r="B19" s="340" t="s">
        <v>499</v>
      </c>
      <c r="C19" s="341">
        <f>SUM(C14:C18)</f>
        <v>1300000</v>
      </c>
    </row>
    <row r="20" spans="1:5" ht="15" customHeight="1" thickTop="1" x14ac:dyDescent="0.3">
      <c r="B20" s="338"/>
    </row>
    <row r="21" spans="1:5" ht="15" customHeight="1" x14ac:dyDescent="0.3">
      <c r="B21" s="149" t="s">
        <v>500</v>
      </c>
      <c r="C21" s="334">
        <f>C9*C10</f>
        <v>1870000</v>
      </c>
    </row>
    <row r="22" spans="1:5" ht="15" customHeight="1" x14ac:dyDescent="0.3">
      <c r="B22" s="149" t="str">
        <f>B19</f>
        <v>Tilvirkningmsmerkost</v>
      </c>
      <c r="C22" s="342">
        <f>C19</f>
        <v>1300000</v>
      </c>
    </row>
    <row r="23" spans="1:5" ht="15" customHeight="1" x14ac:dyDescent="0.3">
      <c r="B23" s="154" t="s">
        <v>501</v>
      </c>
      <c r="C23" s="343">
        <f>70*1000</f>
        <v>70000</v>
      </c>
    </row>
    <row r="24" spans="1:5" ht="15" customHeight="1" x14ac:dyDescent="0.3">
      <c r="A24" s="149" t="s">
        <v>189</v>
      </c>
      <c r="B24" s="169" t="s">
        <v>502</v>
      </c>
      <c r="C24" s="342">
        <f>C21-C22-C23</f>
        <v>500000</v>
      </c>
    </row>
    <row r="25" spans="1:5" ht="15" customHeight="1" x14ac:dyDescent="0.3">
      <c r="B25" s="382" t="s">
        <v>677</v>
      </c>
      <c r="C25" s="334">
        <v>380000</v>
      </c>
    </row>
    <row r="26" spans="1:5" ht="15" customHeight="1" thickBot="1" x14ac:dyDescent="0.35">
      <c r="B26" s="344" t="s">
        <v>206</v>
      </c>
      <c r="C26" s="341">
        <f>C24-C25</f>
        <v>120000</v>
      </c>
    </row>
    <row r="27" spans="1:5" ht="14.1" customHeight="1" thickTop="1" x14ac:dyDescent="0.3"/>
    <row r="29" spans="1:5" ht="14.1" customHeight="1" x14ac:dyDescent="0.3">
      <c r="C29" s="183"/>
      <c r="D29" s="183"/>
      <c r="E29" s="183"/>
    </row>
    <row r="30" spans="1:5" ht="14.1" customHeight="1" x14ac:dyDescent="0.3">
      <c r="A30" s="183" t="s">
        <v>191</v>
      </c>
      <c r="B30" s="183"/>
      <c r="C30" s="183"/>
      <c r="D30" s="183"/>
      <c r="E30" s="183"/>
    </row>
    <row r="31" spans="1:5" ht="14.1" customHeight="1" x14ac:dyDescent="0.3">
      <c r="B31" s="183" t="s">
        <v>503</v>
      </c>
      <c r="C31" s="183"/>
      <c r="D31" s="183"/>
      <c r="E31" s="183"/>
    </row>
    <row r="32" spans="1:5" ht="14.1" customHeight="1" x14ac:dyDescent="0.3">
      <c r="B32" s="183" t="s">
        <v>504</v>
      </c>
      <c r="C32" s="183"/>
      <c r="D32" s="183"/>
      <c r="E32" s="183"/>
    </row>
    <row r="33" spans="1:5" ht="14.1" customHeight="1" x14ac:dyDescent="0.3">
      <c r="B33" s="183"/>
      <c r="C33" s="183"/>
      <c r="D33" s="183"/>
      <c r="E33" s="183"/>
    </row>
    <row r="34" spans="1:5" ht="14.1" customHeight="1" x14ac:dyDescent="0.3">
      <c r="A34" s="183" t="s">
        <v>197</v>
      </c>
      <c r="B34" s="345" t="s">
        <v>107</v>
      </c>
      <c r="C34" s="151"/>
      <c r="D34" s="151"/>
      <c r="E34" s="183"/>
    </row>
    <row r="35" spans="1:5" ht="14.1" customHeight="1" x14ac:dyDescent="0.3">
      <c r="B35" s="183" t="s">
        <v>510</v>
      </c>
      <c r="C35" s="151"/>
      <c r="D35" s="346">
        <f>1100*2</f>
        <v>2200</v>
      </c>
      <c r="E35" s="183"/>
    </row>
    <row r="36" spans="1:5" ht="14.1" customHeight="1" x14ac:dyDescent="0.3">
      <c r="B36" s="347" t="s">
        <v>511</v>
      </c>
      <c r="C36" s="348"/>
      <c r="D36" s="349">
        <f>50*1</f>
        <v>50</v>
      </c>
      <c r="E36" s="183"/>
    </row>
    <row r="37" spans="1:5" ht="14.1" customHeight="1" x14ac:dyDescent="0.3">
      <c r="B37" s="152" t="s">
        <v>512</v>
      </c>
      <c r="C37" s="152"/>
      <c r="D37" s="350">
        <f>D35-D36</f>
        <v>2150</v>
      </c>
      <c r="E37" s="183"/>
    </row>
    <row r="38" spans="1:5" ht="14.1" customHeight="1" x14ac:dyDescent="0.3">
      <c r="C38" s="149"/>
      <c r="D38" s="151"/>
      <c r="E38" s="183"/>
    </row>
    <row r="39" spans="1:5" ht="14.1" customHeight="1" x14ac:dyDescent="0.3">
      <c r="B39" s="351" t="s">
        <v>106</v>
      </c>
      <c r="C39" s="149"/>
      <c r="D39" s="151"/>
      <c r="E39" s="183"/>
    </row>
    <row r="40" spans="1:5" ht="14.1" customHeight="1" x14ac:dyDescent="0.3">
      <c r="B40" s="169" t="s">
        <v>513</v>
      </c>
      <c r="C40" s="151"/>
      <c r="D40" s="346">
        <f>1100*5</f>
        <v>5500</v>
      </c>
      <c r="E40" s="183"/>
    </row>
    <row r="41" spans="1:5" ht="14.1" customHeight="1" x14ac:dyDescent="0.3">
      <c r="B41" s="352" t="s">
        <v>514</v>
      </c>
      <c r="C41" s="348"/>
      <c r="D41" s="353">
        <f>50*5</f>
        <v>250</v>
      </c>
      <c r="E41" s="183"/>
    </row>
    <row r="42" spans="1:5" ht="14.1" customHeight="1" x14ac:dyDescent="0.3">
      <c r="B42" s="165" t="s">
        <v>515</v>
      </c>
      <c r="C42" s="152"/>
      <c r="D42" s="350">
        <f>D40-D41</f>
        <v>5250</v>
      </c>
      <c r="E42" s="183"/>
    </row>
    <row r="43" spans="1:5" ht="14.1" customHeight="1" x14ac:dyDescent="0.3">
      <c r="B43" s="183"/>
      <c r="C43" s="183"/>
      <c r="D43" s="183"/>
      <c r="E43" s="183"/>
    </row>
    <row r="44" spans="1:5" ht="14.1" customHeight="1" x14ac:dyDescent="0.3">
      <c r="B44" s="183"/>
      <c r="C44" s="183"/>
      <c r="D44" s="183"/>
      <c r="E44" s="183"/>
    </row>
    <row r="45" spans="1:5" ht="14.1" customHeight="1" x14ac:dyDescent="0.3">
      <c r="A45" s="149" t="s">
        <v>203</v>
      </c>
      <c r="B45" s="183" t="s">
        <v>505</v>
      </c>
      <c r="C45" s="183">
        <v>663960</v>
      </c>
      <c r="D45" s="183"/>
      <c r="E45" s="183"/>
    </row>
    <row r="46" spans="1:5" ht="14.1" customHeight="1" x14ac:dyDescent="0.3">
      <c r="B46" s="183" t="s">
        <v>118</v>
      </c>
      <c r="C46" s="183">
        <v>130</v>
      </c>
      <c r="D46" s="183"/>
      <c r="E46" s="183"/>
    </row>
    <row r="47" spans="1:5" ht="14.1" customHeight="1" x14ac:dyDescent="0.3">
      <c r="B47" s="183" t="s">
        <v>506</v>
      </c>
      <c r="C47" s="183">
        <v>5030</v>
      </c>
      <c r="D47" s="183"/>
      <c r="E47" s="183"/>
    </row>
    <row r="48" spans="1:5" ht="14.1" customHeight="1" x14ac:dyDescent="0.3">
      <c r="B48" s="183"/>
      <c r="C48" s="183"/>
      <c r="D48" s="183"/>
      <c r="E48" s="183"/>
    </row>
    <row r="49" spans="2:6" ht="14.1" customHeight="1" x14ac:dyDescent="0.3">
      <c r="B49" s="183" t="s">
        <v>507</v>
      </c>
      <c r="C49" s="183">
        <f>645280</f>
        <v>645280</v>
      </c>
      <c r="D49" s="183"/>
      <c r="E49" s="183"/>
    </row>
    <row r="50" spans="2:6" ht="14.1" customHeight="1" x14ac:dyDescent="0.3">
      <c r="B50" s="183" t="s">
        <v>508</v>
      </c>
      <c r="C50" s="183">
        <v>296</v>
      </c>
      <c r="D50" s="183"/>
      <c r="E50" s="183"/>
    </row>
    <row r="51" spans="2:6" ht="14.1" customHeight="1" x14ac:dyDescent="0.3">
      <c r="B51" s="183" t="s">
        <v>509</v>
      </c>
      <c r="C51" s="183">
        <f>C49/C50</f>
        <v>2180</v>
      </c>
      <c r="D51" s="183" t="s">
        <v>150</v>
      </c>
      <c r="E51" s="183"/>
    </row>
    <row r="52" spans="2:6" ht="14.1" customHeight="1" x14ac:dyDescent="0.3">
      <c r="B52" s="183" t="s">
        <v>117</v>
      </c>
      <c r="C52" s="183">
        <v>300</v>
      </c>
      <c r="D52" s="183"/>
      <c r="E52" s="183"/>
    </row>
    <row r="53" spans="2:6" ht="14.1" customHeight="1" x14ac:dyDescent="0.3">
      <c r="B53" s="183"/>
      <c r="C53" s="183"/>
      <c r="D53" s="183"/>
      <c r="E53" s="183"/>
    </row>
    <row r="54" spans="2:6" ht="14.1" customHeight="1" x14ac:dyDescent="0.3">
      <c r="B54" s="150" t="s">
        <v>81</v>
      </c>
      <c r="C54" s="149"/>
    </row>
    <row r="55" spans="2:6" ht="14.1" customHeight="1" x14ac:dyDescent="0.3">
      <c r="B55" s="194" t="s">
        <v>82</v>
      </c>
      <c r="C55" s="194" t="s">
        <v>720</v>
      </c>
      <c r="D55" s="194" t="s">
        <v>83</v>
      </c>
      <c r="E55" s="195" t="s">
        <v>141</v>
      </c>
      <c r="F55" s="195" t="s">
        <v>140</v>
      </c>
    </row>
    <row r="56" spans="2:6" ht="14.1" customHeight="1" x14ac:dyDescent="0.3">
      <c r="B56" s="15" t="s">
        <v>586</v>
      </c>
      <c r="C56" s="15" t="s">
        <v>587</v>
      </c>
      <c r="D56" s="15" t="s">
        <v>588</v>
      </c>
      <c r="E56" s="15" t="s">
        <v>589</v>
      </c>
      <c r="F56" s="15" t="s">
        <v>590</v>
      </c>
    </row>
    <row r="57" spans="2:6" ht="14.1" customHeight="1" x14ac:dyDescent="0.3">
      <c r="B57" s="196" t="s">
        <v>85</v>
      </c>
      <c r="C57" s="196" t="s">
        <v>212</v>
      </c>
      <c r="D57" s="196" t="s">
        <v>213</v>
      </c>
      <c r="E57" s="354"/>
      <c r="F57" s="355"/>
    </row>
    <row r="58" spans="2:6" ht="14.1" customHeight="1" x14ac:dyDescent="0.3">
      <c r="B58" s="168">
        <f>C46*D42</f>
        <v>682500</v>
      </c>
      <c r="C58" s="168">
        <f>C47*C46</f>
        <v>653900</v>
      </c>
      <c r="D58" s="168">
        <f>C45</f>
        <v>663960</v>
      </c>
      <c r="E58" s="168">
        <f>B58-C58</f>
        <v>28600</v>
      </c>
      <c r="F58" s="168">
        <f>C58-D58</f>
        <v>-10060</v>
      </c>
    </row>
    <row r="61" spans="2:6" ht="14.1" customHeight="1" x14ac:dyDescent="0.3">
      <c r="B61" s="199" t="s">
        <v>214</v>
      </c>
      <c r="C61" s="198"/>
      <c r="D61" s="198"/>
      <c r="E61" s="198"/>
      <c r="F61" s="198"/>
    </row>
    <row r="62" spans="2:6" ht="14.1" customHeight="1" x14ac:dyDescent="0.3">
      <c r="B62" s="194" t="s">
        <v>82</v>
      </c>
      <c r="C62" s="194" t="s">
        <v>720</v>
      </c>
      <c r="D62" s="356" t="s">
        <v>83</v>
      </c>
      <c r="E62" s="356" t="s">
        <v>79</v>
      </c>
      <c r="F62" s="194" t="s">
        <v>78</v>
      </c>
    </row>
    <row r="63" spans="2:6" ht="14.1" customHeight="1" x14ac:dyDescent="0.3">
      <c r="B63" s="15" t="s">
        <v>586</v>
      </c>
      <c r="C63" s="15" t="s">
        <v>591</v>
      </c>
      <c r="D63" s="15" t="s">
        <v>588</v>
      </c>
      <c r="E63" s="15" t="s">
        <v>589</v>
      </c>
      <c r="F63" s="15" t="s">
        <v>590</v>
      </c>
    </row>
    <row r="64" spans="2:6" ht="14.1" customHeight="1" x14ac:dyDescent="0.3">
      <c r="B64" s="196" t="s">
        <v>215</v>
      </c>
      <c r="C64" s="196" t="s">
        <v>216</v>
      </c>
      <c r="D64" s="196" t="s">
        <v>217</v>
      </c>
      <c r="E64" s="354"/>
      <c r="F64" s="355"/>
    </row>
    <row r="65" spans="1:7" ht="14.1" customHeight="1" x14ac:dyDescent="0.3">
      <c r="B65" s="168">
        <f>C52*D37</f>
        <v>645000</v>
      </c>
      <c r="C65" s="168">
        <f>C52*C51</f>
        <v>654000</v>
      </c>
      <c r="D65" s="168">
        <f>C49</f>
        <v>645280</v>
      </c>
      <c r="E65" s="168">
        <f>B65-C65</f>
        <v>-9000</v>
      </c>
      <c r="F65" s="168">
        <f>C65-D65</f>
        <v>8720</v>
      </c>
    </row>
    <row r="67" spans="1:7" ht="14.1" customHeight="1" x14ac:dyDescent="0.3">
      <c r="B67" s="183" t="s">
        <v>491</v>
      </c>
    </row>
    <row r="70" spans="1:7" ht="14.1" customHeight="1" x14ac:dyDescent="0.3">
      <c r="A70" s="149" t="s">
        <v>204</v>
      </c>
      <c r="B70" s="357"/>
      <c r="C70" s="980" t="s">
        <v>173</v>
      </c>
      <c r="D70" s="981"/>
      <c r="E70" s="982"/>
      <c r="F70" s="172" t="s">
        <v>199</v>
      </c>
      <c r="G70" s="172" t="s">
        <v>263</v>
      </c>
    </row>
    <row r="71" spans="1:7" ht="14.1" customHeight="1" x14ac:dyDescent="0.3">
      <c r="B71" s="387"/>
      <c r="C71" s="175" t="s">
        <v>175</v>
      </c>
      <c r="D71" s="172" t="s">
        <v>176</v>
      </c>
      <c r="E71" s="176" t="s">
        <v>145</v>
      </c>
      <c r="F71" s="177" t="s">
        <v>193</v>
      </c>
      <c r="G71" s="177" t="s">
        <v>84</v>
      </c>
    </row>
    <row r="72" spans="1:7" ht="14.1" customHeight="1" x14ac:dyDescent="0.3">
      <c r="B72" s="203" t="s">
        <v>96</v>
      </c>
      <c r="C72" s="187"/>
      <c r="D72" s="358"/>
      <c r="E72" s="187">
        <v>2070000</v>
      </c>
      <c r="F72" s="359">
        <f>E72</f>
        <v>2070000</v>
      </c>
      <c r="G72" s="187"/>
    </row>
    <row r="73" spans="1:7" ht="14.1" customHeight="1" x14ac:dyDescent="0.3">
      <c r="B73" s="203"/>
      <c r="C73" s="188"/>
      <c r="D73" s="360"/>
      <c r="E73" s="188"/>
      <c r="F73" s="346"/>
      <c r="G73" s="188"/>
    </row>
    <row r="74" spans="1:7" ht="14.1" customHeight="1" x14ac:dyDescent="0.3">
      <c r="B74" s="203" t="s">
        <v>88</v>
      </c>
      <c r="C74" s="188">
        <f>D42</f>
        <v>5250</v>
      </c>
      <c r="D74" s="360">
        <f>C46</f>
        <v>130</v>
      </c>
      <c r="E74" s="188">
        <f>C74*D74</f>
        <v>682500</v>
      </c>
      <c r="F74" s="346">
        <f>D58</f>
        <v>663960</v>
      </c>
      <c r="G74" s="188">
        <f>E74-F74</f>
        <v>18540</v>
      </c>
    </row>
    <row r="75" spans="1:7" ht="14.1" customHeight="1" x14ac:dyDescent="0.3">
      <c r="B75" s="203" t="s">
        <v>90</v>
      </c>
      <c r="C75" s="188">
        <f>D37</f>
        <v>2150</v>
      </c>
      <c r="D75" s="360">
        <f>C52</f>
        <v>300</v>
      </c>
      <c r="E75" s="188">
        <f>C75*D75</f>
        <v>645000</v>
      </c>
      <c r="F75" s="346">
        <f>D65</f>
        <v>645280</v>
      </c>
      <c r="G75" s="188">
        <f>E75-F75</f>
        <v>-280</v>
      </c>
    </row>
    <row r="76" spans="1:7" ht="14.1" customHeight="1" x14ac:dyDescent="0.3">
      <c r="B76" s="203"/>
      <c r="C76" s="188"/>
      <c r="D76" s="360"/>
      <c r="E76" s="188"/>
      <c r="F76" s="192"/>
      <c r="G76" s="190"/>
    </row>
    <row r="77" spans="1:7" ht="14.1" customHeight="1" x14ac:dyDescent="0.3">
      <c r="B77" s="361" t="s">
        <v>264</v>
      </c>
      <c r="C77" s="188"/>
      <c r="D77" s="360"/>
      <c r="E77" s="188"/>
      <c r="F77" s="192"/>
      <c r="G77" s="191">
        <f>SUM(G74:G75)</f>
        <v>18260</v>
      </c>
    </row>
    <row r="78" spans="1:7" ht="14.1" customHeight="1" x14ac:dyDescent="0.3">
      <c r="B78" s="362" t="s">
        <v>267</v>
      </c>
      <c r="C78" s="189">
        <f>C75</f>
        <v>2150</v>
      </c>
      <c r="D78" s="363">
        <v>25</v>
      </c>
      <c r="E78" s="189">
        <f>C78*D78</f>
        <v>53750</v>
      </c>
      <c r="F78" s="192">
        <v>49500</v>
      </c>
      <c r="G78" s="192">
        <f>E78-F78</f>
        <v>4250</v>
      </c>
    </row>
    <row r="79" spans="1:7" ht="14.1" customHeight="1" x14ac:dyDescent="0.3">
      <c r="B79" s="173" t="s">
        <v>152</v>
      </c>
      <c r="C79" s="188"/>
      <c r="D79" s="346"/>
      <c r="E79" s="360">
        <f>SUM(E74:E78)</f>
        <v>1381250</v>
      </c>
      <c r="F79" s="188"/>
      <c r="G79" s="192"/>
    </row>
    <row r="80" spans="1:7" ht="14.1" customHeight="1" x14ac:dyDescent="0.3">
      <c r="B80" s="181" t="s">
        <v>153</v>
      </c>
      <c r="C80" s="189">
        <v>50</v>
      </c>
      <c r="D80" s="364">
        <f>C102</f>
        <v>975</v>
      </c>
      <c r="E80" s="363">
        <f>C80*D80</f>
        <v>48750</v>
      </c>
      <c r="F80" s="188">
        <f>E80</f>
        <v>48750</v>
      </c>
      <c r="G80" s="192"/>
    </row>
    <row r="81" spans="2:7" ht="14.1" customHeight="1" x14ac:dyDescent="0.3">
      <c r="B81" s="173" t="s">
        <v>154</v>
      </c>
      <c r="C81" s="188"/>
      <c r="D81" s="346"/>
      <c r="E81" s="360">
        <f>SUM(E79:E80)</f>
        <v>1430000</v>
      </c>
      <c r="F81" s="188"/>
      <c r="G81" s="192"/>
    </row>
    <row r="82" spans="2:7" ht="14.1" customHeight="1" x14ac:dyDescent="0.3">
      <c r="B82" s="181" t="s">
        <v>350</v>
      </c>
      <c r="C82" s="189">
        <v>50</v>
      </c>
      <c r="D82" s="364">
        <f>C7</f>
        <v>1300</v>
      </c>
      <c r="E82" s="363">
        <f>C82*D82</f>
        <v>65000</v>
      </c>
      <c r="F82" s="188">
        <f>E82</f>
        <v>65000</v>
      </c>
      <c r="G82" s="192"/>
    </row>
    <row r="83" spans="2:7" ht="14.1" customHeight="1" x14ac:dyDescent="0.3">
      <c r="B83" s="173" t="s">
        <v>156</v>
      </c>
      <c r="C83" s="188"/>
      <c r="D83" s="346"/>
      <c r="E83" s="360">
        <f>SUM(E81:E82)</f>
        <v>1495000</v>
      </c>
      <c r="F83" s="188"/>
      <c r="G83" s="192"/>
    </row>
    <row r="84" spans="2:7" ht="14.1" customHeight="1" x14ac:dyDescent="0.3">
      <c r="B84" s="181" t="s">
        <v>157</v>
      </c>
      <c r="C84" s="189">
        <v>1150</v>
      </c>
      <c r="D84" s="364">
        <v>70</v>
      </c>
      <c r="E84" s="363">
        <f>C84*D84</f>
        <v>80500</v>
      </c>
      <c r="F84" s="188">
        <v>80500</v>
      </c>
      <c r="G84" s="192">
        <f>E84-F84</f>
        <v>0</v>
      </c>
    </row>
    <row r="85" spans="2:7" ht="14.1" customHeight="1" x14ac:dyDescent="0.3">
      <c r="B85" s="173" t="s">
        <v>158</v>
      </c>
      <c r="C85" s="188"/>
      <c r="D85" s="346"/>
      <c r="E85" s="360">
        <f>SUM(E83:E84)</f>
        <v>1575500</v>
      </c>
      <c r="F85" s="188"/>
      <c r="G85" s="192"/>
    </row>
    <row r="86" spans="2:7" ht="14.1" customHeight="1" x14ac:dyDescent="0.3">
      <c r="B86" s="181"/>
      <c r="C86" s="189"/>
      <c r="D86" s="364"/>
      <c r="E86" s="363"/>
      <c r="F86" s="188"/>
      <c r="G86" s="192"/>
    </row>
    <row r="87" spans="2:7" ht="14.1" customHeight="1" x14ac:dyDescent="0.3">
      <c r="B87" s="173" t="s">
        <v>159</v>
      </c>
      <c r="C87" s="188"/>
      <c r="D87" s="346"/>
      <c r="E87" s="360">
        <f>E72-E85</f>
        <v>494500</v>
      </c>
      <c r="F87" s="188"/>
      <c r="G87" s="192"/>
    </row>
    <row r="88" spans="2:7" ht="14.1" customHeight="1" x14ac:dyDescent="0.3">
      <c r="B88" s="173" t="s">
        <v>160</v>
      </c>
      <c r="C88" s="188"/>
      <c r="D88" s="346"/>
      <c r="E88" s="360">
        <f>G88</f>
        <v>4250</v>
      </c>
      <c r="F88" s="188"/>
      <c r="G88" s="192">
        <f>SUM(G78:G84)</f>
        <v>4250</v>
      </c>
    </row>
    <row r="89" spans="2:7" ht="14.1" customHeight="1" x14ac:dyDescent="0.3">
      <c r="B89" s="181" t="s">
        <v>179</v>
      </c>
      <c r="C89" s="365"/>
      <c r="D89" s="353"/>
      <c r="E89" s="363">
        <f>G77</f>
        <v>18260</v>
      </c>
      <c r="F89" s="366"/>
      <c r="G89" s="367"/>
    </row>
    <row r="90" spans="2:7" ht="14.1" customHeight="1" x14ac:dyDescent="0.3">
      <c r="B90" s="173" t="s">
        <v>161</v>
      </c>
      <c r="C90" s="366"/>
      <c r="D90" s="368"/>
      <c r="E90" s="360">
        <f>SUM(E87:E89)</f>
        <v>517010</v>
      </c>
      <c r="F90" s="188"/>
      <c r="G90" s="367"/>
    </row>
    <row r="91" spans="2:7" ht="14.1" customHeight="1" x14ac:dyDescent="0.3">
      <c r="B91" s="180" t="s">
        <v>162</v>
      </c>
      <c r="C91" s="366"/>
      <c r="D91" s="368"/>
      <c r="E91" s="369"/>
      <c r="F91" s="366"/>
      <c r="G91" s="370" t="s">
        <v>516</v>
      </c>
    </row>
    <row r="92" spans="2:7" ht="14.1" customHeight="1" x14ac:dyDescent="0.3">
      <c r="B92" s="173" t="s">
        <v>267</v>
      </c>
      <c r="C92" s="366"/>
      <c r="D92" s="368"/>
      <c r="E92" s="360">
        <v>215000</v>
      </c>
      <c r="F92" s="188">
        <v>236000</v>
      </c>
      <c r="G92" s="192">
        <f>E92-F92</f>
        <v>-21000</v>
      </c>
    </row>
    <row r="93" spans="2:7" ht="14.1" customHeight="1" x14ac:dyDescent="0.3">
      <c r="B93" s="173" t="s">
        <v>157</v>
      </c>
      <c r="C93" s="366"/>
      <c r="D93" s="368"/>
      <c r="E93" s="360">
        <v>165000</v>
      </c>
      <c r="F93" s="188">
        <v>161000</v>
      </c>
      <c r="G93" s="192">
        <f>E93-F93</f>
        <v>4000</v>
      </c>
    </row>
    <row r="94" spans="2:7" ht="14.1" customHeight="1" x14ac:dyDescent="0.3">
      <c r="B94" s="173" t="s">
        <v>164</v>
      </c>
      <c r="C94" s="366"/>
      <c r="D94" s="368"/>
      <c r="E94" s="360">
        <f>G94</f>
        <v>-17000</v>
      </c>
      <c r="F94" s="365"/>
      <c r="G94" s="191">
        <f>SUM(G92:G93)</f>
        <v>-17000</v>
      </c>
    </row>
    <row r="95" spans="2:7" ht="14.1" customHeight="1" x14ac:dyDescent="0.3">
      <c r="B95" s="167" t="s">
        <v>187</v>
      </c>
      <c r="C95" s="371"/>
      <c r="D95" s="372"/>
      <c r="E95" s="373">
        <f>E90-E92-E93+E94</f>
        <v>120010</v>
      </c>
      <c r="F95" s="189">
        <f>F72-F74-F75-F78-F80-F82-F84-F92-F93</f>
        <v>120010</v>
      </c>
      <c r="G95" s="374"/>
    </row>
    <row r="97" spans="1:7" ht="14.1" customHeight="1" x14ac:dyDescent="0.3">
      <c r="B97" s="149" t="s">
        <v>517</v>
      </c>
    </row>
    <row r="98" spans="1:7" ht="14.1" customHeight="1" x14ac:dyDescent="0.3">
      <c r="B98" s="149" t="str">
        <f>B3</f>
        <v>Direkte materialer:</v>
      </c>
      <c r="C98" s="334">
        <f>C3</f>
        <v>650</v>
      </c>
    </row>
    <row r="99" spans="1:7" ht="14.1" customHeight="1" x14ac:dyDescent="0.3">
      <c r="B99" s="149" t="str">
        <f>B4</f>
        <v>Direkte lønn:</v>
      </c>
      <c r="C99" s="334">
        <f>C4/2</f>
        <v>300</v>
      </c>
    </row>
    <row r="100" spans="1:7" ht="14.1" customHeight="1" x14ac:dyDescent="0.3">
      <c r="B100" s="375" t="str">
        <f>B5</f>
        <v>Indirekte kostnader:</v>
      </c>
    </row>
    <row r="101" spans="1:7" ht="14.1" customHeight="1" x14ac:dyDescent="0.3">
      <c r="B101" s="149" t="str">
        <f>B6</f>
        <v>Tilvirkningsavdelingen:</v>
      </c>
      <c r="C101" s="334">
        <f>C6/2</f>
        <v>25</v>
      </c>
    </row>
    <row r="102" spans="1:7" ht="14.1" customHeight="1" x14ac:dyDescent="0.3">
      <c r="B102" s="165" t="str">
        <f>B7</f>
        <v>Tilvirkningsmerkost</v>
      </c>
      <c r="C102" s="376">
        <f>SUM(C98:C101)</f>
        <v>975</v>
      </c>
    </row>
    <row r="105" spans="1:7" ht="34.5" customHeight="1" x14ac:dyDescent="0.3">
      <c r="A105" s="149" t="s">
        <v>518</v>
      </c>
      <c r="C105" s="866" t="s">
        <v>271</v>
      </c>
      <c r="D105" s="867" t="s">
        <v>269</v>
      </c>
      <c r="E105" s="867" t="s">
        <v>270</v>
      </c>
      <c r="F105" s="868" t="s">
        <v>398</v>
      </c>
      <c r="G105" s="868" t="s">
        <v>399</v>
      </c>
    </row>
    <row r="106" spans="1:7" ht="28.5" customHeight="1" x14ac:dyDescent="0.3">
      <c r="B106" s="377"/>
      <c r="C106" s="869" t="s">
        <v>466</v>
      </c>
      <c r="D106" s="869" t="s">
        <v>467</v>
      </c>
      <c r="E106" s="869"/>
      <c r="F106" s="869" t="s">
        <v>296</v>
      </c>
      <c r="G106" s="869" t="s">
        <v>297</v>
      </c>
    </row>
    <row r="107" spans="1:7" ht="14.1" customHeight="1" x14ac:dyDescent="0.3">
      <c r="B107" s="377" t="s">
        <v>267</v>
      </c>
      <c r="C107" s="207">
        <f>E78</f>
        <v>53750</v>
      </c>
      <c r="D107" s="207">
        <f>C51*D78</f>
        <v>54500</v>
      </c>
      <c r="E107" s="207">
        <f>F78</f>
        <v>49500</v>
      </c>
      <c r="F107" s="207">
        <f>C107-D107</f>
        <v>-750</v>
      </c>
      <c r="G107" s="207">
        <f>D107-E107</f>
        <v>5000</v>
      </c>
    </row>
    <row r="109" spans="1:7" ht="14.1" customHeight="1" x14ac:dyDescent="0.3">
      <c r="B109" s="149" t="s">
        <v>519</v>
      </c>
    </row>
    <row r="110" spans="1:7" ht="14.1" customHeight="1" x14ac:dyDescent="0.3">
      <c r="B110" s="149" t="s">
        <v>520</v>
      </c>
    </row>
    <row r="112" spans="1:7" ht="14.1" customHeight="1" x14ac:dyDescent="0.3">
      <c r="B112" s="149" t="s">
        <v>521</v>
      </c>
    </row>
    <row r="113" spans="2:2" ht="14.1" customHeight="1" x14ac:dyDescent="0.3">
      <c r="B113" s="149" t="s">
        <v>522</v>
      </c>
    </row>
    <row r="114" spans="2:2" ht="14.1" customHeight="1" x14ac:dyDescent="0.3">
      <c r="B114" s="149" t="s">
        <v>523</v>
      </c>
    </row>
    <row r="115" spans="2:2" ht="14.1" customHeight="1" x14ac:dyDescent="0.3">
      <c r="B115" s="149" t="s">
        <v>524</v>
      </c>
    </row>
  </sheetData>
  <mergeCells count="1">
    <mergeCell ref="C70:E70"/>
  </mergeCells>
  <phoneticPr fontId="42" type="noConversion"/>
  <pageMargins left="0.78740157480314965" right="0.78740157480314965" top="0.98425196850393704" bottom="0.98425196850393704" header="0.51181102362204722" footer="0.51181102362204722"/>
  <pageSetup paperSize="9" scale="86" fitToHeight="2" orientation="portrait" r:id="rId1"/>
  <headerFooter alignWithMargins="0">
    <oddHeader>&amp;C&amp;A</oddHeader>
    <oddFooter>&amp;CLøsning kapittel 5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pageSetUpPr fitToPage="1"/>
  </sheetPr>
  <dimension ref="A1:I179"/>
  <sheetViews>
    <sheetView showGridLines="0" zoomScale="218" zoomScaleNormal="100" workbookViewId="0">
      <selection activeCell="B135" sqref="B135"/>
    </sheetView>
  </sheetViews>
  <sheetFormatPr baseColWidth="10" defaultRowHeight="13.8" x14ac:dyDescent="0.25"/>
  <cols>
    <col min="1" max="1" width="4.33203125" style="35" customWidth="1"/>
    <col min="2" max="4" width="11.109375" style="35" customWidth="1"/>
    <col min="5" max="5" width="12.109375" style="36" customWidth="1"/>
    <col min="6" max="6" width="11.109375" style="36" customWidth="1"/>
    <col min="7" max="9" width="11.109375" style="35" customWidth="1"/>
    <col min="10" max="255" width="10.88671875" style="35"/>
    <col min="256" max="256" width="4.33203125" style="35" customWidth="1"/>
    <col min="257" max="259" width="10.109375" style="35" customWidth="1"/>
    <col min="260" max="261" width="10.33203125" style="35" customWidth="1"/>
    <col min="262" max="264" width="10.109375" style="35" customWidth="1"/>
    <col min="265" max="511" width="10.88671875" style="35"/>
    <col min="512" max="512" width="4.33203125" style="35" customWidth="1"/>
    <col min="513" max="515" width="10.109375" style="35" customWidth="1"/>
    <col min="516" max="517" width="10.33203125" style="35" customWidth="1"/>
    <col min="518" max="520" width="10.109375" style="35" customWidth="1"/>
    <col min="521" max="767" width="10.88671875" style="35"/>
    <col min="768" max="768" width="4.33203125" style="35" customWidth="1"/>
    <col min="769" max="771" width="10.109375" style="35" customWidth="1"/>
    <col min="772" max="773" width="10.33203125" style="35" customWidth="1"/>
    <col min="774" max="776" width="10.109375" style="35" customWidth="1"/>
    <col min="777" max="1023" width="10.88671875" style="35"/>
    <col min="1024" max="1024" width="4.33203125" style="35" customWidth="1"/>
    <col min="1025" max="1027" width="10.109375" style="35" customWidth="1"/>
    <col min="1028" max="1029" width="10.33203125" style="35" customWidth="1"/>
    <col min="1030" max="1032" width="10.109375" style="35" customWidth="1"/>
    <col min="1033" max="1279" width="10.88671875" style="35"/>
    <col min="1280" max="1280" width="4.33203125" style="35" customWidth="1"/>
    <col min="1281" max="1283" width="10.109375" style="35" customWidth="1"/>
    <col min="1284" max="1285" width="10.33203125" style="35" customWidth="1"/>
    <col min="1286" max="1288" width="10.109375" style="35" customWidth="1"/>
    <col min="1289" max="1535" width="10.88671875" style="35"/>
    <col min="1536" max="1536" width="4.33203125" style="35" customWidth="1"/>
    <col min="1537" max="1539" width="10.109375" style="35" customWidth="1"/>
    <col min="1540" max="1541" width="10.33203125" style="35" customWidth="1"/>
    <col min="1542" max="1544" width="10.109375" style="35" customWidth="1"/>
    <col min="1545" max="1791" width="10.88671875" style="35"/>
    <col min="1792" max="1792" width="4.33203125" style="35" customWidth="1"/>
    <col min="1793" max="1795" width="10.109375" style="35" customWidth="1"/>
    <col min="1796" max="1797" width="10.33203125" style="35" customWidth="1"/>
    <col min="1798" max="1800" width="10.109375" style="35" customWidth="1"/>
    <col min="1801" max="2047" width="10.88671875" style="35"/>
    <col min="2048" max="2048" width="4.33203125" style="35" customWidth="1"/>
    <col min="2049" max="2051" width="10.109375" style="35" customWidth="1"/>
    <col min="2052" max="2053" width="10.33203125" style="35" customWidth="1"/>
    <col min="2054" max="2056" width="10.109375" style="35" customWidth="1"/>
    <col min="2057" max="2303" width="10.88671875" style="35"/>
    <col min="2304" max="2304" width="4.33203125" style="35" customWidth="1"/>
    <col min="2305" max="2307" width="10.109375" style="35" customWidth="1"/>
    <col min="2308" max="2309" width="10.33203125" style="35" customWidth="1"/>
    <col min="2310" max="2312" width="10.109375" style="35" customWidth="1"/>
    <col min="2313" max="2559" width="10.88671875" style="35"/>
    <col min="2560" max="2560" width="4.33203125" style="35" customWidth="1"/>
    <col min="2561" max="2563" width="10.109375" style="35" customWidth="1"/>
    <col min="2564" max="2565" width="10.33203125" style="35" customWidth="1"/>
    <col min="2566" max="2568" width="10.109375" style="35" customWidth="1"/>
    <col min="2569" max="2815" width="10.88671875" style="35"/>
    <col min="2816" max="2816" width="4.33203125" style="35" customWidth="1"/>
    <col min="2817" max="2819" width="10.109375" style="35" customWidth="1"/>
    <col min="2820" max="2821" width="10.33203125" style="35" customWidth="1"/>
    <col min="2822" max="2824" width="10.109375" style="35" customWidth="1"/>
    <col min="2825" max="3071" width="10.88671875" style="35"/>
    <col min="3072" max="3072" width="4.33203125" style="35" customWidth="1"/>
    <col min="3073" max="3075" width="10.109375" style="35" customWidth="1"/>
    <col min="3076" max="3077" width="10.33203125" style="35" customWidth="1"/>
    <col min="3078" max="3080" width="10.109375" style="35" customWidth="1"/>
    <col min="3081" max="3327" width="10.88671875" style="35"/>
    <col min="3328" max="3328" width="4.33203125" style="35" customWidth="1"/>
    <col min="3329" max="3331" width="10.109375" style="35" customWidth="1"/>
    <col min="3332" max="3333" width="10.33203125" style="35" customWidth="1"/>
    <col min="3334" max="3336" width="10.109375" style="35" customWidth="1"/>
    <col min="3337" max="3583" width="10.88671875" style="35"/>
    <col min="3584" max="3584" width="4.33203125" style="35" customWidth="1"/>
    <col min="3585" max="3587" width="10.109375" style="35" customWidth="1"/>
    <col min="3588" max="3589" width="10.33203125" style="35" customWidth="1"/>
    <col min="3590" max="3592" width="10.109375" style="35" customWidth="1"/>
    <col min="3593" max="3839" width="10.88671875" style="35"/>
    <col min="3840" max="3840" width="4.33203125" style="35" customWidth="1"/>
    <col min="3841" max="3843" width="10.109375" style="35" customWidth="1"/>
    <col min="3844" max="3845" width="10.33203125" style="35" customWidth="1"/>
    <col min="3846" max="3848" width="10.109375" style="35" customWidth="1"/>
    <col min="3849" max="4095" width="10.88671875" style="35"/>
    <col min="4096" max="4096" width="4.33203125" style="35" customWidth="1"/>
    <col min="4097" max="4099" width="10.109375" style="35" customWidth="1"/>
    <col min="4100" max="4101" width="10.33203125" style="35" customWidth="1"/>
    <col min="4102" max="4104" width="10.109375" style="35" customWidth="1"/>
    <col min="4105" max="4351" width="10.88671875" style="35"/>
    <col min="4352" max="4352" width="4.33203125" style="35" customWidth="1"/>
    <col min="4353" max="4355" width="10.109375" style="35" customWidth="1"/>
    <col min="4356" max="4357" width="10.33203125" style="35" customWidth="1"/>
    <col min="4358" max="4360" width="10.109375" style="35" customWidth="1"/>
    <col min="4361" max="4607" width="10.88671875" style="35"/>
    <col min="4608" max="4608" width="4.33203125" style="35" customWidth="1"/>
    <col min="4609" max="4611" width="10.109375" style="35" customWidth="1"/>
    <col min="4612" max="4613" width="10.33203125" style="35" customWidth="1"/>
    <col min="4614" max="4616" width="10.109375" style="35" customWidth="1"/>
    <col min="4617" max="4863" width="10.88671875" style="35"/>
    <col min="4864" max="4864" width="4.33203125" style="35" customWidth="1"/>
    <col min="4865" max="4867" width="10.109375" style="35" customWidth="1"/>
    <col min="4868" max="4869" width="10.33203125" style="35" customWidth="1"/>
    <col min="4870" max="4872" width="10.109375" style="35" customWidth="1"/>
    <col min="4873" max="5119" width="10.88671875" style="35"/>
    <col min="5120" max="5120" width="4.33203125" style="35" customWidth="1"/>
    <col min="5121" max="5123" width="10.109375" style="35" customWidth="1"/>
    <col min="5124" max="5125" width="10.33203125" style="35" customWidth="1"/>
    <col min="5126" max="5128" width="10.109375" style="35" customWidth="1"/>
    <col min="5129" max="5375" width="10.88671875" style="35"/>
    <col min="5376" max="5376" width="4.33203125" style="35" customWidth="1"/>
    <col min="5377" max="5379" width="10.109375" style="35" customWidth="1"/>
    <col min="5380" max="5381" width="10.33203125" style="35" customWidth="1"/>
    <col min="5382" max="5384" width="10.109375" style="35" customWidth="1"/>
    <col min="5385" max="5631" width="10.88671875" style="35"/>
    <col min="5632" max="5632" width="4.33203125" style="35" customWidth="1"/>
    <col min="5633" max="5635" width="10.109375" style="35" customWidth="1"/>
    <col min="5636" max="5637" width="10.33203125" style="35" customWidth="1"/>
    <col min="5638" max="5640" width="10.109375" style="35" customWidth="1"/>
    <col min="5641" max="5887" width="10.88671875" style="35"/>
    <col min="5888" max="5888" width="4.33203125" style="35" customWidth="1"/>
    <col min="5889" max="5891" width="10.109375" style="35" customWidth="1"/>
    <col min="5892" max="5893" width="10.33203125" style="35" customWidth="1"/>
    <col min="5894" max="5896" width="10.109375" style="35" customWidth="1"/>
    <col min="5897" max="6143" width="10.88671875" style="35"/>
    <col min="6144" max="6144" width="4.33203125" style="35" customWidth="1"/>
    <col min="6145" max="6147" width="10.109375" style="35" customWidth="1"/>
    <col min="6148" max="6149" width="10.33203125" style="35" customWidth="1"/>
    <col min="6150" max="6152" width="10.109375" style="35" customWidth="1"/>
    <col min="6153" max="6399" width="10.88671875" style="35"/>
    <col min="6400" max="6400" width="4.33203125" style="35" customWidth="1"/>
    <col min="6401" max="6403" width="10.109375" style="35" customWidth="1"/>
    <col min="6404" max="6405" width="10.33203125" style="35" customWidth="1"/>
    <col min="6406" max="6408" width="10.109375" style="35" customWidth="1"/>
    <col min="6409" max="6655" width="10.88671875" style="35"/>
    <col min="6656" max="6656" width="4.33203125" style="35" customWidth="1"/>
    <col min="6657" max="6659" width="10.109375" style="35" customWidth="1"/>
    <col min="6660" max="6661" width="10.33203125" style="35" customWidth="1"/>
    <col min="6662" max="6664" width="10.109375" style="35" customWidth="1"/>
    <col min="6665" max="6911" width="10.88671875" style="35"/>
    <col min="6912" max="6912" width="4.33203125" style="35" customWidth="1"/>
    <col min="6913" max="6915" width="10.109375" style="35" customWidth="1"/>
    <col min="6916" max="6917" width="10.33203125" style="35" customWidth="1"/>
    <col min="6918" max="6920" width="10.109375" style="35" customWidth="1"/>
    <col min="6921" max="7167" width="10.88671875" style="35"/>
    <col min="7168" max="7168" width="4.33203125" style="35" customWidth="1"/>
    <col min="7169" max="7171" width="10.109375" style="35" customWidth="1"/>
    <col min="7172" max="7173" width="10.33203125" style="35" customWidth="1"/>
    <col min="7174" max="7176" width="10.109375" style="35" customWidth="1"/>
    <col min="7177" max="7423" width="10.88671875" style="35"/>
    <col min="7424" max="7424" width="4.33203125" style="35" customWidth="1"/>
    <col min="7425" max="7427" width="10.109375" style="35" customWidth="1"/>
    <col min="7428" max="7429" width="10.33203125" style="35" customWidth="1"/>
    <col min="7430" max="7432" width="10.109375" style="35" customWidth="1"/>
    <col min="7433" max="7679" width="10.88671875" style="35"/>
    <col min="7680" max="7680" width="4.33203125" style="35" customWidth="1"/>
    <col min="7681" max="7683" width="10.109375" style="35" customWidth="1"/>
    <col min="7684" max="7685" width="10.33203125" style="35" customWidth="1"/>
    <col min="7686" max="7688" width="10.109375" style="35" customWidth="1"/>
    <col min="7689" max="7935" width="10.88671875" style="35"/>
    <col min="7936" max="7936" width="4.33203125" style="35" customWidth="1"/>
    <col min="7937" max="7939" width="10.109375" style="35" customWidth="1"/>
    <col min="7940" max="7941" width="10.33203125" style="35" customWidth="1"/>
    <col min="7942" max="7944" width="10.109375" style="35" customWidth="1"/>
    <col min="7945" max="8191" width="10.88671875" style="35"/>
    <col min="8192" max="8192" width="4.33203125" style="35" customWidth="1"/>
    <col min="8193" max="8195" width="10.109375" style="35" customWidth="1"/>
    <col min="8196" max="8197" width="10.33203125" style="35" customWidth="1"/>
    <col min="8198" max="8200" width="10.109375" style="35" customWidth="1"/>
    <col min="8201" max="8447" width="10.88671875" style="35"/>
    <col min="8448" max="8448" width="4.33203125" style="35" customWidth="1"/>
    <col min="8449" max="8451" width="10.109375" style="35" customWidth="1"/>
    <col min="8452" max="8453" width="10.33203125" style="35" customWidth="1"/>
    <col min="8454" max="8456" width="10.109375" style="35" customWidth="1"/>
    <col min="8457" max="8703" width="10.88671875" style="35"/>
    <col min="8704" max="8704" width="4.33203125" style="35" customWidth="1"/>
    <col min="8705" max="8707" width="10.109375" style="35" customWidth="1"/>
    <col min="8708" max="8709" width="10.33203125" style="35" customWidth="1"/>
    <col min="8710" max="8712" width="10.109375" style="35" customWidth="1"/>
    <col min="8713" max="8959" width="10.88671875" style="35"/>
    <col min="8960" max="8960" width="4.33203125" style="35" customWidth="1"/>
    <col min="8961" max="8963" width="10.109375" style="35" customWidth="1"/>
    <col min="8964" max="8965" width="10.33203125" style="35" customWidth="1"/>
    <col min="8966" max="8968" width="10.109375" style="35" customWidth="1"/>
    <col min="8969" max="9215" width="10.88671875" style="35"/>
    <col min="9216" max="9216" width="4.33203125" style="35" customWidth="1"/>
    <col min="9217" max="9219" width="10.109375" style="35" customWidth="1"/>
    <col min="9220" max="9221" width="10.33203125" style="35" customWidth="1"/>
    <col min="9222" max="9224" width="10.109375" style="35" customWidth="1"/>
    <col min="9225" max="9471" width="10.88671875" style="35"/>
    <col min="9472" max="9472" width="4.33203125" style="35" customWidth="1"/>
    <col min="9473" max="9475" width="10.109375" style="35" customWidth="1"/>
    <col min="9476" max="9477" width="10.33203125" style="35" customWidth="1"/>
    <col min="9478" max="9480" width="10.109375" style="35" customWidth="1"/>
    <col min="9481" max="9727" width="10.88671875" style="35"/>
    <col min="9728" max="9728" width="4.33203125" style="35" customWidth="1"/>
    <col min="9729" max="9731" width="10.109375" style="35" customWidth="1"/>
    <col min="9732" max="9733" width="10.33203125" style="35" customWidth="1"/>
    <col min="9734" max="9736" width="10.109375" style="35" customWidth="1"/>
    <col min="9737" max="9983" width="10.88671875" style="35"/>
    <col min="9984" max="9984" width="4.33203125" style="35" customWidth="1"/>
    <col min="9985" max="9987" width="10.109375" style="35" customWidth="1"/>
    <col min="9988" max="9989" width="10.33203125" style="35" customWidth="1"/>
    <col min="9990" max="9992" width="10.109375" style="35" customWidth="1"/>
    <col min="9993" max="10239" width="10.88671875" style="35"/>
    <col min="10240" max="10240" width="4.33203125" style="35" customWidth="1"/>
    <col min="10241" max="10243" width="10.109375" style="35" customWidth="1"/>
    <col min="10244" max="10245" width="10.33203125" style="35" customWidth="1"/>
    <col min="10246" max="10248" width="10.109375" style="35" customWidth="1"/>
    <col min="10249" max="10495" width="10.88671875" style="35"/>
    <col min="10496" max="10496" width="4.33203125" style="35" customWidth="1"/>
    <col min="10497" max="10499" width="10.109375" style="35" customWidth="1"/>
    <col min="10500" max="10501" width="10.33203125" style="35" customWidth="1"/>
    <col min="10502" max="10504" width="10.109375" style="35" customWidth="1"/>
    <col min="10505" max="10751" width="10.88671875" style="35"/>
    <col min="10752" max="10752" width="4.33203125" style="35" customWidth="1"/>
    <col min="10753" max="10755" width="10.109375" style="35" customWidth="1"/>
    <col min="10756" max="10757" width="10.33203125" style="35" customWidth="1"/>
    <col min="10758" max="10760" width="10.109375" style="35" customWidth="1"/>
    <col min="10761" max="11007" width="10.88671875" style="35"/>
    <col min="11008" max="11008" width="4.33203125" style="35" customWidth="1"/>
    <col min="11009" max="11011" width="10.109375" style="35" customWidth="1"/>
    <col min="11012" max="11013" width="10.33203125" style="35" customWidth="1"/>
    <col min="11014" max="11016" width="10.109375" style="35" customWidth="1"/>
    <col min="11017" max="11263" width="10.88671875" style="35"/>
    <col min="11264" max="11264" width="4.33203125" style="35" customWidth="1"/>
    <col min="11265" max="11267" width="10.109375" style="35" customWidth="1"/>
    <col min="11268" max="11269" width="10.33203125" style="35" customWidth="1"/>
    <col min="11270" max="11272" width="10.109375" style="35" customWidth="1"/>
    <col min="11273" max="11519" width="10.88671875" style="35"/>
    <col min="11520" max="11520" width="4.33203125" style="35" customWidth="1"/>
    <col min="11521" max="11523" width="10.109375" style="35" customWidth="1"/>
    <col min="11524" max="11525" width="10.33203125" style="35" customWidth="1"/>
    <col min="11526" max="11528" width="10.109375" style="35" customWidth="1"/>
    <col min="11529" max="11775" width="10.88671875" style="35"/>
    <col min="11776" max="11776" width="4.33203125" style="35" customWidth="1"/>
    <col min="11777" max="11779" width="10.109375" style="35" customWidth="1"/>
    <col min="11780" max="11781" width="10.33203125" style="35" customWidth="1"/>
    <col min="11782" max="11784" width="10.109375" style="35" customWidth="1"/>
    <col min="11785" max="12031" width="10.88671875" style="35"/>
    <col min="12032" max="12032" width="4.33203125" style="35" customWidth="1"/>
    <col min="12033" max="12035" width="10.109375" style="35" customWidth="1"/>
    <col min="12036" max="12037" width="10.33203125" style="35" customWidth="1"/>
    <col min="12038" max="12040" width="10.109375" style="35" customWidth="1"/>
    <col min="12041" max="12287" width="10.88671875" style="35"/>
    <col min="12288" max="12288" width="4.33203125" style="35" customWidth="1"/>
    <col min="12289" max="12291" width="10.109375" style="35" customWidth="1"/>
    <col min="12292" max="12293" width="10.33203125" style="35" customWidth="1"/>
    <col min="12294" max="12296" width="10.109375" style="35" customWidth="1"/>
    <col min="12297" max="12543" width="10.88671875" style="35"/>
    <col min="12544" max="12544" width="4.33203125" style="35" customWidth="1"/>
    <col min="12545" max="12547" width="10.109375" style="35" customWidth="1"/>
    <col min="12548" max="12549" width="10.33203125" style="35" customWidth="1"/>
    <col min="12550" max="12552" width="10.109375" style="35" customWidth="1"/>
    <col min="12553" max="12799" width="10.88671875" style="35"/>
    <col min="12800" max="12800" width="4.33203125" style="35" customWidth="1"/>
    <col min="12801" max="12803" width="10.109375" style="35" customWidth="1"/>
    <col min="12804" max="12805" width="10.33203125" style="35" customWidth="1"/>
    <col min="12806" max="12808" width="10.109375" style="35" customWidth="1"/>
    <col min="12809" max="13055" width="10.88671875" style="35"/>
    <col min="13056" max="13056" width="4.33203125" style="35" customWidth="1"/>
    <col min="13057" max="13059" width="10.109375" style="35" customWidth="1"/>
    <col min="13060" max="13061" width="10.33203125" style="35" customWidth="1"/>
    <col min="13062" max="13064" width="10.109375" style="35" customWidth="1"/>
    <col min="13065" max="13311" width="10.88671875" style="35"/>
    <col min="13312" max="13312" width="4.33203125" style="35" customWidth="1"/>
    <col min="13313" max="13315" width="10.109375" style="35" customWidth="1"/>
    <col min="13316" max="13317" width="10.33203125" style="35" customWidth="1"/>
    <col min="13318" max="13320" width="10.109375" style="35" customWidth="1"/>
    <col min="13321" max="13567" width="10.88671875" style="35"/>
    <col min="13568" max="13568" width="4.33203125" style="35" customWidth="1"/>
    <col min="13569" max="13571" width="10.109375" style="35" customWidth="1"/>
    <col min="13572" max="13573" width="10.33203125" style="35" customWidth="1"/>
    <col min="13574" max="13576" width="10.109375" style="35" customWidth="1"/>
    <col min="13577" max="13823" width="10.88671875" style="35"/>
    <col min="13824" max="13824" width="4.33203125" style="35" customWidth="1"/>
    <col min="13825" max="13827" width="10.109375" style="35" customWidth="1"/>
    <col min="13828" max="13829" width="10.33203125" style="35" customWidth="1"/>
    <col min="13830" max="13832" width="10.109375" style="35" customWidth="1"/>
    <col min="13833" max="14079" width="10.88671875" style="35"/>
    <col min="14080" max="14080" width="4.33203125" style="35" customWidth="1"/>
    <col min="14081" max="14083" width="10.109375" style="35" customWidth="1"/>
    <col min="14084" max="14085" width="10.33203125" style="35" customWidth="1"/>
    <col min="14086" max="14088" width="10.109375" style="35" customWidth="1"/>
    <col min="14089" max="14335" width="10.88671875" style="35"/>
    <col min="14336" max="14336" width="4.33203125" style="35" customWidth="1"/>
    <col min="14337" max="14339" width="10.109375" style="35" customWidth="1"/>
    <col min="14340" max="14341" width="10.33203125" style="35" customWidth="1"/>
    <col min="14342" max="14344" width="10.109375" style="35" customWidth="1"/>
    <col min="14345" max="14591" width="10.88671875" style="35"/>
    <col min="14592" max="14592" width="4.33203125" style="35" customWidth="1"/>
    <col min="14593" max="14595" width="10.109375" style="35" customWidth="1"/>
    <col min="14596" max="14597" width="10.33203125" style="35" customWidth="1"/>
    <col min="14598" max="14600" width="10.109375" style="35" customWidth="1"/>
    <col min="14601" max="14847" width="10.88671875" style="35"/>
    <col min="14848" max="14848" width="4.33203125" style="35" customWidth="1"/>
    <col min="14849" max="14851" width="10.109375" style="35" customWidth="1"/>
    <col min="14852" max="14853" width="10.33203125" style="35" customWidth="1"/>
    <col min="14854" max="14856" width="10.109375" style="35" customWidth="1"/>
    <col min="14857" max="15103" width="10.88671875" style="35"/>
    <col min="15104" max="15104" width="4.33203125" style="35" customWidth="1"/>
    <col min="15105" max="15107" width="10.109375" style="35" customWidth="1"/>
    <col min="15108" max="15109" width="10.33203125" style="35" customWidth="1"/>
    <col min="15110" max="15112" width="10.109375" style="35" customWidth="1"/>
    <col min="15113" max="15359" width="10.88671875" style="35"/>
    <col min="15360" max="15360" width="4.33203125" style="35" customWidth="1"/>
    <col min="15361" max="15363" width="10.109375" style="35" customWidth="1"/>
    <col min="15364" max="15365" width="10.33203125" style="35" customWidth="1"/>
    <col min="15366" max="15368" width="10.109375" style="35" customWidth="1"/>
    <col min="15369" max="15615" width="10.88671875" style="35"/>
    <col min="15616" max="15616" width="4.33203125" style="35" customWidth="1"/>
    <col min="15617" max="15619" width="10.109375" style="35" customWidth="1"/>
    <col min="15620" max="15621" width="10.33203125" style="35" customWidth="1"/>
    <col min="15622" max="15624" width="10.109375" style="35" customWidth="1"/>
    <col min="15625" max="15871" width="10.88671875" style="35"/>
    <col min="15872" max="15872" width="4.33203125" style="35" customWidth="1"/>
    <col min="15873" max="15875" width="10.109375" style="35" customWidth="1"/>
    <col min="15876" max="15877" width="10.33203125" style="35" customWidth="1"/>
    <col min="15878" max="15880" width="10.109375" style="35" customWidth="1"/>
    <col min="15881" max="16127" width="10.88671875" style="35"/>
    <col min="16128" max="16128" width="4.33203125" style="35" customWidth="1"/>
    <col min="16129" max="16131" width="10.109375" style="35" customWidth="1"/>
    <col min="16132" max="16133" width="10.33203125" style="35" customWidth="1"/>
    <col min="16134" max="16136" width="10.109375" style="35" customWidth="1"/>
    <col min="16137" max="16384" width="10.88671875" style="35"/>
  </cols>
  <sheetData>
    <row r="1" spans="1:6" x14ac:dyDescent="0.25">
      <c r="A1" s="55" t="s">
        <v>188</v>
      </c>
      <c r="F1" s="35"/>
    </row>
    <row r="2" spans="1:6" x14ac:dyDescent="0.25">
      <c r="A2" s="55"/>
      <c r="F2" s="35"/>
    </row>
    <row r="3" spans="1:6" x14ac:dyDescent="0.25">
      <c r="A3" s="55" t="s">
        <v>251</v>
      </c>
      <c r="F3" s="35"/>
    </row>
    <row r="4" spans="1:6" x14ac:dyDescent="0.25">
      <c r="E4" s="35"/>
      <c r="F4" s="35"/>
    </row>
    <row r="5" spans="1:6" x14ac:dyDescent="0.25">
      <c r="B5" s="39" t="s">
        <v>113</v>
      </c>
      <c r="E5" s="40">
        <v>400</v>
      </c>
      <c r="F5" s="35"/>
    </row>
    <row r="6" spans="1:6" x14ac:dyDescent="0.25">
      <c r="B6" s="35" t="s">
        <v>114</v>
      </c>
      <c r="E6" s="38">
        <v>450</v>
      </c>
      <c r="F6" s="35"/>
    </row>
    <row r="7" spans="1:6" x14ac:dyDescent="0.25">
      <c r="E7" s="38"/>
      <c r="F7" s="35"/>
    </row>
    <row r="8" spans="1:6" x14ac:dyDescent="0.25">
      <c r="B8" s="41" t="s">
        <v>115</v>
      </c>
      <c r="E8" s="42">
        <v>1.5</v>
      </c>
      <c r="F8" s="35"/>
    </row>
    <row r="9" spans="1:6" x14ac:dyDescent="0.25">
      <c r="B9" s="35" t="s">
        <v>116</v>
      </c>
      <c r="E9" s="37">
        <v>1</v>
      </c>
      <c r="F9" s="35"/>
    </row>
    <row r="10" spans="1:6" x14ac:dyDescent="0.25">
      <c r="B10" s="35" t="s">
        <v>117</v>
      </c>
      <c r="E10" s="37">
        <v>200</v>
      </c>
      <c r="F10" s="35"/>
    </row>
    <row r="11" spans="1:6" x14ac:dyDescent="0.25">
      <c r="B11" s="35" t="s">
        <v>118</v>
      </c>
      <c r="E11" s="37">
        <v>100</v>
      </c>
      <c r="F11" s="35"/>
    </row>
    <row r="12" spans="1:6" x14ac:dyDescent="0.25">
      <c r="B12" s="39" t="s">
        <v>119</v>
      </c>
      <c r="E12" s="37">
        <v>100</v>
      </c>
      <c r="F12" s="35"/>
    </row>
    <row r="13" spans="1:6" x14ac:dyDescent="0.25">
      <c r="E13" s="37"/>
      <c r="F13" s="35"/>
    </row>
    <row r="14" spans="1:6" x14ac:dyDescent="0.25">
      <c r="A14" s="35" t="s">
        <v>189</v>
      </c>
      <c r="B14" s="35" t="s">
        <v>88</v>
      </c>
      <c r="E14" s="36">
        <f>E9*E11</f>
        <v>100</v>
      </c>
      <c r="F14" s="35"/>
    </row>
    <row r="15" spans="1:6" x14ac:dyDescent="0.25">
      <c r="B15" s="39" t="s">
        <v>120</v>
      </c>
      <c r="E15" s="36">
        <f>E10*E8</f>
        <v>300</v>
      </c>
      <c r="F15" s="35"/>
    </row>
    <row r="16" spans="1:6" x14ac:dyDescent="0.25">
      <c r="B16" s="56" t="s">
        <v>121</v>
      </c>
      <c r="C16" s="57"/>
      <c r="D16" s="57"/>
      <c r="E16" s="44">
        <f>E8*E12</f>
        <v>150</v>
      </c>
      <c r="F16" s="35"/>
    </row>
    <row r="17" spans="2:6" x14ac:dyDescent="0.25">
      <c r="B17" s="41" t="s">
        <v>126</v>
      </c>
      <c r="E17" s="36">
        <f>SUM(E14:E16)</f>
        <v>550</v>
      </c>
      <c r="F17" s="35"/>
    </row>
    <row r="18" spans="2:6" x14ac:dyDescent="0.25">
      <c r="B18" s="41" t="s">
        <v>122</v>
      </c>
      <c r="E18" s="36">
        <v>50</v>
      </c>
      <c r="F18" s="35"/>
    </row>
    <row r="19" spans="2:6" x14ac:dyDescent="0.25">
      <c r="B19" s="45" t="s">
        <v>190</v>
      </c>
      <c r="C19" s="45"/>
      <c r="D19" s="45"/>
      <c r="E19" s="43">
        <f>SUM(E17:E18)</f>
        <v>600</v>
      </c>
      <c r="F19" s="35"/>
    </row>
    <row r="20" spans="2:6" x14ac:dyDescent="0.25">
      <c r="E20" s="37"/>
      <c r="F20" s="35"/>
    </row>
    <row r="21" spans="2:6" x14ac:dyDescent="0.25">
      <c r="B21" s="35" t="s">
        <v>123</v>
      </c>
      <c r="E21" s="36">
        <v>1000</v>
      </c>
      <c r="F21" s="35"/>
    </row>
    <row r="22" spans="2:6" x14ac:dyDescent="0.25">
      <c r="E22" s="37"/>
      <c r="F22" s="35"/>
    </row>
    <row r="23" spans="2:6" x14ac:dyDescent="0.25">
      <c r="B23" s="35" t="s">
        <v>124</v>
      </c>
      <c r="E23" s="44">
        <f>E21-E19</f>
        <v>400</v>
      </c>
      <c r="F23" s="35"/>
    </row>
    <row r="26" spans="2:6" x14ac:dyDescent="0.25">
      <c r="B26" s="39" t="s">
        <v>196</v>
      </c>
    </row>
    <row r="27" spans="2:6" x14ac:dyDescent="0.25">
      <c r="E27" s="60"/>
      <c r="F27" s="35"/>
    </row>
    <row r="28" spans="2:6" x14ac:dyDescent="0.25">
      <c r="B28" s="35" t="s">
        <v>88</v>
      </c>
      <c r="E28" s="46">
        <f>$E$5*E14</f>
        <v>40000</v>
      </c>
      <c r="F28" s="35"/>
    </row>
    <row r="29" spans="2:6" x14ac:dyDescent="0.25">
      <c r="B29" s="39" t="s">
        <v>120</v>
      </c>
      <c r="E29" s="46">
        <f>$E$5*E15</f>
        <v>120000</v>
      </c>
      <c r="F29" s="35"/>
    </row>
    <row r="30" spans="2:6" x14ac:dyDescent="0.25">
      <c r="B30" s="35" t="s">
        <v>125</v>
      </c>
      <c r="E30" s="47">
        <f>$E$5*E16</f>
        <v>60000</v>
      </c>
      <c r="F30" s="35"/>
    </row>
    <row r="31" spans="2:6" x14ac:dyDescent="0.25">
      <c r="B31" s="35" t="s">
        <v>126</v>
      </c>
      <c r="E31" s="46">
        <f>SUM(E28:E30)</f>
        <v>220000</v>
      </c>
      <c r="F31" s="35"/>
    </row>
    <row r="32" spans="2:6" x14ac:dyDescent="0.25">
      <c r="B32" s="35" t="s">
        <v>127</v>
      </c>
      <c r="E32" s="47">
        <f>E17*(E6-E5)</f>
        <v>27500</v>
      </c>
      <c r="F32" s="35"/>
    </row>
    <row r="33" spans="1:7" x14ac:dyDescent="0.25">
      <c r="B33" s="39" t="s">
        <v>128</v>
      </c>
      <c r="E33" s="46">
        <f>SUM(E31:E32)</f>
        <v>247500</v>
      </c>
      <c r="F33" s="35"/>
    </row>
    <row r="34" spans="1:7" x14ac:dyDescent="0.25">
      <c r="B34" s="41" t="s">
        <v>553</v>
      </c>
      <c r="E34" s="47">
        <f>E18*E6</f>
        <v>22500</v>
      </c>
      <c r="F34" s="35"/>
    </row>
    <row r="35" spans="1:7" x14ac:dyDescent="0.25">
      <c r="B35" s="41" t="s">
        <v>129</v>
      </c>
      <c r="E35" s="48">
        <f>SUM(E33:E34)</f>
        <v>270000</v>
      </c>
      <c r="F35" s="35"/>
    </row>
    <row r="36" spans="1:7" x14ac:dyDescent="0.25">
      <c r="E36" s="46"/>
      <c r="F36" s="35"/>
    </row>
    <row r="37" spans="1:7" x14ac:dyDescent="0.25">
      <c r="B37" s="35" t="s">
        <v>130</v>
      </c>
      <c r="E37" s="46">
        <f>E6*E21</f>
        <v>450000</v>
      </c>
      <c r="F37" s="35"/>
    </row>
    <row r="38" spans="1:7" x14ac:dyDescent="0.25">
      <c r="E38" s="46"/>
      <c r="F38" s="35"/>
    </row>
    <row r="39" spans="1:7" x14ac:dyDescent="0.25">
      <c r="B39" s="35" t="s">
        <v>131</v>
      </c>
      <c r="E39" s="46">
        <f>E37-E35</f>
        <v>180000</v>
      </c>
      <c r="F39" s="35"/>
    </row>
    <row r="40" spans="1:7" x14ac:dyDescent="0.25">
      <c r="E40" s="46"/>
      <c r="F40" s="46"/>
      <c r="G40" s="46"/>
    </row>
    <row r="41" spans="1:7" x14ac:dyDescent="0.25">
      <c r="B41" s="35" t="s">
        <v>132</v>
      </c>
      <c r="E41" s="46">
        <v>80000</v>
      </c>
      <c r="F41" s="46"/>
    </row>
    <row r="42" spans="1:7" x14ac:dyDescent="0.25">
      <c r="E42" s="46"/>
      <c r="F42" s="46"/>
      <c r="G42" s="46"/>
    </row>
    <row r="43" spans="1:7" x14ac:dyDescent="0.25">
      <c r="B43" s="35" t="s">
        <v>133</v>
      </c>
      <c r="E43" s="48">
        <f>E39-E41</f>
        <v>100000</v>
      </c>
      <c r="F43" s="46"/>
    </row>
    <row r="44" spans="1:7" x14ac:dyDescent="0.25">
      <c r="E44" s="46"/>
      <c r="F44" s="46"/>
      <c r="G44" s="46"/>
    </row>
    <row r="45" spans="1:7" x14ac:dyDescent="0.25">
      <c r="A45" s="35" t="s">
        <v>191</v>
      </c>
      <c r="B45" s="35" t="s">
        <v>134</v>
      </c>
      <c r="E45" s="35">
        <v>410</v>
      </c>
      <c r="F45" s="46"/>
      <c r="G45" s="46"/>
    </row>
    <row r="46" spans="1:7" x14ac:dyDescent="0.25">
      <c r="B46" s="35" t="s">
        <v>104</v>
      </c>
      <c r="E46" s="46">
        <v>420</v>
      </c>
      <c r="F46" s="35"/>
    </row>
    <row r="47" spans="1:7" x14ac:dyDescent="0.25">
      <c r="B47" s="35" t="s">
        <v>135</v>
      </c>
      <c r="E47" s="46">
        <v>430</v>
      </c>
      <c r="F47" s="35"/>
    </row>
    <row r="48" spans="1:7" x14ac:dyDescent="0.25">
      <c r="B48" s="35" t="s">
        <v>123</v>
      </c>
      <c r="E48" s="46">
        <v>1015</v>
      </c>
      <c r="F48" s="35"/>
    </row>
    <row r="51" spans="2:6" x14ac:dyDescent="0.25">
      <c r="B51" s="49" t="s">
        <v>136</v>
      </c>
      <c r="E51" s="50" t="s">
        <v>125</v>
      </c>
      <c r="F51" s="35"/>
    </row>
    <row r="52" spans="2:6" x14ac:dyDescent="0.25">
      <c r="B52" s="35" t="s">
        <v>192</v>
      </c>
      <c r="E52" s="51">
        <f>E46*E8</f>
        <v>630</v>
      </c>
      <c r="F52" s="35" t="s">
        <v>555</v>
      </c>
    </row>
    <row r="53" spans="2:6" x14ac:dyDescent="0.25">
      <c r="B53" s="35" t="s">
        <v>554</v>
      </c>
      <c r="E53" s="35">
        <f>10*1.5/2</f>
        <v>7.5</v>
      </c>
      <c r="F53" s="35" t="s">
        <v>556</v>
      </c>
    </row>
    <row r="54" spans="2:6" x14ac:dyDescent="0.25">
      <c r="B54" s="59" t="s">
        <v>110</v>
      </c>
      <c r="C54" s="45"/>
      <c r="D54" s="45"/>
      <c r="E54" s="52">
        <f>E52-E53</f>
        <v>622.5</v>
      </c>
      <c r="F54" s="35"/>
    </row>
    <row r="56" spans="2:6" x14ac:dyDescent="0.25">
      <c r="B56" s="53" t="s">
        <v>149</v>
      </c>
    </row>
    <row r="57" spans="2:6" x14ac:dyDescent="0.25">
      <c r="B57" s="39" t="str">
        <f>B52</f>
        <v>Ferdigproduserte varer</v>
      </c>
      <c r="E57" s="36">
        <f>E46*E9</f>
        <v>420</v>
      </c>
      <c r="F57" s="36" t="s">
        <v>557</v>
      </c>
    </row>
    <row r="58" spans="2:6" x14ac:dyDescent="0.25">
      <c r="B58" s="39" t="str">
        <f>B53</f>
        <v>– Reduksjon VIA</v>
      </c>
      <c r="E58" s="36">
        <f>10*E9</f>
        <v>10</v>
      </c>
      <c r="F58" s="36" t="s">
        <v>558</v>
      </c>
    </row>
    <row r="59" spans="2:6" x14ac:dyDescent="0.25">
      <c r="B59" s="58" t="s">
        <v>109</v>
      </c>
      <c r="C59" s="45"/>
      <c r="D59" s="45"/>
      <c r="E59" s="43">
        <f>E57-E58</f>
        <v>410</v>
      </c>
    </row>
    <row r="61" spans="2:6" x14ac:dyDescent="0.25">
      <c r="B61" s="49" t="s">
        <v>137</v>
      </c>
      <c r="E61" s="54">
        <v>650</v>
      </c>
    </row>
    <row r="63" spans="2:6" x14ac:dyDescent="0.25">
      <c r="B63" s="49" t="s">
        <v>138</v>
      </c>
      <c r="E63" s="44">
        <v>450</v>
      </c>
    </row>
    <row r="65" spans="2:6" x14ac:dyDescent="0.25">
      <c r="B65" s="49" t="s">
        <v>559</v>
      </c>
      <c r="E65" s="54">
        <v>430</v>
      </c>
    </row>
    <row r="67" spans="2:6" x14ac:dyDescent="0.25">
      <c r="B67" s="49" t="s">
        <v>139</v>
      </c>
      <c r="E67" s="44">
        <v>1015</v>
      </c>
    </row>
    <row r="68" spans="2:6" x14ac:dyDescent="0.25">
      <c r="B68" s="49"/>
    </row>
    <row r="69" spans="2:6" x14ac:dyDescent="0.25">
      <c r="B69" s="49"/>
    </row>
    <row r="70" spans="2:6" x14ac:dyDescent="0.25">
      <c r="B70" s="77" t="s">
        <v>81</v>
      </c>
      <c r="C70" s="78"/>
      <c r="D70" s="79"/>
      <c r="E70" s="79"/>
      <c r="F70" s="79"/>
    </row>
    <row r="71" spans="2:6" x14ac:dyDescent="0.25">
      <c r="B71" s="80" t="s">
        <v>568</v>
      </c>
      <c r="C71" s="80" t="s">
        <v>720</v>
      </c>
      <c r="D71" s="80" t="s">
        <v>83</v>
      </c>
      <c r="E71" s="81" t="s">
        <v>175</v>
      </c>
      <c r="F71" s="81" t="s">
        <v>140</v>
      </c>
    </row>
    <row r="72" spans="2:6" x14ac:dyDescent="0.25">
      <c r="B72" s="82" t="s">
        <v>84</v>
      </c>
      <c r="C72" s="82" t="s">
        <v>218</v>
      </c>
      <c r="D72" s="82" t="s">
        <v>84</v>
      </c>
      <c r="E72" s="82" t="s">
        <v>200</v>
      </c>
      <c r="F72" s="82"/>
    </row>
    <row r="73" spans="2:6" x14ac:dyDescent="0.25">
      <c r="B73" s="83" t="s">
        <v>595</v>
      </c>
      <c r="C73" s="83" t="s">
        <v>596</v>
      </c>
      <c r="D73" s="83" t="s">
        <v>597</v>
      </c>
      <c r="E73" s="388" t="s">
        <v>261</v>
      </c>
      <c r="F73" s="388" t="s">
        <v>262</v>
      </c>
    </row>
    <row r="74" spans="2:6" x14ac:dyDescent="0.25">
      <c r="B74" s="84">
        <f>E11*E59</f>
        <v>41000</v>
      </c>
      <c r="C74" s="84">
        <f>E11*E63</f>
        <v>45000</v>
      </c>
      <c r="D74" s="84">
        <f>H88</f>
        <v>42750</v>
      </c>
      <c r="E74" s="84">
        <f>B74-C74</f>
        <v>-4000</v>
      </c>
      <c r="F74" s="84">
        <f>C74-D74</f>
        <v>2250</v>
      </c>
    </row>
    <row r="75" spans="2:6" x14ac:dyDescent="0.25">
      <c r="B75" s="78"/>
      <c r="C75" s="79"/>
      <c r="D75" s="79"/>
      <c r="E75" s="85"/>
      <c r="F75" s="85"/>
    </row>
    <row r="76" spans="2:6" x14ac:dyDescent="0.25">
      <c r="B76" s="86" t="s">
        <v>214</v>
      </c>
      <c r="C76" s="79"/>
      <c r="D76" s="78"/>
      <c r="E76" s="87"/>
      <c r="F76" s="87"/>
    </row>
    <row r="77" spans="2:6" x14ac:dyDescent="0.25">
      <c r="B77" s="80" t="s">
        <v>569</v>
      </c>
      <c r="C77" s="80" t="s">
        <v>720</v>
      </c>
      <c r="D77" s="88" t="s">
        <v>83</v>
      </c>
      <c r="E77" s="80" t="s">
        <v>79</v>
      </c>
      <c r="F77" s="89" t="s">
        <v>391</v>
      </c>
    </row>
    <row r="78" spans="2:6" x14ac:dyDescent="0.25">
      <c r="B78" s="82" t="s">
        <v>84</v>
      </c>
      <c r="C78" s="82" t="s">
        <v>219</v>
      </c>
      <c r="D78" s="82" t="s">
        <v>84</v>
      </c>
      <c r="E78" s="90"/>
      <c r="F78" s="82" t="s">
        <v>200</v>
      </c>
    </row>
    <row r="79" spans="2:6" x14ac:dyDescent="0.25">
      <c r="B79" s="83" t="s">
        <v>598</v>
      </c>
      <c r="C79" s="83" t="s">
        <v>599</v>
      </c>
      <c r="D79" s="83" t="s">
        <v>600</v>
      </c>
      <c r="E79" s="83" t="str">
        <f>E73</f>
        <v>1-2</v>
      </c>
      <c r="F79" s="83" t="str">
        <f>F73</f>
        <v>2-3</v>
      </c>
    </row>
    <row r="80" spans="2:6" x14ac:dyDescent="0.25">
      <c r="B80" s="84">
        <f>E10*E54</f>
        <v>124500</v>
      </c>
      <c r="C80" s="84">
        <f>E10*E61</f>
        <v>130000</v>
      </c>
      <c r="D80" s="84">
        <f>H89</f>
        <v>107250</v>
      </c>
      <c r="E80" s="84">
        <f>B80-C80</f>
        <v>-5500</v>
      </c>
      <c r="F80" s="84">
        <f>C80-D80</f>
        <v>22750</v>
      </c>
    </row>
    <row r="81" spans="2:9" x14ac:dyDescent="0.25">
      <c r="B81" s="49"/>
    </row>
    <row r="82" spans="2:9" x14ac:dyDescent="0.25">
      <c r="B82" s="35" t="s">
        <v>172</v>
      </c>
    </row>
    <row r="83" spans="2:9" x14ac:dyDescent="0.25">
      <c r="E83" s="35"/>
      <c r="F83" s="35"/>
      <c r="H83" s="383"/>
    </row>
    <row r="84" spans="2:9" ht="14.25" customHeight="1" x14ac:dyDescent="0.25">
      <c r="E84" s="983" t="s">
        <v>173</v>
      </c>
      <c r="F84" s="984"/>
      <c r="G84" s="985"/>
      <c r="H84" s="61" t="s">
        <v>594</v>
      </c>
      <c r="I84" s="62" t="s">
        <v>174</v>
      </c>
    </row>
    <row r="85" spans="2:9" x14ac:dyDescent="0.25">
      <c r="E85" s="62" t="s">
        <v>175</v>
      </c>
      <c r="F85" s="62" t="s">
        <v>176</v>
      </c>
      <c r="G85" s="62" t="s">
        <v>145</v>
      </c>
      <c r="H85" s="63" t="s">
        <v>193</v>
      </c>
      <c r="I85" s="63" t="s">
        <v>177</v>
      </c>
    </row>
    <row r="86" spans="2:9" x14ac:dyDescent="0.25">
      <c r="B86" s="64" t="s">
        <v>96</v>
      </c>
      <c r="C86" s="65"/>
      <c r="D86" s="65"/>
      <c r="E86" s="62"/>
      <c r="F86" s="64"/>
      <c r="G86" s="66">
        <f>E67*E65</f>
        <v>436450</v>
      </c>
      <c r="H86" s="67">
        <f>G86</f>
        <v>436450</v>
      </c>
      <c r="I86" s="66"/>
    </row>
    <row r="87" spans="2:9" x14ac:dyDescent="0.25">
      <c r="B87" s="68"/>
      <c r="E87" s="69"/>
      <c r="F87" s="68"/>
      <c r="G87" s="70"/>
      <c r="H87" s="46"/>
      <c r="I87" s="70"/>
    </row>
    <row r="88" spans="2:9" x14ac:dyDescent="0.25">
      <c r="B88" s="68" t="s">
        <v>88</v>
      </c>
      <c r="E88" s="69">
        <v>410</v>
      </c>
      <c r="F88" s="71">
        <f>E11</f>
        <v>100</v>
      </c>
      <c r="G88" s="70">
        <f>E88*F88</f>
        <v>41000</v>
      </c>
      <c r="H88" s="46">
        <v>42750</v>
      </c>
      <c r="I88" s="70">
        <f>G88-H88</f>
        <v>-1750</v>
      </c>
    </row>
    <row r="89" spans="2:9" x14ac:dyDescent="0.25">
      <c r="B89" s="68" t="s">
        <v>178</v>
      </c>
      <c r="E89" s="69">
        <v>622.5</v>
      </c>
      <c r="F89" s="71">
        <f>E10</f>
        <v>200</v>
      </c>
      <c r="G89" s="70">
        <f>E89*F89</f>
        <v>124500</v>
      </c>
      <c r="H89" s="46">
        <v>107250</v>
      </c>
      <c r="I89" s="72">
        <f>G89-H89</f>
        <v>17250</v>
      </c>
    </row>
    <row r="90" spans="2:9" x14ac:dyDescent="0.25">
      <c r="B90" s="68" t="s">
        <v>179</v>
      </c>
      <c r="E90" s="69"/>
      <c r="F90" s="68"/>
      <c r="G90" s="70"/>
      <c r="H90" s="46"/>
      <c r="I90" s="70">
        <f>SUM(I88:I89)</f>
        <v>15500</v>
      </c>
    </row>
    <row r="91" spans="2:9" x14ac:dyDescent="0.25">
      <c r="B91" s="73" t="s">
        <v>194</v>
      </c>
      <c r="C91" s="56"/>
      <c r="D91" s="56"/>
      <c r="E91" s="63">
        <f>E89</f>
        <v>622.5</v>
      </c>
      <c r="F91" s="74">
        <f>E12</f>
        <v>100</v>
      </c>
      <c r="G91" s="72">
        <f>E91*F91</f>
        <v>62250</v>
      </c>
      <c r="H91" s="46">
        <v>74750</v>
      </c>
      <c r="I91" s="70">
        <f>G91-H91</f>
        <v>-12500</v>
      </c>
    </row>
    <row r="92" spans="2:9" x14ac:dyDescent="0.25">
      <c r="B92" s="68" t="s">
        <v>180</v>
      </c>
      <c r="E92" s="69"/>
      <c r="F92" s="68"/>
      <c r="G92" s="70">
        <f>SUM(G88:G91)</f>
        <v>227750</v>
      </c>
      <c r="H92" s="46"/>
      <c r="I92" s="70"/>
    </row>
    <row r="93" spans="2:9" x14ac:dyDescent="0.25">
      <c r="B93" s="75" t="s">
        <v>560</v>
      </c>
      <c r="C93" s="57"/>
      <c r="D93" s="57"/>
      <c r="E93" s="63">
        <v>10</v>
      </c>
      <c r="F93" s="75">
        <f>D113</f>
        <v>325</v>
      </c>
      <c r="G93" s="72">
        <f>E93*F93</f>
        <v>3250</v>
      </c>
      <c r="H93" s="46">
        <f>G93</f>
        <v>3250</v>
      </c>
      <c r="I93" s="70"/>
    </row>
    <row r="94" spans="2:9" x14ac:dyDescent="0.25">
      <c r="B94" s="68" t="s">
        <v>181</v>
      </c>
      <c r="E94" s="69"/>
      <c r="F94" s="68"/>
      <c r="G94" s="70">
        <f>SUM(G92:G93)</f>
        <v>231000</v>
      </c>
      <c r="H94" s="46"/>
      <c r="I94" s="70"/>
    </row>
    <row r="95" spans="2:9" x14ac:dyDescent="0.25">
      <c r="B95" s="75" t="s">
        <v>182</v>
      </c>
      <c r="C95" s="57"/>
      <c r="D95" s="57"/>
      <c r="E95" s="72">
        <f>E47-E46</f>
        <v>10</v>
      </c>
      <c r="F95" s="74">
        <v>550</v>
      </c>
      <c r="G95" s="72">
        <f>E95*F95</f>
        <v>5500</v>
      </c>
      <c r="H95" s="46">
        <f>G95</f>
        <v>5500</v>
      </c>
      <c r="I95" s="70"/>
    </row>
    <row r="96" spans="2:9" x14ac:dyDescent="0.25">
      <c r="B96" s="68" t="s">
        <v>183</v>
      </c>
      <c r="E96" s="69"/>
      <c r="F96" s="68"/>
      <c r="G96" s="70">
        <f>SUM(G94:G95)</f>
        <v>236500</v>
      </c>
      <c r="H96" s="46"/>
      <c r="I96" s="70"/>
    </row>
    <row r="97" spans="2:9" x14ac:dyDescent="0.25">
      <c r="B97" s="75" t="s">
        <v>561</v>
      </c>
      <c r="C97" s="57"/>
      <c r="D97" s="57"/>
      <c r="E97" s="63">
        <v>430</v>
      </c>
      <c r="F97" s="74">
        <f>E18</f>
        <v>50</v>
      </c>
      <c r="G97" s="72">
        <v>21500</v>
      </c>
      <c r="H97" s="46">
        <v>17500</v>
      </c>
      <c r="I97" s="70">
        <f>G97-H97</f>
        <v>4000</v>
      </c>
    </row>
    <row r="98" spans="2:9" x14ac:dyDescent="0.25">
      <c r="B98" s="68" t="s">
        <v>184</v>
      </c>
      <c r="E98" s="69"/>
      <c r="F98" s="68"/>
      <c r="G98" s="70">
        <f>SUM(G96:G97)</f>
        <v>258000</v>
      </c>
      <c r="H98" s="46"/>
      <c r="I98" s="70"/>
    </row>
    <row r="99" spans="2:9" x14ac:dyDescent="0.25">
      <c r="B99" s="68"/>
      <c r="E99" s="69"/>
      <c r="F99" s="68"/>
      <c r="G99" s="70"/>
      <c r="H99" s="46"/>
      <c r="I99" s="70"/>
    </row>
    <row r="100" spans="2:9" x14ac:dyDescent="0.25">
      <c r="B100" s="68" t="s">
        <v>185</v>
      </c>
      <c r="E100" s="69"/>
      <c r="F100" s="68"/>
      <c r="G100" s="70">
        <f>G86-G98</f>
        <v>178450</v>
      </c>
      <c r="H100" s="46"/>
      <c r="I100" s="70"/>
    </row>
    <row r="101" spans="2:9" x14ac:dyDescent="0.25">
      <c r="B101" s="68" t="s">
        <v>562</v>
      </c>
      <c r="E101" s="69"/>
      <c r="F101" s="68"/>
      <c r="G101" s="70">
        <f>I101</f>
        <v>15500</v>
      </c>
      <c r="H101" s="46"/>
      <c r="I101" s="70">
        <f>I90</f>
        <v>15500</v>
      </c>
    </row>
    <row r="102" spans="2:9" x14ac:dyDescent="0.25">
      <c r="B102" s="75" t="s">
        <v>563</v>
      </c>
      <c r="C102" s="57"/>
      <c r="D102" s="57"/>
      <c r="E102" s="63"/>
      <c r="F102" s="75"/>
      <c r="G102" s="72">
        <f>I102</f>
        <v>-8500</v>
      </c>
      <c r="H102" s="46"/>
      <c r="I102" s="70">
        <f>I91+I97</f>
        <v>-8500</v>
      </c>
    </row>
    <row r="103" spans="2:9" x14ac:dyDescent="0.25">
      <c r="B103" s="68" t="s">
        <v>186</v>
      </c>
      <c r="E103" s="69"/>
      <c r="F103" s="68"/>
      <c r="G103" s="70">
        <f>SUM(G100:G102)</f>
        <v>185450</v>
      </c>
      <c r="H103" s="46"/>
      <c r="I103" s="70"/>
    </row>
    <row r="104" spans="2:9" x14ac:dyDescent="0.25">
      <c r="B104" s="68" t="s">
        <v>132</v>
      </c>
      <c r="E104" s="69"/>
      <c r="F104" s="68"/>
      <c r="G104" s="70">
        <v>80000</v>
      </c>
      <c r="H104" s="46">
        <v>91500</v>
      </c>
      <c r="I104" s="70">
        <f>G104-H104</f>
        <v>-11500</v>
      </c>
    </row>
    <row r="105" spans="2:9" x14ac:dyDescent="0.25">
      <c r="B105" s="68" t="s">
        <v>195</v>
      </c>
      <c r="E105" s="69"/>
      <c r="F105" s="68"/>
      <c r="G105" s="72">
        <f>I105</f>
        <v>-11500</v>
      </c>
      <c r="H105" s="47"/>
      <c r="I105" s="70">
        <f>I104</f>
        <v>-11500</v>
      </c>
    </row>
    <row r="106" spans="2:9" x14ac:dyDescent="0.25">
      <c r="B106" s="75" t="s">
        <v>187</v>
      </c>
      <c r="C106" s="57"/>
      <c r="D106" s="57"/>
      <c r="E106" s="63"/>
      <c r="F106" s="63"/>
      <c r="G106" s="76">
        <f>G103-G104+G105</f>
        <v>93950</v>
      </c>
      <c r="H106" s="48">
        <f>H86-H88-H89-H91-H95-H104-H97-H93</f>
        <v>93950</v>
      </c>
      <c r="I106" s="72"/>
    </row>
    <row r="107" spans="2:9" x14ac:dyDescent="0.25">
      <c r="E107" s="46"/>
      <c r="F107" s="46"/>
      <c r="G107" s="46"/>
    </row>
    <row r="108" spans="2:9" x14ac:dyDescent="0.25">
      <c r="E108" s="46"/>
      <c r="F108" s="46"/>
      <c r="G108" s="46"/>
    </row>
    <row r="109" spans="2:9" x14ac:dyDescent="0.25">
      <c r="B109" s="55" t="s">
        <v>564</v>
      </c>
      <c r="E109" s="46"/>
      <c r="F109" s="46"/>
      <c r="G109" s="46"/>
    </row>
    <row r="110" spans="2:9" x14ac:dyDescent="0.25">
      <c r="B110" s="35" t="s">
        <v>567</v>
      </c>
      <c r="D110" s="35">
        <v>100</v>
      </c>
    </row>
    <row r="111" spans="2:9" x14ac:dyDescent="0.25">
      <c r="B111" s="35" t="s">
        <v>565</v>
      </c>
      <c r="D111" s="35">
        <v>150</v>
      </c>
    </row>
    <row r="112" spans="2:9" x14ac:dyDescent="0.25">
      <c r="B112" s="35" t="s">
        <v>566</v>
      </c>
      <c r="D112" s="35">
        <v>75</v>
      </c>
    </row>
    <row r="113" spans="1:7" x14ac:dyDescent="0.25">
      <c r="D113" s="45">
        <f>SUM(D110:D112)</f>
        <v>325</v>
      </c>
    </row>
    <row r="114" spans="1:7" x14ac:dyDescent="0.25">
      <c r="E114" s="35"/>
      <c r="F114" s="35"/>
    </row>
    <row r="115" spans="1:7" x14ac:dyDescent="0.25">
      <c r="A115" s="35" t="s">
        <v>197</v>
      </c>
      <c r="B115" s="86" t="s">
        <v>542</v>
      </c>
      <c r="E115" s="35"/>
      <c r="F115" s="35"/>
    </row>
    <row r="116" spans="1:7" x14ac:dyDescent="0.25">
      <c r="E116" s="35"/>
      <c r="F116" s="35"/>
    </row>
    <row r="117" spans="1:7" x14ac:dyDescent="0.25">
      <c r="B117" s="80" t="s">
        <v>571</v>
      </c>
      <c r="C117" s="80" t="s">
        <v>201</v>
      </c>
      <c r="D117" s="80"/>
      <c r="E117" s="80" t="s">
        <v>570</v>
      </c>
      <c r="F117" s="80" t="s">
        <v>198</v>
      </c>
      <c r="G117" s="80" t="s">
        <v>202</v>
      </c>
    </row>
    <row r="118" spans="1:7" x14ac:dyDescent="0.25">
      <c r="B118" s="82" t="s">
        <v>602</v>
      </c>
      <c r="C118" s="82" t="s">
        <v>603</v>
      </c>
      <c r="D118" s="82" t="s">
        <v>604</v>
      </c>
      <c r="E118" s="82" t="s">
        <v>605</v>
      </c>
      <c r="F118" s="82" t="s">
        <v>606</v>
      </c>
      <c r="G118" s="82" t="s">
        <v>607</v>
      </c>
    </row>
    <row r="119" spans="1:7" ht="16.8" x14ac:dyDescent="0.35">
      <c r="B119" s="91" t="s">
        <v>572</v>
      </c>
      <c r="C119" s="91" t="s">
        <v>573</v>
      </c>
      <c r="D119" s="92"/>
      <c r="E119" s="92"/>
      <c r="F119" s="92"/>
      <c r="G119" s="92"/>
    </row>
    <row r="120" spans="1:7" x14ac:dyDescent="0.25">
      <c r="B120" s="83" t="s">
        <v>578</v>
      </c>
      <c r="C120" s="83" t="s">
        <v>579</v>
      </c>
      <c r="D120" s="83"/>
      <c r="E120" s="83"/>
      <c r="F120" s="83"/>
      <c r="G120" s="83"/>
    </row>
    <row r="121" spans="1:7" x14ac:dyDescent="0.25">
      <c r="B121" s="84">
        <f>G91</f>
        <v>62250</v>
      </c>
      <c r="C121" s="84">
        <f>F91*E61</f>
        <v>65000</v>
      </c>
      <c r="D121" s="84">
        <f>H91</f>
        <v>74750</v>
      </c>
      <c r="E121" s="84">
        <f>B121-C121</f>
        <v>-2750</v>
      </c>
      <c r="F121" s="84">
        <f>C121-D121</f>
        <v>-9750</v>
      </c>
      <c r="G121" s="84">
        <f>B121-D121</f>
        <v>-12500</v>
      </c>
    </row>
    <row r="122" spans="1:7" x14ac:dyDescent="0.25">
      <c r="B122" s="93"/>
      <c r="C122" s="93"/>
      <c r="D122" s="93"/>
      <c r="E122" s="93"/>
      <c r="F122" s="93"/>
      <c r="G122" s="93"/>
    </row>
    <row r="123" spans="1:7" x14ac:dyDescent="0.25">
      <c r="B123" s="86" t="s">
        <v>601</v>
      </c>
      <c r="C123" s="93"/>
      <c r="D123" s="93"/>
      <c r="E123" s="93"/>
      <c r="F123" s="93"/>
      <c r="G123" s="93"/>
    </row>
    <row r="124" spans="1:7" x14ac:dyDescent="0.25">
      <c r="B124" s="93"/>
      <c r="C124" s="93"/>
      <c r="D124" s="93"/>
      <c r="E124" s="93"/>
      <c r="F124" s="93"/>
      <c r="G124" s="93"/>
    </row>
    <row r="125" spans="1:7" x14ac:dyDescent="0.25">
      <c r="B125" s="80" t="s">
        <v>571</v>
      </c>
      <c r="C125" s="80" t="s">
        <v>201</v>
      </c>
      <c r="D125" s="80"/>
      <c r="E125" s="80" t="str">
        <f>E117</f>
        <v>Effektivitets-</v>
      </c>
      <c r="F125" s="80" t="s">
        <v>198</v>
      </c>
      <c r="G125" s="80" t="s">
        <v>202</v>
      </c>
    </row>
    <row r="126" spans="1:7" x14ac:dyDescent="0.25">
      <c r="B126" s="82" t="s">
        <v>602</v>
      </c>
      <c r="C126" s="82" t="s">
        <v>603</v>
      </c>
      <c r="D126" s="82" t="s">
        <v>604</v>
      </c>
      <c r="E126" s="82" t="s">
        <v>605</v>
      </c>
      <c r="F126" s="82" t="s">
        <v>606</v>
      </c>
      <c r="G126" s="82" t="s">
        <v>607</v>
      </c>
    </row>
    <row r="127" spans="1:7" x14ac:dyDescent="0.25">
      <c r="B127" s="986" t="s">
        <v>1156</v>
      </c>
      <c r="C127" s="987"/>
      <c r="D127" s="92"/>
      <c r="E127" s="92"/>
      <c r="F127" s="92"/>
      <c r="G127" s="92"/>
    </row>
    <row r="128" spans="1:7" x14ac:dyDescent="0.25">
      <c r="B128" s="83" t="s">
        <v>543</v>
      </c>
      <c r="C128" s="83" t="s">
        <v>544</v>
      </c>
      <c r="D128" s="83"/>
      <c r="E128" s="83"/>
      <c r="F128" s="83"/>
      <c r="G128" s="83"/>
    </row>
    <row r="129" spans="1:7" x14ac:dyDescent="0.25">
      <c r="B129" s="84">
        <f>E97*F97</f>
        <v>21500</v>
      </c>
      <c r="C129" s="84">
        <f>B129</f>
        <v>21500</v>
      </c>
      <c r="D129" s="84">
        <f>H97</f>
        <v>17500</v>
      </c>
      <c r="E129" s="84">
        <f>B129-C129</f>
        <v>0</v>
      </c>
      <c r="F129" s="84">
        <f>C129-D129</f>
        <v>4000</v>
      </c>
      <c r="G129" s="84">
        <f>B129-D129</f>
        <v>4000</v>
      </c>
    </row>
    <row r="130" spans="1:7" x14ac:dyDescent="0.25">
      <c r="B130" s="880"/>
      <c r="C130" s="880"/>
      <c r="D130" s="880"/>
      <c r="E130" s="880"/>
      <c r="F130" s="880"/>
      <c r="G130" s="880"/>
    </row>
    <row r="131" spans="1:7" x14ac:dyDescent="0.25">
      <c r="B131" s="35" t="s">
        <v>1159</v>
      </c>
      <c r="C131" s="880"/>
      <c r="D131" s="880"/>
      <c r="E131" s="880"/>
      <c r="F131" s="880"/>
      <c r="G131" s="880"/>
    </row>
    <row r="132" spans="1:7" x14ac:dyDescent="0.25">
      <c r="B132" s="35" t="s">
        <v>1157</v>
      </c>
      <c r="C132" s="93"/>
      <c r="D132" s="93"/>
      <c r="E132" s="93"/>
      <c r="F132" s="93"/>
      <c r="G132" s="93"/>
    </row>
    <row r="133" spans="1:7" x14ac:dyDescent="0.25">
      <c r="B133" s="35" t="s">
        <v>1158</v>
      </c>
      <c r="C133" s="93"/>
      <c r="D133" s="93"/>
      <c r="E133" s="93"/>
      <c r="F133" s="93"/>
      <c r="G133" s="93"/>
    </row>
    <row r="134" spans="1:7" x14ac:dyDescent="0.25">
      <c r="B134" s="881"/>
      <c r="C134" s="93"/>
      <c r="D134" s="93"/>
      <c r="E134" s="93"/>
      <c r="F134" s="93"/>
      <c r="G134" s="93"/>
    </row>
    <row r="135" spans="1:7" x14ac:dyDescent="0.25">
      <c r="B135" s="35" t="s">
        <v>545</v>
      </c>
      <c r="D135" s="46"/>
    </row>
    <row r="137" spans="1:7" ht="14.4" x14ac:dyDescent="0.3">
      <c r="A137" s="35" t="s">
        <v>203</v>
      </c>
      <c r="B137" s="39" t="s">
        <v>546</v>
      </c>
    </row>
    <row r="138" spans="1:7" x14ac:dyDescent="0.25">
      <c r="B138" s="35" t="s">
        <v>547</v>
      </c>
    </row>
    <row r="139" spans="1:7" x14ac:dyDescent="0.25">
      <c r="B139" s="49"/>
    </row>
    <row r="141" spans="1:7" x14ac:dyDescent="0.25">
      <c r="A141" s="35" t="s">
        <v>204</v>
      </c>
      <c r="B141" s="35" t="s">
        <v>166</v>
      </c>
    </row>
    <row r="143" spans="1:7" x14ac:dyDescent="0.25">
      <c r="B143" s="35" t="s">
        <v>167</v>
      </c>
    </row>
    <row r="144" spans="1:7" x14ac:dyDescent="0.25">
      <c r="B144" s="35" t="s">
        <v>168</v>
      </c>
    </row>
    <row r="145" spans="1:4" x14ac:dyDescent="0.25">
      <c r="B145" s="35" t="s">
        <v>548</v>
      </c>
    </row>
    <row r="146" spans="1:4" x14ac:dyDescent="0.25">
      <c r="B146" s="35" t="s">
        <v>574</v>
      </c>
    </row>
    <row r="147" spans="1:4" x14ac:dyDescent="0.25">
      <c r="B147" s="35" t="s">
        <v>169</v>
      </c>
    </row>
    <row r="149" spans="1:4" x14ac:dyDescent="0.25">
      <c r="B149" s="35" t="s">
        <v>170</v>
      </c>
    </row>
    <row r="150" spans="1:4" x14ac:dyDescent="0.25">
      <c r="B150" s="35" t="s">
        <v>171</v>
      </c>
    </row>
    <row r="152" spans="1:4" x14ac:dyDescent="0.25">
      <c r="A152" s="55" t="s">
        <v>575</v>
      </c>
    </row>
    <row r="153" spans="1:4" x14ac:dyDescent="0.25">
      <c r="A153" s="55" t="s">
        <v>243</v>
      </c>
    </row>
    <row r="155" spans="1:4" x14ac:dyDescent="0.25">
      <c r="B155" s="35" t="s">
        <v>244</v>
      </c>
    </row>
    <row r="157" spans="1:4" x14ac:dyDescent="0.25">
      <c r="B157" s="35" t="s">
        <v>245</v>
      </c>
      <c r="D157" s="37">
        <f>E67</f>
        <v>1015</v>
      </c>
    </row>
    <row r="158" spans="1:4" x14ac:dyDescent="0.25">
      <c r="B158" s="35" t="s">
        <v>246</v>
      </c>
      <c r="D158" s="37">
        <f>E21</f>
        <v>1000</v>
      </c>
    </row>
    <row r="159" spans="1:4" x14ac:dyDescent="0.25">
      <c r="B159" s="35" t="s">
        <v>250</v>
      </c>
      <c r="D159" s="37">
        <f>E23</f>
        <v>400</v>
      </c>
    </row>
    <row r="160" spans="1:4" x14ac:dyDescent="0.25">
      <c r="B160" s="35" t="s">
        <v>247</v>
      </c>
      <c r="D160" s="37">
        <f>E65</f>
        <v>430</v>
      </c>
    </row>
    <row r="161" spans="2:7" x14ac:dyDescent="0.25">
      <c r="B161" s="35" t="s">
        <v>248</v>
      </c>
      <c r="D161" s="37">
        <f>E6</f>
        <v>450</v>
      </c>
    </row>
    <row r="162" spans="2:7" x14ac:dyDescent="0.25">
      <c r="D162" s="37"/>
    </row>
    <row r="163" spans="2:7" x14ac:dyDescent="0.25">
      <c r="B163" s="35" t="s">
        <v>210</v>
      </c>
      <c r="D163" s="46">
        <f>(D157-D158)*D160</f>
        <v>6450</v>
      </c>
      <c r="E163" s="36" t="s">
        <v>722</v>
      </c>
    </row>
    <row r="164" spans="2:7" x14ac:dyDescent="0.25">
      <c r="B164" s="35" t="s">
        <v>1145</v>
      </c>
      <c r="D164" s="46">
        <f>(D160-D161)*D159</f>
        <v>-8000</v>
      </c>
      <c r="E164" s="36" t="s">
        <v>576</v>
      </c>
    </row>
    <row r="166" spans="2:7" x14ac:dyDescent="0.25">
      <c r="B166" s="35" t="s">
        <v>205</v>
      </c>
    </row>
    <row r="168" spans="2:7" x14ac:dyDescent="0.25">
      <c r="B168" s="46" t="s">
        <v>206</v>
      </c>
      <c r="C168" s="46"/>
      <c r="D168" s="46">
        <f>E43</f>
        <v>100000</v>
      </c>
      <c r="G168" s="94"/>
    </row>
    <row r="169" spans="2:7" x14ac:dyDescent="0.25">
      <c r="B169" s="46" t="s">
        <v>207</v>
      </c>
      <c r="C169" s="46"/>
      <c r="D169" s="46">
        <f>E74</f>
        <v>-4000</v>
      </c>
      <c r="G169" s="95"/>
    </row>
    <row r="170" spans="2:7" x14ac:dyDescent="0.25">
      <c r="B170" s="46" t="s">
        <v>140</v>
      </c>
      <c r="C170" s="46"/>
      <c r="D170" s="46">
        <f>F74</f>
        <v>2250</v>
      </c>
      <c r="G170" s="95"/>
    </row>
    <row r="171" spans="2:7" x14ac:dyDescent="0.25">
      <c r="B171" s="46" t="s">
        <v>79</v>
      </c>
      <c r="C171" s="46"/>
      <c r="D171" s="46">
        <f>E80</f>
        <v>-5500</v>
      </c>
      <c r="G171" s="95"/>
    </row>
    <row r="172" spans="2:7" x14ac:dyDescent="0.25">
      <c r="B172" s="46" t="s">
        <v>78</v>
      </c>
      <c r="C172" s="46"/>
      <c r="D172" s="46">
        <f>F80</f>
        <v>22750</v>
      </c>
      <c r="G172" s="95"/>
    </row>
    <row r="173" spans="2:7" x14ac:dyDescent="0.25">
      <c r="B173" s="46" t="s">
        <v>718</v>
      </c>
      <c r="C173" s="46"/>
      <c r="D173" s="46">
        <f>E121</f>
        <v>-2750</v>
      </c>
      <c r="G173" s="95"/>
    </row>
    <row r="174" spans="2:7" x14ac:dyDescent="0.25">
      <c r="B174" s="46" t="s">
        <v>208</v>
      </c>
      <c r="C174" s="46"/>
      <c r="D174" s="46">
        <f>F121</f>
        <v>-9750</v>
      </c>
      <c r="G174" s="95"/>
    </row>
    <row r="175" spans="2:7" x14ac:dyDescent="0.25">
      <c r="B175" s="46" t="s">
        <v>577</v>
      </c>
      <c r="C175" s="46"/>
      <c r="D175" s="46">
        <f>F129</f>
        <v>4000</v>
      </c>
      <c r="G175" s="96"/>
    </row>
    <row r="176" spans="2:7" x14ac:dyDescent="0.25">
      <c r="B176" s="46" t="s">
        <v>209</v>
      </c>
      <c r="C176" s="46"/>
      <c r="D176" s="46">
        <f>I105</f>
        <v>-11500</v>
      </c>
      <c r="G176" s="96"/>
    </row>
    <row r="177" spans="2:7" x14ac:dyDescent="0.25">
      <c r="B177" s="46" t="s">
        <v>71</v>
      </c>
      <c r="C177" s="46"/>
      <c r="D177" s="46">
        <f>D163</f>
        <v>6450</v>
      </c>
      <c r="G177" s="95"/>
    </row>
    <row r="178" spans="2:7" x14ac:dyDescent="0.25">
      <c r="B178" s="46" t="str">
        <f>B164</f>
        <v>Salgsvolumavvik</v>
      </c>
      <c r="C178" s="46"/>
      <c r="D178" s="46">
        <f>D164</f>
        <v>-8000</v>
      </c>
      <c r="G178" s="95"/>
    </row>
    <row r="179" spans="2:7" x14ac:dyDescent="0.25">
      <c r="B179" s="48" t="s">
        <v>211</v>
      </c>
      <c r="C179" s="48"/>
      <c r="D179" s="48">
        <f>SUM(D168:D178)</f>
        <v>93950</v>
      </c>
      <c r="G179" s="96"/>
    </row>
  </sheetData>
  <mergeCells count="2">
    <mergeCell ref="E84:G84"/>
    <mergeCell ref="B127:C127"/>
  </mergeCells>
  <phoneticPr fontId="42" type="noConversion"/>
  <pageMargins left="0.78740157480314965" right="0.78740157480314965" top="0.98425196850393704" bottom="0.98425196850393704" header="0.51181102362204722" footer="0.51181102362204722"/>
  <pageSetup paperSize="9" scale="91" fitToHeight="0" orientation="portrait" r:id="rId1"/>
  <headerFooter alignWithMargins="0">
    <oddHeader>&amp;C&amp;A&amp;R&amp;P</oddHeader>
    <oddFooter>&amp;CLøsning kapittel 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pageSetUpPr fitToPage="1"/>
  </sheetPr>
  <dimension ref="A1:H111"/>
  <sheetViews>
    <sheetView topLeftCell="A49" zoomScaleNormal="100" workbookViewId="0">
      <selection activeCell="F84" sqref="F84"/>
    </sheetView>
  </sheetViews>
  <sheetFormatPr baseColWidth="10" defaultColWidth="11.33203125" defaultRowHeight="15" x14ac:dyDescent="0.25"/>
  <cols>
    <col min="1" max="1" width="3.109375" style="98" customWidth="1"/>
    <col min="2" max="2" width="30" style="98" customWidth="1"/>
    <col min="3" max="3" width="19.109375" style="98" customWidth="1"/>
    <col min="4" max="4" width="17.109375" style="98" customWidth="1"/>
    <col min="5" max="5" width="17.88671875" style="98" customWidth="1"/>
    <col min="6" max="6" width="18.88671875" style="98" customWidth="1"/>
    <col min="7" max="7" width="19" style="98" customWidth="1"/>
    <col min="8" max="8" width="25.109375" style="98" customWidth="1"/>
    <col min="9" max="10" width="11.33203125" style="98"/>
    <col min="11" max="11" width="15.109375" style="98" customWidth="1"/>
    <col min="12" max="12" width="20.33203125" style="98" customWidth="1"/>
    <col min="13" max="13" width="18.109375" style="98" customWidth="1"/>
    <col min="14" max="14" width="16.88671875" style="98" customWidth="1"/>
    <col min="15" max="15" width="20.109375" style="98" customWidth="1"/>
    <col min="16" max="16384" width="11.33203125" style="98"/>
  </cols>
  <sheetData>
    <row r="1" spans="1:5" ht="15.6" x14ac:dyDescent="0.3">
      <c r="B1" s="97" t="s">
        <v>252</v>
      </c>
    </row>
    <row r="3" spans="1:5" x14ac:dyDescent="0.25">
      <c r="B3" s="98" t="s">
        <v>253</v>
      </c>
    </row>
    <row r="4" spans="1:5" ht="18.600000000000001" x14ac:dyDescent="0.4">
      <c r="B4" s="98" t="s">
        <v>608</v>
      </c>
      <c r="D4" s="389">
        <f>1800000/60000</f>
        <v>30</v>
      </c>
    </row>
    <row r="6" spans="1:5" x14ac:dyDescent="0.25">
      <c r="B6" s="98" t="s">
        <v>609</v>
      </c>
      <c r="D6" s="390">
        <f>30000*0.5</f>
        <v>15000</v>
      </c>
    </row>
    <row r="7" spans="1:5" ht="18.600000000000001" x14ac:dyDescent="0.4">
      <c r="B7" s="98" t="s">
        <v>610</v>
      </c>
      <c r="D7" s="389">
        <f>3000000/15000</f>
        <v>200</v>
      </c>
    </row>
    <row r="8" spans="1:5" x14ac:dyDescent="0.25">
      <c r="D8" s="389"/>
    </row>
    <row r="9" spans="1:5" x14ac:dyDescent="0.25">
      <c r="B9" s="98" t="s">
        <v>611</v>
      </c>
      <c r="D9" s="389">
        <f>60000/60000</f>
        <v>1</v>
      </c>
      <c r="E9" s="98" t="s">
        <v>254</v>
      </c>
    </row>
    <row r="10" spans="1:5" x14ac:dyDescent="0.25">
      <c r="D10" s="389"/>
    </row>
    <row r="11" spans="1:5" x14ac:dyDescent="0.25">
      <c r="B11" s="98" t="s">
        <v>612</v>
      </c>
      <c r="D11" s="389">
        <f>120000/15000</f>
        <v>8</v>
      </c>
      <c r="E11" s="98" t="s">
        <v>255</v>
      </c>
    </row>
    <row r="12" spans="1:5" x14ac:dyDescent="0.25">
      <c r="E12" s="389"/>
    </row>
    <row r="13" spans="1:5" ht="15.6" x14ac:dyDescent="0.3">
      <c r="A13" s="98" t="s">
        <v>189</v>
      </c>
      <c r="B13" s="97" t="s">
        <v>256</v>
      </c>
      <c r="E13" s="389"/>
    </row>
    <row r="14" spans="1:5" x14ac:dyDescent="0.25">
      <c r="B14" s="98" t="s">
        <v>257</v>
      </c>
      <c r="D14" s="98">
        <f>30*2</f>
        <v>60</v>
      </c>
      <c r="E14" s="389"/>
    </row>
    <row r="15" spans="1:5" x14ac:dyDescent="0.25">
      <c r="B15" s="98" t="s">
        <v>613</v>
      </c>
      <c r="D15" s="98">
        <f>200/2</f>
        <v>100</v>
      </c>
      <c r="E15" s="389"/>
    </row>
    <row r="16" spans="1:5" ht="15.6" x14ac:dyDescent="0.3">
      <c r="B16" s="391" t="s">
        <v>258</v>
      </c>
    </row>
    <row r="17" spans="1:8" x14ac:dyDescent="0.25">
      <c r="B17" s="98" t="s">
        <v>259</v>
      </c>
      <c r="D17" s="98">
        <v>2</v>
      </c>
    </row>
    <row r="18" spans="1:8" x14ac:dyDescent="0.25">
      <c r="B18" s="98" t="s">
        <v>614</v>
      </c>
      <c r="D18" s="98">
        <v>4</v>
      </c>
    </row>
    <row r="19" spans="1:8" x14ac:dyDescent="0.25">
      <c r="B19" s="98" t="s">
        <v>260</v>
      </c>
      <c r="D19" s="392">
        <f>SUM(D14:D18)</f>
        <v>166</v>
      </c>
    </row>
    <row r="21" spans="1:8" x14ac:dyDescent="0.25">
      <c r="C21" s="988"/>
      <c r="D21" s="988"/>
      <c r="E21" s="988"/>
      <c r="F21" s="988"/>
    </row>
    <row r="22" spans="1:8" x14ac:dyDescent="0.25">
      <c r="D22" s="390"/>
      <c r="E22" s="390"/>
      <c r="F22" s="390"/>
    </row>
    <row r="23" spans="1:8" ht="15.6" x14ac:dyDescent="0.3">
      <c r="A23" s="98" t="s">
        <v>191</v>
      </c>
      <c r="B23" s="97" t="s">
        <v>81</v>
      </c>
    </row>
    <row r="24" spans="1:8" x14ac:dyDescent="0.25">
      <c r="B24" s="99" t="s">
        <v>615</v>
      </c>
      <c r="C24" s="99" t="s">
        <v>719</v>
      </c>
      <c r="D24" s="99" t="s">
        <v>83</v>
      </c>
      <c r="E24" s="100" t="s">
        <v>141</v>
      </c>
      <c r="F24" s="100" t="s">
        <v>140</v>
      </c>
    </row>
    <row r="25" spans="1:8" ht="15.6" x14ac:dyDescent="0.3">
      <c r="B25" s="15" t="s">
        <v>586</v>
      </c>
      <c r="C25" s="15" t="s">
        <v>587</v>
      </c>
      <c r="D25" s="15" t="s">
        <v>588</v>
      </c>
      <c r="E25" s="15" t="s">
        <v>589</v>
      </c>
      <c r="F25" s="15" t="s">
        <v>590</v>
      </c>
    </row>
    <row r="26" spans="1:8" x14ac:dyDescent="0.25">
      <c r="B26" s="102" t="s">
        <v>85</v>
      </c>
      <c r="C26" s="102" t="s">
        <v>212</v>
      </c>
      <c r="D26" s="102" t="s">
        <v>213</v>
      </c>
      <c r="E26" s="103"/>
      <c r="F26" s="104"/>
    </row>
    <row r="27" spans="1:8" x14ac:dyDescent="0.25">
      <c r="B27" s="393">
        <f>D4*C38</f>
        <v>160800</v>
      </c>
      <c r="C27" s="393">
        <f>D4*5600</f>
        <v>168000</v>
      </c>
      <c r="D27" s="393">
        <v>166600</v>
      </c>
      <c r="E27" s="393">
        <f>B27-C27</f>
        <v>-7200</v>
      </c>
      <c r="F27" s="393">
        <f>C27-D27</f>
        <v>1400</v>
      </c>
    </row>
    <row r="28" spans="1:8" x14ac:dyDescent="0.25">
      <c r="B28" s="105"/>
      <c r="C28" s="105"/>
      <c r="D28" s="105"/>
      <c r="E28" s="105"/>
      <c r="F28" s="105"/>
    </row>
    <row r="29" spans="1:8" x14ac:dyDescent="0.25">
      <c r="D29" s="105"/>
      <c r="E29" s="105"/>
      <c r="F29" s="105"/>
      <c r="G29" s="105"/>
      <c r="H29" s="105"/>
    </row>
    <row r="31" spans="1:8" ht="15.6" x14ac:dyDescent="0.3">
      <c r="B31" s="106" t="s">
        <v>214</v>
      </c>
      <c r="C31" s="105"/>
      <c r="D31" s="105"/>
      <c r="E31" s="105"/>
      <c r="F31" s="105"/>
    </row>
    <row r="32" spans="1:8" x14ac:dyDescent="0.25">
      <c r="B32" s="99" t="s">
        <v>615</v>
      </c>
      <c r="C32" s="99" t="s">
        <v>719</v>
      </c>
      <c r="D32" s="107" t="s">
        <v>83</v>
      </c>
      <c r="E32" s="107" t="s">
        <v>79</v>
      </c>
      <c r="F32" s="99" t="s">
        <v>78</v>
      </c>
    </row>
    <row r="33" spans="2:7" ht="15.6" x14ac:dyDescent="0.3">
      <c r="B33" s="15" t="s">
        <v>586</v>
      </c>
      <c r="C33" s="15" t="s">
        <v>591</v>
      </c>
      <c r="D33" s="15" t="s">
        <v>588</v>
      </c>
      <c r="E33" s="15" t="s">
        <v>589</v>
      </c>
      <c r="F33" s="15" t="s">
        <v>590</v>
      </c>
    </row>
    <row r="34" spans="2:7" x14ac:dyDescent="0.25">
      <c r="B34" s="102" t="s">
        <v>215</v>
      </c>
      <c r="C34" s="102" t="s">
        <v>216</v>
      </c>
      <c r="D34" s="102" t="s">
        <v>217</v>
      </c>
      <c r="E34" s="103"/>
      <c r="F34" s="104"/>
    </row>
    <row r="35" spans="2:7" x14ac:dyDescent="0.25">
      <c r="B35" s="393">
        <f>D7*C41</f>
        <v>268000</v>
      </c>
      <c r="C35" s="393">
        <f>D7*1280</f>
        <v>256000</v>
      </c>
      <c r="D35" s="393">
        <v>259200</v>
      </c>
      <c r="E35" s="393">
        <f>B35-C35</f>
        <v>12000</v>
      </c>
      <c r="F35" s="393">
        <f>C35-D35</f>
        <v>-3200</v>
      </c>
    </row>
    <row r="37" spans="2:7" x14ac:dyDescent="0.25">
      <c r="B37" s="98" t="s">
        <v>618</v>
      </c>
    </row>
    <row r="38" spans="2:7" x14ac:dyDescent="0.25">
      <c r="B38" s="98" t="s">
        <v>289</v>
      </c>
      <c r="C38" s="390">
        <f>2680*2</f>
        <v>5360</v>
      </c>
    </row>
    <row r="40" spans="2:7" x14ac:dyDescent="0.25">
      <c r="B40" s="98" t="s">
        <v>619</v>
      </c>
    </row>
    <row r="41" spans="2:7" x14ac:dyDescent="0.25">
      <c r="B41" s="98" t="s">
        <v>465</v>
      </c>
      <c r="C41" s="390">
        <f>2680*0.5</f>
        <v>1340</v>
      </c>
    </row>
    <row r="43" spans="2:7" x14ac:dyDescent="0.25">
      <c r="B43" s="98" t="s">
        <v>616</v>
      </c>
    </row>
    <row r="45" spans="2:7" x14ac:dyDescent="0.25">
      <c r="D45" s="390"/>
      <c r="E45" s="390"/>
      <c r="F45" s="390"/>
    </row>
    <row r="46" spans="2:7" x14ac:dyDescent="0.25">
      <c r="B46" s="394"/>
      <c r="C46" s="989" t="s">
        <v>173</v>
      </c>
      <c r="D46" s="990"/>
      <c r="E46" s="991"/>
      <c r="F46" s="395" t="s">
        <v>199</v>
      </c>
      <c r="G46" s="395" t="s">
        <v>263</v>
      </c>
    </row>
    <row r="47" spans="2:7" x14ac:dyDescent="0.25">
      <c r="B47" s="396"/>
      <c r="C47" s="397" t="s">
        <v>175</v>
      </c>
      <c r="D47" s="395" t="s">
        <v>176</v>
      </c>
      <c r="E47" s="398" t="s">
        <v>145</v>
      </c>
      <c r="F47" s="399" t="s">
        <v>193</v>
      </c>
      <c r="G47" s="399" t="s">
        <v>84</v>
      </c>
    </row>
    <row r="48" spans="2:7" x14ac:dyDescent="0.25">
      <c r="B48" s="396" t="s">
        <v>96</v>
      </c>
      <c r="C48" s="395">
        <v>2380</v>
      </c>
      <c r="D48" s="395">
        <v>250</v>
      </c>
      <c r="E48" s="400">
        <f>C48*D48</f>
        <v>595000</v>
      </c>
      <c r="F48" s="401">
        <f>E48</f>
        <v>595000</v>
      </c>
      <c r="G48" s="395"/>
    </row>
    <row r="49" spans="2:7" x14ac:dyDescent="0.25">
      <c r="B49" s="396"/>
      <c r="C49" s="399"/>
      <c r="D49" s="399"/>
      <c r="E49" s="402"/>
      <c r="F49" s="403"/>
      <c r="G49" s="399"/>
    </row>
    <row r="50" spans="2:7" x14ac:dyDescent="0.25">
      <c r="B50" s="396" t="s">
        <v>88</v>
      </c>
      <c r="C50" s="399">
        <f>C38</f>
        <v>5360</v>
      </c>
      <c r="D50" s="399">
        <v>30</v>
      </c>
      <c r="E50" s="404">
        <f>C50*D50</f>
        <v>160800</v>
      </c>
      <c r="F50" s="390">
        <v>166600</v>
      </c>
      <c r="G50" s="405">
        <f>E50-F50</f>
        <v>-5800</v>
      </c>
    </row>
    <row r="51" spans="2:7" x14ac:dyDescent="0.25">
      <c r="B51" s="396" t="s">
        <v>90</v>
      </c>
      <c r="C51" s="399">
        <f>C41</f>
        <v>1340</v>
      </c>
      <c r="D51" s="399">
        <v>200</v>
      </c>
      <c r="E51" s="404">
        <f>C51*D51</f>
        <v>268000</v>
      </c>
      <c r="F51" s="390">
        <v>259200</v>
      </c>
      <c r="G51" s="406">
        <f>E51-F51</f>
        <v>8800</v>
      </c>
    </row>
    <row r="52" spans="2:7" x14ac:dyDescent="0.25">
      <c r="B52" s="396"/>
      <c r="C52" s="405"/>
      <c r="D52" s="405"/>
      <c r="E52" s="407"/>
      <c r="F52" s="404"/>
      <c r="G52" s="408">
        <f>SUM(G50:G51)</f>
        <v>3000</v>
      </c>
    </row>
    <row r="53" spans="2:7" ht="15.6" x14ac:dyDescent="0.3">
      <c r="B53" s="409" t="s">
        <v>264</v>
      </c>
      <c r="C53" s="405"/>
      <c r="D53" s="405"/>
      <c r="E53" s="407"/>
      <c r="F53" s="404"/>
      <c r="G53" s="410" t="s">
        <v>265</v>
      </c>
    </row>
    <row r="54" spans="2:7" x14ac:dyDescent="0.25">
      <c r="B54" s="411" t="s">
        <v>266</v>
      </c>
      <c r="C54" s="399">
        <f>C50</f>
        <v>5360</v>
      </c>
      <c r="D54" s="399">
        <v>1</v>
      </c>
      <c r="E54" s="404">
        <f>C54*D54</f>
        <v>5360</v>
      </c>
      <c r="F54" s="404">
        <v>5200</v>
      </c>
      <c r="G54" s="404">
        <f>E54-F54</f>
        <v>160</v>
      </c>
    </row>
    <row r="55" spans="2:7" x14ac:dyDescent="0.25">
      <c r="B55" s="412" t="s">
        <v>267</v>
      </c>
      <c r="C55" s="413">
        <f>C51</f>
        <v>1340</v>
      </c>
      <c r="D55" s="413">
        <v>8</v>
      </c>
      <c r="E55" s="408">
        <f>C55*D55</f>
        <v>10720</v>
      </c>
      <c r="F55" s="404">
        <v>10000</v>
      </c>
      <c r="G55" s="404">
        <f>E55-F55</f>
        <v>720</v>
      </c>
    </row>
    <row r="56" spans="2:7" x14ac:dyDescent="0.25">
      <c r="B56" s="414" t="s">
        <v>152</v>
      </c>
      <c r="C56" s="405"/>
      <c r="D56" s="390"/>
      <c r="E56" s="415">
        <f>SUM(E50:E55)</f>
        <v>444880</v>
      </c>
      <c r="F56" s="405"/>
      <c r="G56" s="404"/>
    </row>
    <row r="57" spans="2:7" x14ac:dyDescent="0.25">
      <c r="B57" s="416" t="s">
        <v>153</v>
      </c>
      <c r="C57" s="406"/>
      <c r="D57" s="417"/>
      <c r="E57" s="418"/>
      <c r="F57" s="405"/>
      <c r="G57" s="404"/>
    </row>
    <row r="58" spans="2:7" x14ac:dyDescent="0.25">
      <c r="B58" s="414" t="s">
        <v>154</v>
      </c>
      <c r="C58" s="405"/>
      <c r="D58" s="390"/>
      <c r="E58" s="415">
        <f>SUM(E56)</f>
        <v>444880</v>
      </c>
      <c r="F58" s="405"/>
      <c r="G58" s="404"/>
    </row>
    <row r="59" spans="2:7" x14ac:dyDescent="0.25">
      <c r="B59" s="416" t="s">
        <v>155</v>
      </c>
      <c r="C59" s="413">
        <v>300</v>
      </c>
      <c r="D59" s="419">
        <f>D19</f>
        <v>166</v>
      </c>
      <c r="E59" s="418">
        <f>-C59*D59</f>
        <v>-49800</v>
      </c>
      <c r="F59" s="405">
        <f>E59</f>
        <v>-49800</v>
      </c>
      <c r="G59" s="404"/>
    </row>
    <row r="60" spans="2:7" x14ac:dyDescent="0.25">
      <c r="B60" s="414" t="s">
        <v>156</v>
      </c>
      <c r="C60" s="405"/>
      <c r="D60" s="390"/>
      <c r="E60" s="415">
        <f>SUM(E58:E59)</f>
        <v>395080</v>
      </c>
      <c r="F60" s="405"/>
      <c r="G60" s="404"/>
    </row>
    <row r="61" spans="2:7" x14ac:dyDescent="0.25">
      <c r="B61" s="416" t="s">
        <v>157</v>
      </c>
      <c r="C61" s="406"/>
      <c r="D61" s="417"/>
      <c r="E61" s="418"/>
      <c r="F61" s="405"/>
      <c r="G61" s="404"/>
    </row>
    <row r="62" spans="2:7" x14ac:dyDescent="0.25">
      <c r="B62" s="414" t="s">
        <v>158</v>
      </c>
      <c r="C62" s="405"/>
      <c r="D62" s="390"/>
      <c r="E62" s="415">
        <f>SUM(E60)</f>
        <v>395080</v>
      </c>
      <c r="F62" s="405"/>
      <c r="G62" s="404"/>
    </row>
    <row r="63" spans="2:7" x14ac:dyDescent="0.25">
      <c r="B63" s="416"/>
      <c r="C63" s="413"/>
      <c r="D63" s="419"/>
      <c r="E63" s="418"/>
      <c r="F63" s="405"/>
      <c r="G63" s="404"/>
    </row>
    <row r="64" spans="2:7" x14ac:dyDescent="0.25">
      <c r="B64" s="414" t="s">
        <v>159</v>
      </c>
      <c r="C64" s="405"/>
      <c r="D64" s="390"/>
      <c r="E64" s="415">
        <f>E48-E62</f>
        <v>199920</v>
      </c>
      <c r="F64" s="405"/>
      <c r="G64" s="404"/>
    </row>
    <row r="65" spans="2:7" x14ac:dyDescent="0.25">
      <c r="B65" s="414" t="s">
        <v>160</v>
      </c>
      <c r="C65" s="405"/>
      <c r="D65" s="390"/>
      <c r="E65" s="415">
        <f>G65</f>
        <v>880</v>
      </c>
      <c r="F65" s="405"/>
      <c r="G65" s="404">
        <f>SUM(G54:G62)</f>
        <v>880</v>
      </c>
    </row>
    <row r="66" spans="2:7" x14ac:dyDescent="0.25">
      <c r="B66" s="416" t="s">
        <v>179</v>
      </c>
      <c r="C66" s="420"/>
      <c r="D66" s="421"/>
      <c r="E66" s="418">
        <f>G52</f>
        <v>3000</v>
      </c>
      <c r="F66" s="396"/>
      <c r="G66" s="407"/>
    </row>
    <row r="67" spans="2:7" x14ac:dyDescent="0.25">
      <c r="B67" s="414" t="s">
        <v>161</v>
      </c>
      <c r="C67" s="396"/>
      <c r="E67" s="415">
        <f>SUM(E64:E66)</f>
        <v>203800</v>
      </c>
      <c r="F67" s="405">
        <f>F48-F50-F51-F54-F55-F59</f>
        <v>203800</v>
      </c>
      <c r="G67" s="407"/>
    </row>
    <row r="68" spans="2:7" ht="15.6" x14ac:dyDescent="0.3">
      <c r="B68" s="422" t="s">
        <v>162</v>
      </c>
      <c r="C68" s="396"/>
      <c r="E68" s="414"/>
      <c r="F68" s="396"/>
      <c r="G68" s="423" t="s">
        <v>163</v>
      </c>
    </row>
    <row r="69" spans="2:7" x14ac:dyDescent="0.25">
      <c r="B69" s="414" t="s">
        <v>266</v>
      </c>
      <c r="C69" s="396"/>
      <c r="E69" s="415">
        <f>300000/12</f>
        <v>25000</v>
      </c>
      <c r="F69" s="405">
        <v>34500</v>
      </c>
      <c r="G69" s="404">
        <f>E69-F69</f>
        <v>-9500</v>
      </c>
    </row>
    <row r="70" spans="2:7" x14ac:dyDescent="0.25">
      <c r="B70" s="414" t="s">
        <v>267</v>
      </c>
      <c r="C70" s="396"/>
      <c r="E70" s="415">
        <f>600000/12</f>
        <v>50000</v>
      </c>
      <c r="F70" s="405">
        <v>60000</v>
      </c>
      <c r="G70" s="404">
        <f>E70-F70</f>
        <v>-10000</v>
      </c>
    </row>
    <row r="71" spans="2:7" x14ac:dyDescent="0.25">
      <c r="B71" s="414" t="s">
        <v>157</v>
      </c>
      <c r="C71" s="396"/>
      <c r="E71" s="415">
        <f>800000/12</f>
        <v>66666.666666666672</v>
      </c>
      <c r="F71" s="405">
        <v>66000</v>
      </c>
      <c r="G71" s="404">
        <f>E71-F71</f>
        <v>666.66666666667152</v>
      </c>
    </row>
    <row r="72" spans="2:7" x14ac:dyDescent="0.25">
      <c r="B72" s="414" t="s">
        <v>164</v>
      </c>
      <c r="C72" s="396"/>
      <c r="E72" s="415">
        <f>G72</f>
        <v>-18833.333333333328</v>
      </c>
      <c r="F72" s="396"/>
      <c r="G72" s="125">
        <f>SUM(G69:G71)</f>
        <v>-18833.333333333328</v>
      </c>
    </row>
    <row r="73" spans="2:7" x14ac:dyDescent="0.25">
      <c r="B73" s="424" t="s">
        <v>187</v>
      </c>
      <c r="C73" s="124"/>
      <c r="D73" s="392"/>
      <c r="E73" s="425">
        <f>E67-E69-E70-E71+E72</f>
        <v>43300</v>
      </c>
      <c r="F73" s="406">
        <f>F67-F69-F70-F71</f>
        <v>43300</v>
      </c>
      <c r="G73" s="426"/>
    </row>
    <row r="76" spans="2:7" x14ac:dyDescent="0.25">
      <c r="B76" s="98" t="s">
        <v>165</v>
      </c>
    </row>
    <row r="85" spans="1:7" ht="15.6" x14ac:dyDescent="0.3">
      <c r="A85" s="98" t="s">
        <v>197</v>
      </c>
      <c r="B85" s="97" t="s">
        <v>290</v>
      </c>
    </row>
    <row r="86" spans="1:7" x14ac:dyDescent="0.25">
      <c r="B86" s="98" t="s">
        <v>266</v>
      </c>
      <c r="C86" s="390">
        <f>G54</f>
        <v>160</v>
      </c>
    </row>
    <row r="87" spans="1:7" x14ac:dyDescent="0.25">
      <c r="B87" s="98" t="s">
        <v>267</v>
      </c>
      <c r="C87" s="390">
        <f>G55</f>
        <v>720</v>
      </c>
    </row>
    <row r="88" spans="1:7" x14ac:dyDescent="0.25">
      <c r="B88" s="98" t="s">
        <v>291</v>
      </c>
    </row>
    <row r="89" spans="1:7" x14ac:dyDescent="0.25">
      <c r="B89" s="98" t="s">
        <v>292</v>
      </c>
    </row>
    <row r="91" spans="1:7" ht="27.6" x14ac:dyDescent="0.25">
      <c r="C91" s="870" t="s">
        <v>271</v>
      </c>
      <c r="D91" s="871" t="s">
        <v>269</v>
      </c>
      <c r="E91" s="871" t="s">
        <v>270</v>
      </c>
      <c r="F91" s="872" t="s">
        <v>398</v>
      </c>
      <c r="G91" s="872" t="s">
        <v>293</v>
      </c>
    </row>
    <row r="92" spans="1:7" ht="19.2" x14ac:dyDescent="0.25">
      <c r="B92" s="124"/>
      <c r="C92" s="872" t="s">
        <v>294</v>
      </c>
      <c r="D92" s="872" t="s">
        <v>295</v>
      </c>
      <c r="E92" s="872" t="s">
        <v>199</v>
      </c>
      <c r="F92" s="872" t="s">
        <v>589</v>
      </c>
      <c r="G92" s="872" t="s">
        <v>590</v>
      </c>
    </row>
    <row r="93" spans="1:7" x14ac:dyDescent="0.25">
      <c r="B93" s="124" t="s">
        <v>266</v>
      </c>
      <c r="C93" s="126">
        <f>E54</f>
        <v>5360</v>
      </c>
      <c r="D93" s="126">
        <f>D97</f>
        <v>5600</v>
      </c>
      <c r="E93" s="126">
        <f>F54</f>
        <v>5200</v>
      </c>
      <c r="F93" s="126">
        <f>C93-D93</f>
        <v>-240</v>
      </c>
      <c r="G93" s="126">
        <f>D93-E93</f>
        <v>400</v>
      </c>
    </row>
    <row r="94" spans="1:7" x14ac:dyDescent="0.25">
      <c r="B94" s="124" t="s">
        <v>267</v>
      </c>
      <c r="C94" s="126">
        <f>E55</f>
        <v>10720</v>
      </c>
      <c r="D94" s="126">
        <f>D98</f>
        <v>10240</v>
      </c>
      <c r="E94" s="126">
        <f>F55</f>
        <v>10000</v>
      </c>
      <c r="F94" s="126">
        <f>C94-D94</f>
        <v>480</v>
      </c>
      <c r="G94" s="126">
        <f>D94-E94</f>
        <v>240</v>
      </c>
    </row>
    <row r="95" spans="1:7" x14ac:dyDescent="0.25">
      <c r="F95" s="98" t="s">
        <v>298</v>
      </c>
      <c r="G95" s="126">
        <f>SUM(F93:G94)</f>
        <v>880</v>
      </c>
    </row>
    <row r="96" spans="1:7" ht="19.2" x14ac:dyDescent="0.25">
      <c r="B96" s="427" t="s">
        <v>617</v>
      </c>
    </row>
    <row r="97" spans="1:5" x14ac:dyDescent="0.25">
      <c r="B97" s="98" t="str">
        <f>B93</f>
        <v>Materialavdelingen</v>
      </c>
      <c r="C97" s="98" t="s">
        <v>299</v>
      </c>
      <c r="D97" s="390">
        <f>5600*1</f>
        <v>5600</v>
      </c>
    </row>
    <row r="98" spans="1:5" x14ac:dyDescent="0.25">
      <c r="B98" s="98" t="str">
        <f>B94</f>
        <v>Tilvirkningsavdelingen</v>
      </c>
      <c r="C98" s="98" t="s">
        <v>300</v>
      </c>
      <c r="D98" s="390">
        <f>1280*8</f>
        <v>10240</v>
      </c>
    </row>
    <row r="99" spans="1:5" x14ac:dyDescent="0.25">
      <c r="E99" s="390"/>
    </row>
    <row r="100" spans="1:5" x14ac:dyDescent="0.25">
      <c r="B100" s="98" t="s">
        <v>723</v>
      </c>
      <c r="E100" s="390"/>
    </row>
    <row r="101" spans="1:5" x14ac:dyDescent="0.25">
      <c r="B101" s="98" t="s">
        <v>301</v>
      </c>
    </row>
    <row r="103" spans="1:5" x14ac:dyDescent="0.25">
      <c r="A103" s="98" t="s">
        <v>203</v>
      </c>
      <c r="B103" s="98" t="s">
        <v>302</v>
      </c>
    </row>
    <row r="104" spans="1:5" x14ac:dyDescent="0.25">
      <c r="B104" s="98" t="s">
        <v>303</v>
      </c>
    </row>
    <row r="106" spans="1:5" x14ac:dyDescent="0.25">
      <c r="A106" s="98" t="s">
        <v>204</v>
      </c>
      <c r="B106" s="98" t="s">
        <v>304</v>
      </c>
    </row>
    <row r="107" spans="1:5" x14ac:dyDescent="0.25">
      <c r="B107" s="98" t="s">
        <v>220</v>
      </c>
    </row>
    <row r="108" spans="1:5" x14ac:dyDescent="0.25">
      <c r="B108" s="98" t="s">
        <v>221</v>
      </c>
    </row>
    <row r="109" spans="1:5" x14ac:dyDescent="0.25">
      <c r="B109" s="98" t="s">
        <v>222</v>
      </c>
    </row>
    <row r="110" spans="1:5" x14ac:dyDescent="0.25">
      <c r="B110" s="98" t="s">
        <v>223</v>
      </c>
    </row>
    <row r="111" spans="1:5" x14ac:dyDescent="0.25">
      <c r="B111" s="98" t="s">
        <v>224</v>
      </c>
    </row>
  </sheetData>
  <mergeCells count="2">
    <mergeCell ref="C21:F21"/>
    <mergeCell ref="C46:E46"/>
  </mergeCells>
  <phoneticPr fontId="42" type="noConversion"/>
  <pageMargins left="0.39370078740157483" right="0.39370078740157483" top="0.98425196850393704" bottom="0.98425196850393704" header="0.51181102362204722" footer="0.51181102362204722"/>
  <pageSetup paperSize="9" scale="77" fitToHeight="0" orientation="portrait" r:id="rId1"/>
  <headerFooter alignWithMargins="0">
    <oddHeader>&amp;A&amp;RSide &amp;P</oddHeader>
    <oddFooter>&amp;CLøsning kapittel 5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pageSetUpPr fitToPage="1"/>
  </sheetPr>
  <dimension ref="A1:P122"/>
  <sheetViews>
    <sheetView topLeftCell="A49" zoomScaleNormal="100" zoomScalePageLayoutView="70" workbookViewId="0">
      <selection activeCell="B120" sqref="B120"/>
    </sheetView>
  </sheetViews>
  <sheetFormatPr baseColWidth="10" defaultColWidth="16" defaultRowHeight="15" x14ac:dyDescent="0.25"/>
  <cols>
    <col min="1" max="1" width="4.6640625" style="98" customWidth="1"/>
    <col min="2" max="5" width="16" style="98"/>
    <col min="6" max="10" width="16" style="390"/>
    <col min="11" max="16384" width="16" style="98"/>
  </cols>
  <sheetData>
    <row r="1" spans="1:8" x14ac:dyDescent="0.25">
      <c r="A1" s="98" t="s">
        <v>189</v>
      </c>
      <c r="B1" s="98" t="s">
        <v>274</v>
      </c>
      <c r="E1" s="390">
        <f>9*130</f>
        <v>1170</v>
      </c>
    </row>
    <row r="2" spans="1:8" x14ac:dyDescent="0.25">
      <c r="B2" s="98" t="s">
        <v>275</v>
      </c>
      <c r="E2" s="390">
        <f>170*1.3</f>
        <v>221</v>
      </c>
    </row>
    <row r="3" spans="1:8" x14ac:dyDescent="0.25">
      <c r="B3" s="98" t="s">
        <v>620</v>
      </c>
      <c r="E3" s="390">
        <f>80*1.3</f>
        <v>104</v>
      </c>
    </row>
    <row r="4" spans="1:8" x14ac:dyDescent="0.25">
      <c r="B4" s="392" t="s">
        <v>126</v>
      </c>
      <c r="C4" s="392"/>
      <c r="D4" s="392"/>
      <c r="E4" s="429">
        <f>SUM(E1:E3)</f>
        <v>1495</v>
      </c>
      <c r="H4" s="98"/>
    </row>
    <row r="5" spans="1:8" x14ac:dyDescent="0.25">
      <c r="E5" s="390"/>
    </row>
    <row r="6" spans="1:8" x14ac:dyDescent="0.25">
      <c r="B6" s="98" t="s">
        <v>276</v>
      </c>
      <c r="E6" s="390">
        <v>2330</v>
      </c>
    </row>
    <row r="7" spans="1:8" x14ac:dyDescent="0.25">
      <c r="E7" s="390"/>
    </row>
    <row r="8" spans="1:8" x14ac:dyDescent="0.25">
      <c r="B8" s="392" t="s">
        <v>277</v>
      </c>
      <c r="C8" s="392"/>
      <c r="D8" s="392"/>
      <c r="E8" s="429">
        <f>E6-E4</f>
        <v>835</v>
      </c>
    </row>
    <row r="9" spans="1:8" x14ac:dyDescent="0.25">
      <c r="E9" s="390"/>
    </row>
    <row r="10" spans="1:8" x14ac:dyDescent="0.25">
      <c r="A10" s="98" t="s">
        <v>191</v>
      </c>
      <c r="B10" s="98" t="s">
        <v>278</v>
      </c>
      <c r="F10" s="390">
        <f>11200*2330</f>
        <v>26096000</v>
      </c>
    </row>
    <row r="11" spans="1:8" x14ac:dyDescent="0.25">
      <c r="E11" s="390"/>
    </row>
    <row r="12" spans="1:8" x14ac:dyDescent="0.25">
      <c r="B12" s="98" t="s">
        <v>279</v>
      </c>
      <c r="E12" s="390">
        <f>11200*E1</f>
        <v>13104000</v>
      </c>
    </row>
    <row r="13" spans="1:8" x14ac:dyDescent="0.25">
      <c r="B13" s="98" t="s">
        <v>280</v>
      </c>
      <c r="E13" s="390">
        <f>11200*221</f>
        <v>2475200</v>
      </c>
    </row>
    <row r="14" spans="1:8" x14ac:dyDescent="0.25">
      <c r="B14" s="98" t="s">
        <v>281</v>
      </c>
      <c r="E14" s="390">
        <f>11200*104</f>
        <v>1164800</v>
      </c>
    </row>
    <row r="15" spans="1:8" x14ac:dyDescent="0.25">
      <c r="B15" s="98" t="s">
        <v>282</v>
      </c>
      <c r="E15" s="429">
        <f>SUM(E12:E14)</f>
        <v>16744000</v>
      </c>
      <c r="F15" s="417">
        <f>E15</f>
        <v>16744000</v>
      </c>
      <c r="H15" s="98"/>
    </row>
    <row r="16" spans="1:8" x14ac:dyDescent="0.25">
      <c r="B16" s="98" t="s">
        <v>283</v>
      </c>
      <c r="E16" s="390"/>
      <c r="F16" s="390">
        <f>F10-F15</f>
        <v>9352000</v>
      </c>
      <c r="H16" s="98"/>
    </row>
    <row r="17" spans="1:10" x14ac:dyDescent="0.25">
      <c r="B17" s="98" t="s">
        <v>132</v>
      </c>
      <c r="E17" s="390"/>
      <c r="F17" s="390">
        <v>6500000</v>
      </c>
    </row>
    <row r="18" spans="1:10" x14ac:dyDescent="0.25">
      <c r="B18" s="392" t="s">
        <v>206</v>
      </c>
      <c r="C18" s="392"/>
      <c r="D18" s="392"/>
      <c r="E18" s="429"/>
      <c r="F18" s="429">
        <f>F16-F17</f>
        <v>2852000</v>
      </c>
      <c r="H18" s="98"/>
    </row>
    <row r="20" spans="1:10" x14ac:dyDescent="0.25">
      <c r="B20" s="98" t="s">
        <v>621</v>
      </c>
    </row>
    <row r="21" spans="1:10" x14ac:dyDescent="0.25">
      <c r="B21" s="574">
        <f>11200*E8</f>
        <v>9352000</v>
      </c>
      <c r="F21" s="98"/>
    </row>
    <row r="23" spans="1:10" ht="15.6" x14ac:dyDescent="0.3">
      <c r="A23" s="98" t="s">
        <v>197</v>
      </c>
      <c r="B23" s="97" t="s">
        <v>81</v>
      </c>
      <c r="F23" s="98"/>
    </row>
    <row r="24" spans="1:10" s="551" customFormat="1" ht="13.8" x14ac:dyDescent="0.25">
      <c r="B24" s="441" t="s">
        <v>615</v>
      </c>
      <c r="C24" s="441" t="s">
        <v>719</v>
      </c>
      <c r="D24" s="441" t="s">
        <v>83</v>
      </c>
      <c r="E24" s="442" t="s">
        <v>141</v>
      </c>
      <c r="F24" s="442" t="s">
        <v>140</v>
      </c>
      <c r="G24" s="552"/>
      <c r="H24" s="552"/>
      <c r="I24" s="552"/>
      <c r="J24" s="552"/>
    </row>
    <row r="25" spans="1:10" s="551" customFormat="1" ht="13.8" x14ac:dyDescent="0.25">
      <c r="B25" s="550" t="s">
        <v>586</v>
      </c>
      <c r="C25" s="550" t="s">
        <v>587</v>
      </c>
      <c r="D25" s="550" t="s">
        <v>588</v>
      </c>
      <c r="E25" s="550" t="s">
        <v>589</v>
      </c>
      <c r="F25" s="550" t="s">
        <v>590</v>
      </c>
      <c r="G25" s="552"/>
      <c r="H25" s="552"/>
      <c r="I25" s="552"/>
      <c r="J25" s="552"/>
    </row>
    <row r="26" spans="1:10" s="551" customFormat="1" ht="13.8" x14ac:dyDescent="0.25">
      <c r="B26" s="553" t="s">
        <v>85</v>
      </c>
      <c r="C26" s="553" t="s">
        <v>212</v>
      </c>
      <c r="D26" s="553" t="s">
        <v>213</v>
      </c>
      <c r="E26" s="554"/>
      <c r="F26" s="555"/>
      <c r="G26" s="552"/>
      <c r="H26" s="552"/>
      <c r="I26" s="552"/>
      <c r="J26" s="552"/>
    </row>
    <row r="27" spans="1:10" s="551" customFormat="1" ht="13.8" x14ac:dyDescent="0.25">
      <c r="B27" s="556">
        <f>130*E30</f>
        <v>14636700</v>
      </c>
      <c r="C27" s="556">
        <f>130*108837</f>
        <v>14148810</v>
      </c>
      <c r="D27" s="556">
        <v>15019506</v>
      </c>
      <c r="E27" s="556">
        <f>B27-C27</f>
        <v>487890</v>
      </c>
      <c r="F27" s="556">
        <f>C27-D27</f>
        <v>-870696</v>
      </c>
      <c r="G27" s="552"/>
      <c r="H27" s="552"/>
      <c r="I27" s="552"/>
      <c r="J27" s="552"/>
    </row>
    <row r="28" spans="1:10" x14ac:dyDescent="0.25">
      <c r="B28" s="105"/>
      <c r="C28" s="105"/>
      <c r="D28" s="105"/>
      <c r="E28" s="105"/>
      <c r="F28" s="105"/>
    </row>
    <row r="29" spans="1:10" ht="18.600000000000001" x14ac:dyDescent="0.4">
      <c r="B29" s="98" t="s">
        <v>637</v>
      </c>
      <c r="D29" s="390"/>
      <c r="E29" s="390"/>
      <c r="H29" s="98"/>
    </row>
    <row r="30" spans="1:10" x14ac:dyDescent="0.25">
      <c r="B30" s="98" t="s">
        <v>284</v>
      </c>
      <c r="D30" s="390"/>
      <c r="E30" s="390">
        <f>12510*9</f>
        <v>112590</v>
      </c>
      <c r="F30" s="390" t="s">
        <v>146</v>
      </c>
      <c r="H30" s="98"/>
    </row>
    <row r="31" spans="1:10" x14ac:dyDescent="0.25">
      <c r="H31" s="98"/>
    </row>
    <row r="32" spans="1:10" ht="15.6" x14ac:dyDescent="0.3">
      <c r="B32" s="106" t="s">
        <v>214</v>
      </c>
      <c r="C32" s="105"/>
      <c r="D32" s="105"/>
      <c r="E32" s="105"/>
      <c r="F32" s="105"/>
      <c r="H32" s="98"/>
    </row>
    <row r="33" spans="2:14" s="551" customFormat="1" ht="13.8" x14ac:dyDescent="0.25">
      <c r="B33" s="441" t="s">
        <v>615</v>
      </c>
      <c r="C33" s="441" t="s">
        <v>719</v>
      </c>
      <c r="D33" s="443" t="s">
        <v>83</v>
      </c>
      <c r="E33" s="443" t="s">
        <v>79</v>
      </c>
      <c r="F33" s="441" t="s">
        <v>622</v>
      </c>
      <c r="G33" s="552"/>
    </row>
    <row r="34" spans="2:14" s="551" customFormat="1" ht="13.8" x14ac:dyDescent="0.25">
      <c r="B34" s="550" t="s">
        <v>586</v>
      </c>
      <c r="C34" s="550" t="s">
        <v>591</v>
      </c>
      <c r="D34" s="550" t="s">
        <v>588</v>
      </c>
      <c r="E34" s="550" t="s">
        <v>589</v>
      </c>
      <c r="F34" s="550" t="s">
        <v>606</v>
      </c>
      <c r="G34" s="552"/>
      <c r="K34" s="552"/>
      <c r="M34" s="552"/>
      <c r="N34" s="552"/>
    </row>
    <row r="35" spans="2:14" s="551" customFormat="1" ht="13.8" x14ac:dyDescent="0.25">
      <c r="B35" s="557" t="s">
        <v>215</v>
      </c>
      <c r="C35" s="557" t="s">
        <v>216</v>
      </c>
      <c r="D35" s="557" t="s">
        <v>217</v>
      </c>
      <c r="E35" s="554"/>
      <c r="F35" s="555"/>
      <c r="G35" s="552"/>
      <c r="H35" s="552"/>
      <c r="K35" s="552"/>
      <c r="M35" s="552"/>
      <c r="N35" s="552"/>
    </row>
    <row r="36" spans="2:14" s="551" customFormat="1" ht="13.8" x14ac:dyDescent="0.25">
      <c r="B36" s="556">
        <f>170*E39</f>
        <v>2764710</v>
      </c>
      <c r="C36" s="556">
        <f>170*15012</f>
        <v>2552040</v>
      </c>
      <c r="D36" s="556">
        <v>2807244</v>
      </c>
      <c r="E36" s="556">
        <f>B36-C36</f>
        <v>212670</v>
      </c>
      <c r="F36" s="556">
        <f>C36-D36</f>
        <v>-255204</v>
      </c>
      <c r="G36" s="552"/>
      <c r="H36" s="552"/>
      <c r="K36" s="552"/>
      <c r="M36" s="552"/>
      <c r="N36" s="552"/>
    </row>
    <row r="37" spans="2:14" x14ac:dyDescent="0.25">
      <c r="B37" s="390"/>
      <c r="C37" s="390"/>
      <c r="D37" s="390"/>
      <c r="E37" s="390"/>
      <c r="I37" s="98"/>
      <c r="J37" s="98"/>
      <c r="K37" s="390"/>
      <c r="M37" s="390"/>
      <c r="N37" s="390"/>
    </row>
    <row r="38" spans="2:14" ht="15" customHeight="1" x14ac:dyDescent="0.4">
      <c r="B38" s="98" t="s">
        <v>638</v>
      </c>
      <c r="D38" s="390"/>
      <c r="E38" s="390"/>
      <c r="I38" s="98"/>
      <c r="J38" s="98"/>
      <c r="K38" s="390"/>
      <c r="M38" s="390"/>
      <c r="N38" s="390"/>
    </row>
    <row r="39" spans="2:14" x14ac:dyDescent="0.25">
      <c r="B39" s="98" t="s">
        <v>285</v>
      </c>
      <c r="D39" s="390"/>
      <c r="E39" s="390">
        <f>12510*1.3</f>
        <v>16263</v>
      </c>
      <c r="F39" s="390" t="s">
        <v>148</v>
      </c>
      <c r="G39" s="98"/>
      <c r="I39" s="98"/>
      <c r="J39" s="98"/>
      <c r="K39" s="390"/>
      <c r="M39" s="390"/>
      <c r="N39" s="390"/>
    </row>
    <row r="40" spans="2:14" x14ac:dyDescent="0.25">
      <c r="F40" s="98"/>
      <c r="G40" s="98"/>
      <c r="I40" s="98"/>
      <c r="J40" s="98"/>
      <c r="K40" s="390"/>
      <c r="M40" s="390"/>
      <c r="N40" s="390"/>
    </row>
    <row r="41" spans="2:14" x14ac:dyDescent="0.25">
      <c r="B41" s="98" t="s">
        <v>639</v>
      </c>
      <c r="F41" s="98"/>
      <c r="G41" s="98"/>
      <c r="H41" s="98"/>
      <c r="I41" s="98"/>
      <c r="J41" s="98"/>
      <c r="K41" s="390"/>
      <c r="M41" s="390"/>
      <c r="N41" s="390"/>
    </row>
    <row r="42" spans="2:14" x14ac:dyDescent="0.25">
      <c r="F42" s="98"/>
      <c r="G42" s="98"/>
      <c r="H42" s="98"/>
      <c r="I42" s="98"/>
      <c r="J42" s="98"/>
      <c r="K42" s="390"/>
      <c r="M42" s="390"/>
      <c r="N42" s="390"/>
    </row>
    <row r="43" spans="2:14" x14ac:dyDescent="0.25">
      <c r="E43" s="390"/>
      <c r="F43" s="98"/>
      <c r="G43" s="98"/>
      <c r="I43" s="98"/>
      <c r="J43" s="98"/>
    </row>
    <row r="44" spans="2:14" ht="37.5" customHeight="1" x14ac:dyDescent="0.25">
      <c r="B44" s="992" t="s">
        <v>640</v>
      </c>
      <c r="C44" s="992"/>
      <c r="D44" s="992"/>
      <c r="E44" s="992"/>
      <c r="F44" s="992"/>
    </row>
    <row r="46" spans="2:14" x14ac:dyDescent="0.25">
      <c r="B46" s="430"/>
      <c r="C46" s="431"/>
      <c r="D46" s="432"/>
      <c r="E46" s="990" t="s">
        <v>173</v>
      </c>
      <c r="F46" s="990"/>
      <c r="G46" s="991"/>
      <c r="H46" s="395" t="s">
        <v>199</v>
      </c>
      <c r="I46" s="395" t="s">
        <v>263</v>
      </c>
    </row>
    <row r="47" spans="2:14" x14ac:dyDescent="0.25">
      <c r="B47" s="414"/>
      <c r="D47" s="407"/>
      <c r="E47" s="397" t="s">
        <v>175</v>
      </c>
      <c r="F47" s="395" t="s">
        <v>176</v>
      </c>
      <c r="G47" s="398" t="s">
        <v>145</v>
      </c>
      <c r="H47" s="399" t="s">
        <v>193</v>
      </c>
      <c r="I47" s="399" t="s">
        <v>84</v>
      </c>
    </row>
    <row r="48" spans="2:14" x14ac:dyDescent="0.25">
      <c r="B48" s="430" t="s">
        <v>96</v>
      </c>
      <c r="C48" s="431"/>
      <c r="D48" s="432"/>
      <c r="E48" s="395">
        <v>12510</v>
      </c>
      <c r="F48" s="395">
        <v>2285</v>
      </c>
      <c r="G48" s="395">
        <f>E48*F48</f>
        <v>28585350</v>
      </c>
      <c r="H48" s="395">
        <f>G48</f>
        <v>28585350</v>
      </c>
      <c r="I48" s="395"/>
    </row>
    <row r="49" spans="2:9" x14ac:dyDescent="0.25">
      <c r="B49" s="414"/>
      <c r="D49" s="407"/>
      <c r="E49" s="399"/>
      <c r="F49" s="399"/>
      <c r="G49" s="399"/>
      <c r="H49" s="399"/>
      <c r="I49" s="399"/>
    </row>
    <row r="50" spans="2:9" x14ac:dyDescent="0.25">
      <c r="B50" s="414" t="s">
        <v>88</v>
      </c>
      <c r="D50" s="407"/>
      <c r="E50" s="399">
        <f>E30</f>
        <v>112590</v>
      </c>
      <c r="F50" s="399">
        <v>130</v>
      </c>
      <c r="G50" s="405">
        <v>14636700</v>
      </c>
      <c r="H50" s="405">
        <v>15019506</v>
      </c>
      <c r="I50" s="405">
        <f>G50-H50</f>
        <v>-382806</v>
      </c>
    </row>
    <row r="51" spans="2:9" x14ac:dyDescent="0.25">
      <c r="B51" s="414" t="s">
        <v>90</v>
      </c>
      <c r="D51" s="407"/>
      <c r="E51" s="399">
        <f>E39</f>
        <v>16263</v>
      </c>
      <c r="F51" s="399">
        <v>170</v>
      </c>
      <c r="G51" s="405">
        <v>2764710</v>
      </c>
      <c r="H51" s="405">
        <v>2807244</v>
      </c>
      <c r="I51" s="406">
        <f>G51-H51</f>
        <v>-42534</v>
      </c>
    </row>
    <row r="52" spans="2:9" x14ac:dyDescent="0.25">
      <c r="B52" s="414"/>
      <c r="D52" s="407"/>
      <c r="E52" s="405"/>
      <c r="F52" s="405"/>
      <c r="G52" s="405"/>
      <c r="H52" s="405"/>
      <c r="I52" s="408">
        <f>SUM(I50:I51)</f>
        <v>-425340</v>
      </c>
    </row>
    <row r="53" spans="2:9" ht="15.6" x14ac:dyDescent="0.3">
      <c r="B53" s="422" t="s">
        <v>264</v>
      </c>
      <c r="D53" s="407"/>
      <c r="E53" s="405"/>
      <c r="F53" s="405"/>
      <c r="G53" s="405"/>
      <c r="H53" s="405"/>
      <c r="I53" s="410" t="s">
        <v>623</v>
      </c>
    </row>
    <row r="54" spans="2:9" x14ac:dyDescent="0.25">
      <c r="B54" s="433" t="s">
        <v>267</v>
      </c>
      <c r="D54" s="407"/>
      <c r="E54" s="399">
        <f>E51</f>
        <v>16263</v>
      </c>
      <c r="F54" s="399">
        <v>80</v>
      </c>
      <c r="G54" s="405">
        <v>1301040</v>
      </c>
      <c r="H54" s="405">
        <v>1411740</v>
      </c>
      <c r="I54" s="404">
        <f>G54-H54</f>
        <v>-110700</v>
      </c>
    </row>
    <row r="55" spans="2:9" x14ac:dyDescent="0.25">
      <c r="B55" s="434"/>
      <c r="C55" s="421"/>
      <c r="D55" s="426"/>
      <c r="E55" s="406"/>
      <c r="F55" s="406"/>
      <c r="G55" s="406"/>
      <c r="H55" s="405"/>
      <c r="I55" s="404"/>
    </row>
    <row r="56" spans="2:9" x14ac:dyDescent="0.25">
      <c r="B56" s="414" t="s">
        <v>152</v>
      </c>
      <c r="E56" s="405"/>
      <c r="G56" s="415">
        <f>SUM(G50:G54)</f>
        <v>18702450</v>
      </c>
      <c r="H56" s="405"/>
      <c r="I56" s="404"/>
    </row>
    <row r="57" spans="2:9" x14ac:dyDescent="0.25">
      <c r="B57" s="414" t="s">
        <v>624</v>
      </c>
      <c r="E57" s="405"/>
      <c r="G57" s="415"/>
      <c r="H57" s="405"/>
      <c r="I57" s="404"/>
    </row>
    <row r="58" spans="2:9" x14ac:dyDescent="0.25">
      <c r="B58" s="414" t="s">
        <v>154</v>
      </c>
      <c r="E58" s="405"/>
      <c r="G58" s="415"/>
      <c r="H58" s="405"/>
      <c r="I58" s="404"/>
    </row>
    <row r="59" spans="2:9" x14ac:dyDescent="0.25">
      <c r="B59" s="414" t="s">
        <v>625</v>
      </c>
      <c r="E59" s="405"/>
      <c r="G59" s="415"/>
      <c r="H59" s="405"/>
      <c r="I59" s="404"/>
    </row>
    <row r="60" spans="2:9" x14ac:dyDescent="0.25">
      <c r="B60" s="414" t="s">
        <v>156</v>
      </c>
      <c r="E60" s="405"/>
      <c r="G60" s="415"/>
      <c r="H60" s="405"/>
      <c r="I60" s="404"/>
    </row>
    <row r="61" spans="2:9" x14ac:dyDescent="0.25">
      <c r="B61" s="416" t="s">
        <v>626</v>
      </c>
      <c r="C61" s="421"/>
      <c r="D61" s="421"/>
      <c r="E61" s="406"/>
      <c r="F61" s="417"/>
      <c r="G61" s="418"/>
      <c r="H61" s="405"/>
      <c r="I61" s="404"/>
    </row>
    <row r="62" spans="2:9" x14ac:dyDescent="0.25">
      <c r="B62" s="414" t="s">
        <v>158</v>
      </c>
      <c r="E62" s="405"/>
      <c r="G62" s="415">
        <f>G56</f>
        <v>18702450</v>
      </c>
      <c r="H62" s="405"/>
      <c r="I62" s="404"/>
    </row>
    <row r="63" spans="2:9" x14ac:dyDescent="0.25">
      <c r="B63" s="416"/>
      <c r="C63" s="421"/>
      <c r="D63" s="421"/>
      <c r="E63" s="413"/>
      <c r="F63" s="419"/>
      <c r="G63" s="418"/>
      <c r="H63" s="405"/>
      <c r="I63" s="404"/>
    </row>
    <row r="64" spans="2:9" x14ac:dyDescent="0.25">
      <c r="B64" s="414" t="s">
        <v>159</v>
      </c>
      <c r="E64" s="405"/>
      <c r="G64" s="415">
        <f>G48-G62</f>
        <v>9882900</v>
      </c>
      <c r="H64" s="405"/>
      <c r="I64" s="404"/>
    </row>
    <row r="65" spans="1:16" x14ac:dyDescent="0.25">
      <c r="B65" s="414" t="s">
        <v>179</v>
      </c>
      <c r="E65" s="405"/>
      <c r="G65" s="415">
        <f>I52</f>
        <v>-425340</v>
      </c>
      <c r="H65" s="405"/>
      <c r="I65" s="404"/>
    </row>
    <row r="66" spans="1:16" x14ac:dyDescent="0.25">
      <c r="B66" s="416" t="s">
        <v>160</v>
      </c>
      <c r="C66" s="421"/>
      <c r="D66" s="421"/>
      <c r="E66" s="406"/>
      <c r="F66" s="417"/>
      <c r="G66" s="418">
        <f>I66</f>
        <v>-110700</v>
      </c>
      <c r="H66" s="405"/>
      <c r="I66" s="125">
        <f>SUM(I54:I65)</f>
        <v>-110700</v>
      </c>
    </row>
    <row r="67" spans="1:16" x14ac:dyDescent="0.25">
      <c r="B67" s="414" t="s">
        <v>161</v>
      </c>
      <c r="E67" s="405"/>
      <c r="G67" s="415">
        <f>SUM(G64:G66)</f>
        <v>9346860</v>
      </c>
      <c r="H67" s="405">
        <f>H48-H50-H51-H54</f>
        <v>9346860</v>
      </c>
      <c r="I67" s="404"/>
    </row>
    <row r="68" spans="1:16" ht="15.6" x14ac:dyDescent="0.3">
      <c r="B68" s="422" t="s">
        <v>162</v>
      </c>
      <c r="E68" s="405"/>
      <c r="G68" s="415"/>
      <c r="H68" s="405"/>
      <c r="I68" s="410" t="s">
        <v>163</v>
      </c>
    </row>
    <row r="69" spans="1:16" x14ac:dyDescent="0.25">
      <c r="B69" s="414"/>
      <c r="E69" s="405"/>
      <c r="G69" s="415"/>
      <c r="H69" s="405"/>
      <c r="I69" s="404"/>
    </row>
    <row r="70" spans="1:16" x14ac:dyDescent="0.25">
      <c r="B70" s="414" t="s">
        <v>267</v>
      </c>
      <c r="E70" s="405"/>
      <c r="G70" s="415">
        <v>6500000</v>
      </c>
      <c r="H70" s="405">
        <v>6650000</v>
      </c>
      <c r="I70" s="404">
        <f>G70-H70</f>
        <v>-150000</v>
      </c>
    </row>
    <row r="71" spans="1:16" x14ac:dyDescent="0.25">
      <c r="B71" s="414"/>
      <c r="E71" s="405"/>
      <c r="G71" s="415"/>
      <c r="H71" s="405"/>
      <c r="I71" s="404"/>
    </row>
    <row r="72" spans="1:16" x14ac:dyDescent="0.25">
      <c r="B72" s="414" t="s">
        <v>164</v>
      </c>
      <c r="E72" s="405"/>
      <c r="G72" s="415">
        <f>I72</f>
        <v>-150000</v>
      </c>
      <c r="H72" s="406"/>
      <c r="I72" s="400">
        <f>SUM(I70:I71)</f>
        <v>-150000</v>
      </c>
    </row>
    <row r="73" spans="1:16" x14ac:dyDescent="0.25">
      <c r="B73" s="424" t="s">
        <v>187</v>
      </c>
      <c r="C73" s="392"/>
      <c r="D73" s="392"/>
      <c r="E73" s="126"/>
      <c r="F73" s="429"/>
      <c r="G73" s="126">
        <f>G67-G70+G72</f>
        <v>2696860</v>
      </c>
      <c r="H73" s="417">
        <f>H48-H50-H51-H54-H70</f>
        <v>2696860</v>
      </c>
      <c r="I73" s="126"/>
    </row>
    <row r="75" spans="1:16" x14ac:dyDescent="0.25">
      <c r="B75" s="98" t="s">
        <v>165</v>
      </c>
    </row>
    <row r="76" spans="1:16" ht="27.6" x14ac:dyDescent="0.25">
      <c r="E76" s="870" t="s">
        <v>271</v>
      </c>
      <c r="F76" s="871" t="s">
        <v>269</v>
      </c>
      <c r="G76" s="871" t="s">
        <v>270</v>
      </c>
      <c r="H76" s="871" t="s">
        <v>463</v>
      </c>
      <c r="I76" s="871" t="s">
        <v>464</v>
      </c>
    </row>
    <row r="77" spans="1:16" ht="19.2" x14ac:dyDescent="0.25">
      <c r="B77" s="424"/>
      <c r="C77" s="392"/>
      <c r="D77" s="125"/>
      <c r="E77" s="872" t="s">
        <v>294</v>
      </c>
      <c r="F77" s="872" t="s">
        <v>295</v>
      </c>
      <c r="G77" s="872"/>
      <c r="H77" s="872" t="s">
        <v>296</v>
      </c>
      <c r="I77" s="872" t="s">
        <v>297</v>
      </c>
    </row>
    <row r="78" spans="1:16" x14ac:dyDescent="0.25">
      <c r="B78" s="424" t="s">
        <v>264</v>
      </c>
      <c r="C78" s="392"/>
      <c r="D78" s="125"/>
      <c r="E78" s="126">
        <f>G54</f>
        <v>1301040</v>
      </c>
      <c r="F78" s="126">
        <f>15012*80</f>
        <v>1200960</v>
      </c>
      <c r="G78" s="126">
        <f>H54</f>
        <v>1411740</v>
      </c>
      <c r="H78" s="126">
        <f>E78-F78</f>
        <v>100080</v>
      </c>
      <c r="I78" s="126">
        <f>F78-G78</f>
        <v>-210780</v>
      </c>
    </row>
    <row r="79" spans="1:16" x14ac:dyDescent="0.25">
      <c r="F79" s="98"/>
      <c r="G79" s="98"/>
      <c r="H79" s="98"/>
      <c r="I79" s="98"/>
    </row>
    <row r="80" spans="1:16" s="390" customFormat="1" x14ac:dyDescent="0.25">
      <c r="A80" s="98"/>
      <c r="B80" s="435" t="s">
        <v>308</v>
      </c>
      <c r="C80" s="98"/>
      <c r="D80" s="98"/>
      <c r="E80" s="98"/>
      <c r="F80" s="390">
        <f>15012*80</f>
        <v>1200960</v>
      </c>
      <c r="G80" s="98"/>
      <c r="H80" s="98"/>
      <c r="I80" s="98"/>
      <c r="K80" s="98"/>
      <c r="L80" s="98"/>
      <c r="M80" s="98"/>
      <c r="N80" s="98"/>
      <c r="O80" s="98"/>
      <c r="P80" s="98"/>
    </row>
    <row r="81" spans="1:16" s="390" customFormat="1" x14ac:dyDescent="0.25">
      <c r="A81" s="98"/>
      <c r="B81" s="435"/>
      <c r="C81" s="98"/>
      <c r="D81" s="98"/>
      <c r="E81" s="98"/>
      <c r="G81" s="98"/>
      <c r="H81" s="98"/>
      <c r="I81" s="98"/>
      <c r="K81" s="98"/>
      <c r="L81" s="98"/>
      <c r="M81" s="98"/>
      <c r="N81" s="98"/>
      <c r="O81" s="98"/>
      <c r="P81" s="98"/>
    </row>
    <row r="83" spans="1:16" s="390" customFormat="1" x14ac:dyDescent="0.25">
      <c r="A83" s="98" t="s">
        <v>203</v>
      </c>
      <c r="B83" s="98" t="str">
        <f>B48</f>
        <v>Salgsinntekter</v>
      </c>
      <c r="C83" s="98"/>
      <c r="D83" s="390">
        <f>H48</f>
        <v>28585350</v>
      </c>
      <c r="E83" s="98"/>
      <c r="K83" s="98"/>
      <c r="L83" s="98"/>
      <c r="M83" s="98"/>
      <c r="N83" s="98"/>
      <c r="O83" s="98"/>
      <c r="P83" s="98"/>
    </row>
    <row r="84" spans="1:16" s="390" customFormat="1" x14ac:dyDescent="0.25">
      <c r="A84" s="98"/>
      <c r="B84" s="98" t="str">
        <f>B67</f>
        <v>Virkelig dekningsbidrag</v>
      </c>
      <c r="C84" s="98"/>
      <c r="D84" s="390">
        <f>G67</f>
        <v>9346860</v>
      </c>
      <c r="E84" s="98"/>
      <c r="K84" s="98"/>
      <c r="L84" s="98"/>
      <c r="M84" s="98"/>
      <c r="N84" s="98"/>
      <c r="O84" s="98"/>
      <c r="P84" s="98"/>
    </row>
    <row r="86" spans="1:16" s="390" customFormat="1" x14ac:dyDescent="0.25">
      <c r="A86" s="98"/>
      <c r="B86" s="98" t="s">
        <v>371</v>
      </c>
      <c r="C86" s="436">
        <f>D84/D83</f>
        <v>0.32698077861561953</v>
      </c>
      <c r="D86" s="98"/>
      <c r="E86" s="98"/>
      <c r="K86" s="98"/>
      <c r="L86" s="98"/>
      <c r="M86" s="98"/>
      <c r="N86" s="98"/>
      <c r="O86" s="98"/>
      <c r="P86" s="98"/>
    </row>
    <row r="87" spans="1:16" s="390" customFormat="1" x14ac:dyDescent="0.25">
      <c r="A87" s="98"/>
      <c r="B87" s="98" t="s">
        <v>627</v>
      </c>
      <c r="C87" s="390">
        <f>H70/C86</f>
        <v>20337586.900841568</v>
      </c>
      <c r="D87" s="98"/>
      <c r="E87" s="98"/>
      <c r="K87" s="98"/>
      <c r="L87" s="98"/>
      <c r="M87" s="98"/>
      <c r="N87" s="98"/>
      <c r="O87" s="98"/>
      <c r="P87" s="98"/>
    </row>
    <row r="88" spans="1:16" s="390" customFormat="1" x14ac:dyDescent="0.25">
      <c r="A88" s="98"/>
      <c r="B88" s="98" t="s">
        <v>372</v>
      </c>
      <c r="C88" s="390">
        <f>D83-C87</f>
        <v>8247763.0991584323</v>
      </c>
      <c r="D88" s="98"/>
      <c r="E88" s="98"/>
      <c r="K88" s="98"/>
      <c r="L88" s="98"/>
      <c r="M88" s="98"/>
      <c r="N88" s="98"/>
      <c r="O88" s="98"/>
      <c r="P88" s="98"/>
    </row>
    <row r="89" spans="1:16" s="390" customFormat="1" x14ac:dyDescent="0.25">
      <c r="A89" s="98"/>
      <c r="B89" s="98" t="s">
        <v>373</v>
      </c>
      <c r="C89" s="436">
        <f>C88/D83</f>
        <v>0.2885311216815058</v>
      </c>
      <c r="D89" s="98"/>
      <c r="E89" s="98"/>
      <c r="K89" s="98"/>
      <c r="L89" s="98"/>
      <c r="M89" s="98"/>
      <c r="N89" s="98"/>
      <c r="O89" s="98"/>
      <c r="P89" s="98"/>
    </row>
    <row r="91" spans="1:16" s="390" customFormat="1" x14ac:dyDescent="0.25">
      <c r="A91" s="98"/>
      <c r="B91" s="98" t="s">
        <v>305</v>
      </c>
      <c r="C91" s="98"/>
      <c r="D91" s="98"/>
      <c r="E91" s="98"/>
      <c r="K91" s="98"/>
      <c r="L91" s="98"/>
      <c r="M91" s="98"/>
      <c r="N91" s="98"/>
      <c r="O91" s="98"/>
      <c r="P91" s="98"/>
    </row>
    <row r="94" spans="1:16" x14ac:dyDescent="0.25">
      <c r="A94" s="435" t="s">
        <v>204</v>
      </c>
      <c r="B94" s="98" t="s">
        <v>628</v>
      </c>
      <c r="C94" s="390"/>
    </row>
    <row r="95" spans="1:16" x14ac:dyDescent="0.25">
      <c r="B95" s="98" t="s">
        <v>306</v>
      </c>
      <c r="C95" s="390"/>
    </row>
    <row r="96" spans="1:16" x14ac:dyDescent="0.25">
      <c r="B96" s="98" t="s">
        <v>307</v>
      </c>
    </row>
    <row r="98" spans="1:7" ht="15.6" x14ac:dyDescent="0.3">
      <c r="A98" s="97" t="s">
        <v>580</v>
      </c>
      <c r="G98" s="98"/>
    </row>
    <row r="99" spans="1:7" x14ac:dyDescent="0.25">
      <c r="B99" s="437"/>
      <c r="G99" s="98"/>
    </row>
    <row r="100" spans="1:7" x14ac:dyDescent="0.25">
      <c r="B100" s="435" t="s">
        <v>629</v>
      </c>
      <c r="G100" s="98"/>
    </row>
    <row r="101" spans="1:7" x14ac:dyDescent="0.25">
      <c r="B101" s="435"/>
      <c r="G101" s="98"/>
    </row>
    <row r="102" spans="1:7" x14ac:dyDescent="0.25">
      <c r="B102" s="435" t="s">
        <v>287</v>
      </c>
      <c r="C102" s="98">
        <v>2285</v>
      </c>
      <c r="E102" s="98" t="s">
        <v>288</v>
      </c>
      <c r="F102" s="390">
        <v>12510</v>
      </c>
      <c r="G102" s="98"/>
    </row>
    <row r="103" spans="1:7" ht="18.600000000000001" x14ac:dyDescent="0.4">
      <c r="B103" s="435" t="s">
        <v>630</v>
      </c>
      <c r="C103" s="98">
        <v>2330</v>
      </c>
      <c r="E103" s="98" t="s">
        <v>631</v>
      </c>
      <c r="F103" s="390">
        <v>11200</v>
      </c>
      <c r="G103" s="98"/>
    </row>
    <row r="104" spans="1:7" ht="18.600000000000001" x14ac:dyDescent="0.4">
      <c r="B104" s="435"/>
      <c r="E104" s="98" t="s">
        <v>632</v>
      </c>
      <c r="F104" s="390">
        <f>E8</f>
        <v>835</v>
      </c>
      <c r="G104" s="98" t="s">
        <v>633</v>
      </c>
    </row>
    <row r="106" spans="1:7" x14ac:dyDescent="0.25">
      <c r="B106" s="98" t="s">
        <v>634</v>
      </c>
      <c r="E106" s="390">
        <f>F102*(C102-C103)</f>
        <v>-562950</v>
      </c>
      <c r="F106" s="98"/>
    </row>
    <row r="107" spans="1:7" x14ac:dyDescent="0.25">
      <c r="B107" s="98" t="s">
        <v>1146</v>
      </c>
      <c r="E107" s="390">
        <f>835*(12510-11200)</f>
        <v>1093850</v>
      </c>
      <c r="F107" s="98"/>
    </row>
    <row r="110" spans="1:7" ht="16.8" x14ac:dyDescent="0.3">
      <c r="B110" s="438" t="s">
        <v>206</v>
      </c>
      <c r="C110" s="438"/>
      <c r="D110" s="439">
        <f>F18</f>
        <v>2852000</v>
      </c>
      <c r="E110" s="98" t="s">
        <v>369</v>
      </c>
      <c r="F110" s="98"/>
    </row>
    <row r="111" spans="1:7" x14ac:dyDescent="0.25">
      <c r="B111" s="98" t="s">
        <v>140</v>
      </c>
      <c r="D111" s="390">
        <f>F27</f>
        <v>-870696</v>
      </c>
      <c r="F111" s="98"/>
    </row>
    <row r="112" spans="1:7" x14ac:dyDescent="0.25">
      <c r="B112" s="98" t="s">
        <v>141</v>
      </c>
      <c r="D112" s="390">
        <f>E27</f>
        <v>487890</v>
      </c>
      <c r="F112" s="98"/>
    </row>
    <row r="113" spans="2:7" x14ac:dyDescent="0.25">
      <c r="B113" s="98" t="s">
        <v>78</v>
      </c>
      <c r="D113" s="390">
        <f>F36</f>
        <v>-255204</v>
      </c>
      <c r="F113" s="98"/>
    </row>
    <row r="114" spans="2:7" x14ac:dyDescent="0.25">
      <c r="B114" s="98" t="s">
        <v>79</v>
      </c>
      <c r="D114" s="390">
        <f>E36</f>
        <v>212670</v>
      </c>
      <c r="F114" s="98"/>
    </row>
    <row r="115" spans="2:7" x14ac:dyDescent="0.25">
      <c r="B115" s="98" t="s">
        <v>370</v>
      </c>
      <c r="D115" s="390">
        <f>H78</f>
        <v>100080</v>
      </c>
      <c r="F115" s="98"/>
    </row>
    <row r="116" spans="2:7" x14ac:dyDescent="0.25">
      <c r="B116" s="98" t="s">
        <v>293</v>
      </c>
      <c r="D116" s="390">
        <f>I78</f>
        <v>-210780</v>
      </c>
      <c r="F116" s="98"/>
    </row>
    <row r="117" spans="2:7" x14ac:dyDescent="0.25">
      <c r="B117" s="98" t="s">
        <v>164</v>
      </c>
      <c r="D117" s="390">
        <f>G72</f>
        <v>-150000</v>
      </c>
      <c r="F117" s="98"/>
    </row>
    <row r="118" spans="2:7" x14ac:dyDescent="0.25">
      <c r="B118" s="98" t="s">
        <v>210</v>
      </c>
      <c r="D118" s="390">
        <f>E106</f>
        <v>-562950</v>
      </c>
      <c r="F118" s="98"/>
    </row>
    <row r="119" spans="2:7" x14ac:dyDescent="0.25">
      <c r="B119" s="98" t="s">
        <v>1145</v>
      </c>
      <c r="D119" s="390">
        <f>E107</f>
        <v>1093850</v>
      </c>
      <c r="F119" s="98"/>
    </row>
    <row r="120" spans="2:7" ht="16.8" x14ac:dyDescent="0.3">
      <c r="B120" s="438" t="s">
        <v>211</v>
      </c>
      <c r="C120" s="438"/>
      <c r="D120" s="440">
        <f>SUM(D110:D119)</f>
        <v>2696860</v>
      </c>
      <c r="E120" s="98" t="s">
        <v>635</v>
      </c>
      <c r="F120" s="98"/>
      <c r="G120" s="98"/>
    </row>
    <row r="122" spans="2:7" x14ac:dyDescent="0.25">
      <c r="B122" s="98" t="s">
        <v>636</v>
      </c>
    </row>
  </sheetData>
  <mergeCells count="2">
    <mergeCell ref="E46:G46"/>
    <mergeCell ref="B44:F44"/>
  </mergeCells>
  <phoneticPr fontId="42" type="noConversion"/>
  <pageMargins left="0.39370078740157483" right="0.39370078740157483" top="0.98425196850393704" bottom="0.98425196850393704" header="0.51181102362204722" footer="0.51181102362204722"/>
  <pageSetup paperSize="9" scale="65" fitToHeight="0" orientation="portrait" r:id="rId1"/>
  <headerFooter alignWithMargins="0">
    <oddHeader>&amp;A&amp;RSide &amp;P</oddHeader>
    <oddFooter>&amp;CLøsning kapittel 5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pageSetUpPr fitToPage="1"/>
  </sheetPr>
  <dimension ref="A1:P166"/>
  <sheetViews>
    <sheetView zoomScaleNormal="100" zoomScalePageLayoutView="125" workbookViewId="0">
      <selection activeCell="B152" sqref="B152"/>
    </sheetView>
  </sheetViews>
  <sheetFormatPr baseColWidth="10" defaultColWidth="11.33203125" defaultRowHeight="15" x14ac:dyDescent="0.25"/>
  <cols>
    <col min="1" max="1" width="5" style="156" customWidth="1"/>
    <col min="2" max="3" width="10.88671875" style="156" customWidth="1"/>
    <col min="4" max="4" width="18.6640625" style="444" customWidth="1"/>
    <col min="5" max="5" width="16" style="444" customWidth="1"/>
    <col min="6" max="6" width="15.88671875" style="444" customWidth="1"/>
    <col min="7" max="7" width="15.109375" style="444" bestFit="1" customWidth="1"/>
    <col min="8" max="8" width="16.109375" style="444" customWidth="1"/>
    <col min="9" max="9" width="14.88671875" style="444" customWidth="1"/>
    <col min="10" max="10" width="11.33203125" style="444"/>
    <col min="11" max="11" width="11.33203125" style="156"/>
    <col min="12" max="12" width="20" style="156" customWidth="1"/>
    <col min="13" max="13" width="23" style="156" customWidth="1"/>
    <col min="14" max="14" width="26.88671875" style="156" customWidth="1"/>
    <col min="15" max="15" width="25.88671875" style="156" customWidth="1"/>
    <col min="16" max="16" width="28.88671875" style="156" customWidth="1"/>
    <col min="17" max="16384" width="11.33203125" style="156"/>
  </cols>
  <sheetData>
    <row r="1" spans="1:5" ht="15.6" x14ac:dyDescent="0.3">
      <c r="B1" s="155" t="s">
        <v>1147</v>
      </c>
    </row>
    <row r="3" spans="1:5" x14ac:dyDescent="0.25">
      <c r="B3" s="156" t="s">
        <v>96</v>
      </c>
      <c r="E3" s="444">
        <v>7700000</v>
      </c>
    </row>
    <row r="4" spans="1:5" x14ac:dyDescent="0.25">
      <c r="B4" s="156" t="s">
        <v>88</v>
      </c>
      <c r="D4" s="444">
        <v>3520000</v>
      </c>
    </row>
    <row r="5" spans="1:5" x14ac:dyDescent="0.25">
      <c r="B5" s="156" t="s">
        <v>90</v>
      </c>
      <c r="D5" s="444">
        <v>1650000</v>
      </c>
    </row>
    <row r="6" spans="1:5" x14ac:dyDescent="0.25">
      <c r="B6" s="156" t="s">
        <v>641</v>
      </c>
      <c r="D6" s="444">
        <v>275000</v>
      </c>
    </row>
    <row r="7" spans="1:5" x14ac:dyDescent="0.25">
      <c r="B7" s="156" t="s">
        <v>126</v>
      </c>
      <c r="D7" s="445">
        <f>SUM(D4:D6)</f>
        <v>5445000</v>
      </c>
      <c r="E7" s="446">
        <f>D7</f>
        <v>5445000</v>
      </c>
    </row>
    <row r="8" spans="1:5" x14ac:dyDescent="0.25">
      <c r="B8" s="156" t="s">
        <v>131</v>
      </c>
      <c r="E8" s="444">
        <f>E3-E7</f>
        <v>2255000</v>
      </c>
    </row>
    <row r="9" spans="1:5" x14ac:dyDescent="0.25">
      <c r="B9" s="156" t="s">
        <v>162</v>
      </c>
    </row>
    <row r="10" spans="1:5" x14ac:dyDescent="0.25">
      <c r="B10" s="447" t="s">
        <v>267</v>
      </c>
      <c r="E10" s="444">
        <v>750000</v>
      </c>
    </row>
    <row r="11" spans="1:5" x14ac:dyDescent="0.25">
      <c r="B11" s="448" t="s">
        <v>309</v>
      </c>
      <c r="C11" s="449"/>
      <c r="D11" s="446"/>
      <c r="E11" s="444">
        <v>550000</v>
      </c>
    </row>
    <row r="12" spans="1:5" x14ac:dyDescent="0.25">
      <c r="E12" s="445">
        <f>E8-E10-E11</f>
        <v>955000</v>
      </c>
    </row>
    <row r="14" spans="1:5" x14ac:dyDescent="0.25">
      <c r="A14" s="156" t="s">
        <v>189</v>
      </c>
      <c r="B14" s="156" t="s">
        <v>642</v>
      </c>
    </row>
    <row r="16" spans="1:5" x14ac:dyDescent="0.25">
      <c r="B16" s="156" t="s">
        <v>310</v>
      </c>
      <c r="E16" s="444">
        <f>E3/1100</f>
        <v>7000</v>
      </c>
    </row>
    <row r="18" spans="1:8" x14ac:dyDescent="0.25">
      <c r="B18" s="156" t="s">
        <v>88</v>
      </c>
      <c r="E18" s="444">
        <f>D4/1100</f>
        <v>3200</v>
      </c>
    </row>
    <row r="19" spans="1:8" x14ac:dyDescent="0.25">
      <c r="B19" s="156" t="s">
        <v>90</v>
      </c>
      <c r="E19" s="444">
        <f>D5/1100</f>
        <v>1500</v>
      </c>
    </row>
    <row r="20" spans="1:8" x14ac:dyDescent="0.25">
      <c r="B20" s="449" t="s">
        <v>311</v>
      </c>
      <c r="C20" s="449"/>
      <c r="D20" s="446"/>
      <c r="E20" s="446">
        <f>D6/1100</f>
        <v>250</v>
      </c>
    </row>
    <row r="21" spans="1:8" x14ac:dyDescent="0.25">
      <c r="E21" s="445">
        <f>SUM(E18:E20)</f>
        <v>4950</v>
      </c>
    </row>
    <row r="23" spans="1:8" x14ac:dyDescent="0.25">
      <c r="B23" s="156" t="s">
        <v>124</v>
      </c>
      <c r="E23" s="444">
        <f>E16-E21</f>
        <v>2050</v>
      </c>
    </row>
    <row r="26" spans="1:8" x14ac:dyDescent="0.25">
      <c r="A26" s="156" t="s">
        <v>191</v>
      </c>
      <c r="B26" s="156" t="s">
        <v>312</v>
      </c>
      <c r="F26" s="444" t="s">
        <v>313</v>
      </c>
    </row>
    <row r="27" spans="1:8" x14ac:dyDescent="0.25">
      <c r="B27" s="156" t="s">
        <v>314</v>
      </c>
      <c r="F27" s="444" t="s">
        <v>315</v>
      </c>
    </row>
    <row r="30" spans="1:8" ht="15.6" x14ac:dyDescent="0.3">
      <c r="A30" s="156" t="s">
        <v>197</v>
      </c>
      <c r="B30" s="155" t="s">
        <v>81</v>
      </c>
      <c r="D30" s="156"/>
      <c r="E30" s="156"/>
      <c r="F30" s="156"/>
      <c r="G30" s="156"/>
      <c r="H30" s="156"/>
    </row>
    <row r="31" spans="1:8" x14ac:dyDescent="0.25">
      <c r="C31" s="157"/>
      <c r="D31" s="158" t="s">
        <v>615</v>
      </c>
      <c r="E31" s="158" t="s">
        <v>720</v>
      </c>
      <c r="F31" s="158" t="s">
        <v>83</v>
      </c>
      <c r="G31" s="158" t="s">
        <v>141</v>
      </c>
      <c r="H31" s="158" t="s">
        <v>140</v>
      </c>
    </row>
    <row r="32" spans="1:8" x14ac:dyDescent="0.25">
      <c r="C32" s="157"/>
      <c r="D32" s="101" t="s">
        <v>586</v>
      </c>
      <c r="E32" s="101" t="s">
        <v>587</v>
      </c>
      <c r="F32" s="101" t="s">
        <v>588</v>
      </c>
      <c r="G32" s="101" t="s">
        <v>589</v>
      </c>
      <c r="H32" s="101" t="s">
        <v>590</v>
      </c>
    </row>
    <row r="33" spans="2:10" x14ac:dyDescent="0.25">
      <c r="C33" s="157"/>
      <c r="D33" s="159" t="s">
        <v>85</v>
      </c>
      <c r="E33" s="159" t="s">
        <v>212</v>
      </c>
      <c r="F33" s="159" t="s">
        <v>213</v>
      </c>
      <c r="G33" s="160"/>
      <c r="H33" s="161"/>
    </row>
    <row r="34" spans="2:10" x14ac:dyDescent="0.25">
      <c r="C34" s="157"/>
      <c r="D34" s="162">
        <f>400*E39</f>
        <v>4480000</v>
      </c>
      <c r="E34" s="162">
        <f>400*12000</f>
        <v>4800000</v>
      </c>
      <c r="F34" s="162">
        <v>4600000</v>
      </c>
      <c r="G34" s="162">
        <f>D34-E34</f>
        <v>-320000</v>
      </c>
      <c r="H34" s="162">
        <f>E34-F34</f>
        <v>200000</v>
      </c>
    </row>
    <row r="35" spans="2:10" x14ac:dyDescent="0.25">
      <c r="D35" s="163"/>
      <c r="E35" s="163"/>
      <c r="F35" s="163"/>
      <c r="G35" s="163"/>
      <c r="H35" s="163"/>
    </row>
    <row r="36" spans="2:10" ht="18" x14ac:dyDescent="0.4">
      <c r="B36" s="155" t="s">
        <v>643</v>
      </c>
    </row>
    <row r="37" spans="2:10" x14ac:dyDescent="0.25">
      <c r="B37" s="156" t="s">
        <v>316</v>
      </c>
      <c r="E37" s="444">
        <f>1200*8</f>
        <v>9600</v>
      </c>
    </row>
    <row r="38" spans="2:10" x14ac:dyDescent="0.25">
      <c r="B38" s="156" t="s">
        <v>317</v>
      </c>
      <c r="E38" s="444">
        <f>8*200</f>
        <v>1600</v>
      </c>
    </row>
    <row r="39" spans="2:10" x14ac:dyDescent="0.25">
      <c r="E39" s="445">
        <f>SUM(E37:E38)</f>
        <v>11200</v>
      </c>
      <c r="F39" s="444" t="s">
        <v>147</v>
      </c>
      <c r="J39" s="156"/>
    </row>
    <row r="41" spans="2:10" x14ac:dyDescent="0.25">
      <c r="B41" s="993"/>
      <c r="C41" s="993"/>
      <c r="D41" s="993"/>
      <c r="E41" s="993"/>
      <c r="F41" s="993"/>
      <c r="G41" s="993"/>
    </row>
    <row r="42" spans="2:10" x14ac:dyDescent="0.25">
      <c r="B42" s="444"/>
      <c r="C42" s="444"/>
    </row>
    <row r="43" spans="2:10" ht="15.6" x14ac:dyDescent="0.3">
      <c r="B43" s="164" t="s">
        <v>214</v>
      </c>
      <c r="D43" s="163"/>
      <c r="E43" s="163"/>
      <c r="F43" s="163"/>
      <c r="G43" s="163"/>
      <c r="H43" s="163"/>
    </row>
    <row r="44" spans="2:10" ht="17.25" customHeight="1" x14ac:dyDescent="0.25">
      <c r="D44" s="158" t="s">
        <v>615</v>
      </c>
      <c r="E44" s="158" t="s">
        <v>720</v>
      </c>
      <c r="F44" s="158" t="s">
        <v>83</v>
      </c>
      <c r="G44" s="158" t="s">
        <v>79</v>
      </c>
      <c r="H44" s="158" t="s">
        <v>622</v>
      </c>
    </row>
    <row r="45" spans="2:10" x14ac:dyDescent="0.25">
      <c r="D45" s="101" t="s">
        <v>586</v>
      </c>
      <c r="E45" s="101" t="s">
        <v>591</v>
      </c>
      <c r="F45" s="101" t="s">
        <v>588</v>
      </c>
      <c r="G45" s="101" t="s">
        <v>589</v>
      </c>
      <c r="H45" s="101" t="s">
        <v>606</v>
      </c>
    </row>
    <row r="46" spans="2:10" x14ac:dyDescent="0.25">
      <c r="D46" s="159" t="s">
        <v>215</v>
      </c>
      <c r="E46" s="159" t="s">
        <v>216</v>
      </c>
      <c r="F46" s="159" t="s">
        <v>217</v>
      </c>
      <c r="G46" s="160" t="s">
        <v>261</v>
      </c>
      <c r="H46" s="161" t="s">
        <v>262</v>
      </c>
    </row>
    <row r="47" spans="2:10" x14ac:dyDescent="0.25">
      <c r="D47" s="162">
        <f>300*E54</f>
        <v>1950000</v>
      </c>
      <c r="E47" s="162">
        <f>300*6730</f>
        <v>2019000</v>
      </c>
      <c r="F47" s="162">
        <v>1884400</v>
      </c>
      <c r="G47" s="162">
        <f>D47-E47</f>
        <v>-69000</v>
      </c>
      <c r="H47" s="162">
        <f>E47-F47</f>
        <v>134600</v>
      </c>
    </row>
    <row r="48" spans="2:10" x14ac:dyDescent="0.25">
      <c r="D48" s="156"/>
      <c r="E48" s="156"/>
      <c r="F48" s="156"/>
      <c r="G48" s="156"/>
      <c r="H48" s="156"/>
    </row>
    <row r="49" spans="1:6" x14ac:dyDescent="0.25">
      <c r="B49" s="444"/>
      <c r="C49" s="444"/>
    </row>
    <row r="50" spans="1:6" x14ac:dyDescent="0.25">
      <c r="B50" s="444"/>
      <c r="C50" s="444"/>
    </row>
    <row r="51" spans="1:6" ht="18" x14ac:dyDescent="0.4">
      <c r="B51" s="155" t="s">
        <v>644</v>
      </c>
    </row>
    <row r="52" spans="1:6" x14ac:dyDescent="0.25">
      <c r="B52" s="156" t="s">
        <v>318</v>
      </c>
      <c r="E52" s="444">
        <f>1200*5</f>
        <v>6000</v>
      </c>
    </row>
    <row r="53" spans="1:6" x14ac:dyDescent="0.25">
      <c r="B53" s="156" t="s">
        <v>645</v>
      </c>
      <c r="E53" s="444">
        <f>200*2.5</f>
        <v>500</v>
      </c>
    </row>
    <row r="54" spans="1:6" x14ac:dyDescent="0.25">
      <c r="E54" s="445">
        <f>SUM(E52:E53)</f>
        <v>6500</v>
      </c>
      <c r="F54" s="444" t="s">
        <v>148</v>
      </c>
    </row>
    <row r="56" spans="1:6" x14ac:dyDescent="0.25">
      <c r="B56" s="156" t="s">
        <v>305</v>
      </c>
    </row>
    <row r="59" spans="1:6" ht="15.6" x14ac:dyDescent="0.3">
      <c r="A59" s="156" t="s">
        <v>203</v>
      </c>
      <c r="B59" s="155" t="s">
        <v>319</v>
      </c>
    </row>
    <row r="60" spans="1:6" x14ac:dyDescent="0.25">
      <c r="B60" s="156" t="s">
        <v>320</v>
      </c>
      <c r="E60" s="444">
        <f>400*8</f>
        <v>3200</v>
      </c>
    </row>
    <row r="61" spans="1:6" x14ac:dyDescent="0.25">
      <c r="B61" s="156" t="s">
        <v>646</v>
      </c>
      <c r="E61" s="444">
        <f>300*2.5</f>
        <v>750</v>
      </c>
    </row>
    <row r="62" spans="1:6" x14ac:dyDescent="0.25">
      <c r="B62" s="156" t="s">
        <v>647</v>
      </c>
      <c r="E62" s="444">
        <f>50*2.5</f>
        <v>125</v>
      </c>
    </row>
    <row r="63" spans="1:6" x14ac:dyDescent="0.25">
      <c r="B63" s="450" t="s">
        <v>321</v>
      </c>
      <c r="C63" s="450"/>
      <c r="D63" s="445"/>
      <c r="E63" s="445">
        <f>SUM(E60:E62)</f>
        <v>4075</v>
      </c>
    </row>
    <row r="65" spans="1:16" x14ac:dyDescent="0.25">
      <c r="B65" s="451"/>
      <c r="C65" s="452"/>
      <c r="D65" s="453"/>
      <c r="E65" s="994" t="s">
        <v>173</v>
      </c>
      <c r="F65" s="994"/>
      <c r="G65" s="995"/>
      <c r="H65" s="454" t="s">
        <v>199</v>
      </c>
      <c r="I65" s="454" t="s">
        <v>263</v>
      </c>
    </row>
    <row r="66" spans="1:16" s="444" customFormat="1" x14ac:dyDescent="0.25">
      <c r="A66" s="156"/>
      <c r="B66" s="455"/>
      <c r="C66" s="156"/>
      <c r="D66" s="456"/>
      <c r="E66" s="457" t="s">
        <v>175</v>
      </c>
      <c r="F66" s="454" t="s">
        <v>176</v>
      </c>
      <c r="G66" s="458" t="s">
        <v>145</v>
      </c>
      <c r="H66" s="459" t="s">
        <v>193</v>
      </c>
      <c r="I66" s="460" t="s">
        <v>84</v>
      </c>
      <c r="K66" s="156"/>
      <c r="L66" s="156"/>
      <c r="M66" s="156"/>
      <c r="N66" s="156"/>
      <c r="O66" s="156"/>
      <c r="P66" s="156"/>
    </row>
    <row r="67" spans="1:16" s="444" customFormat="1" x14ac:dyDescent="0.25">
      <c r="A67" s="156"/>
      <c r="B67" s="451" t="s">
        <v>96</v>
      </c>
      <c r="C67" s="452"/>
      <c r="D67" s="453"/>
      <c r="E67" s="461">
        <v>1300</v>
      </c>
      <c r="F67" s="461">
        <v>6900</v>
      </c>
      <c r="G67" s="462">
        <f>E67*F67</f>
        <v>8970000</v>
      </c>
      <c r="H67" s="462">
        <f>G67</f>
        <v>8970000</v>
      </c>
      <c r="I67" s="461"/>
      <c r="K67" s="156"/>
      <c r="L67" s="156"/>
      <c r="M67" s="156"/>
      <c r="N67" s="156"/>
      <c r="O67" s="156"/>
      <c r="P67" s="156"/>
    </row>
    <row r="68" spans="1:16" s="444" customFormat="1" x14ac:dyDescent="0.25">
      <c r="A68" s="156"/>
      <c r="B68" s="455"/>
      <c r="C68" s="156"/>
      <c r="D68" s="456"/>
      <c r="E68" s="462"/>
      <c r="F68" s="462"/>
      <c r="G68" s="462"/>
      <c r="H68" s="462"/>
      <c r="I68" s="462"/>
      <c r="K68" s="156"/>
      <c r="L68" s="156"/>
      <c r="M68" s="156"/>
      <c r="N68" s="156"/>
      <c r="O68" s="156"/>
      <c r="P68" s="156"/>
    </row>
    <row r="69" spans="1:16" s="444" customFormat="1" x14ac:dyDescent="0.25">
      <c r="A69" s="156"/>
      <c r="B69" s="455" t="s">
        <v>88</v>
      </c>
      <c r="C69" s="156"/>
      <c r="D69" s="456"/>
      <c r="E69" s="462">
        <f>E39</f>
        <v>11200</v>
      </c>
      <c r="F69" s="462">
        <v>400</v>
      </c>
      <c r="G69" s="462">
        <f>E69*F69</f>
        <v>4480000</v>
      </c>
      <c r="H69" s="462">
        <v>4600000</v>
      </c>
      <c r="I69" s="462">
        <f>G69-H69</f>
        <v>-120000</v>
      </c>
      <c r="K69" s="156"/>
      <c r="L69" s="156"/>
      <c r="M69" s="156"/>
      <c r="N69" s="156"/>
      <c r="O69" s="156"/>
      <c r="P69" s="156"/>
    </row>
    <row r="70" spans="1:16" s="444" customFormat="1" x14ac:dyDescent="0.25">
      <c r="A70" s="156"/>
      <c r="B70" s="455" t="s">
        <v>90</v>
      </c>
      <c r="C70" s="156"/>
      <c r="D70" s="456"/>
      <c r="E70" s="462">
        <f>E54</f>
        <v>6500</v>
      </c>
      <c r="F70" s="462">
        <v>300</v>
      </c>
      <c r="G70" s="462">
        <f>E70*F70</f>
        <v>1950000</v>
      </c>
      <c r="H70" s="462">
        <v>1884400</v>
      </c>
      <c r="I70" s="463">
        <f>G70-H70</f>
        <v>65600</v>
      </c>
      <c r="K70" s="156"/>
      <c r="L70" s="156"/>
      <c r="M70" s="156"/>
      <c r="N70" s="156"/>
      <c r="O70" s="156"/>
      <c r="P70" s="156"/>
    </row>
    <row r="71" spans="1:16" s="444" customFormat="1" x14ac:dyDescent="0.25">
      <c r="A71" s="156"/>
      <c r="B71" s="455"/>
      <c r="C71" s="156"/>
      <c r="D71" s="456"/>
      <c r="E71" s="462"/>
      <c r="F71" s="462"/>
      <c r="G71" s="462"/>
      <c r="H71" s="462"/>
      <c r="I71" s="464">
        <f>SUM(I69:I70)</f>
        <v>-54400</v>
      </c>
      <c r="K71" s="156"/>
      <c r="L71" s="156"/>
      <c r="M71" s="156"/>
      <c r="N71" s="156"/>
      <c r="O71" s="156"/>
      <c r="P71" s="156"/>
    </row>
    <row r="72" spans="1:16" s="444" customFormat="1" ht="15.6" x14ac:dyDescent="0.3">
      <c r="A72" s="156"/>
      <c r="B72" s="465" t="s">
        <v>264</v>
      </c>
      <c r="C72" s="156"/>
      <c r="D72" s="456"/>
      <c r="E72" s="462"/>
      <c r="F72" s="462"/>
      <c r="G72" s="462"/>
      <c r="H72" s="462"/>
      <c r="I72" s="466" t="s">
        <v>265</v>
      </c>
      <c r="K72" s="156"/>
      <c r="L72" s="156"/>
      <c r="M72" s="156"/>
      <c r="N72" s="156"/>
      <c r="O72" s="156"/>
      <c r="P72" s="156"/>
    </row>
    <row r="73" spans="1:16" s="444" customFormat="1" x14ac:dyDescent="0.25">
      <c r="A73" s="156"/>
      <c r="B73" s="467"/>
      <c r="C73" s="156"/>
      <c r="D73" s="456"/>
      <c r="E73" s="462"/>
      <c r="F73" s="462"/>
      <c r="G73" s="462"/>
      <c r="H73" s="462"/>
      <c r="I73" s="468"/>
      <c r="K73" s="156"/>
      <c r="L73" s="156"/>
      <c r="M73" s="156"/>
      <c r="N73" s="156"/>
      <c r="O73" s="156"/>
      <c r="P73" s="156"/>
    </row>
    <row r="74" spans="1:16" s="444" customFormat="1" x14ac:dyDescent="0.25">
      <c r="A74" s="156"/>
      <c r="B74" s="467" t="s">
        <v>267</v>
      </c>
      <c r="C74" s="156"/>
      <c r="D74" s="456"/>
      <c r="E74" s="462">
        <f>E70</f>
        <v>6500</v>
      </c>
      <c r="F74" s="462">
        <v>50</v>
      </c>
      <c r="G74" s="462">
        <f>E74*F74</f>
        <v>325000</v>
      </c>
      <c r="H74" s="462">
        <v>302400</v>
      </c>
      <c r="I74" s="468">
        <f>G74-H74</f>
        <v>22600</v>
      </c>
      <c r="K74" s="156"/>
      <c r="L74" s="156"/>
      <c r="M74" s="156"/>
      <c r="N74" s="156"/>
      <c r="O74" s="156"/>
      <c r="P74" s="156"/>
    </row>
    <row r="75" spans="1:16" s="444" customFormat="1" x14ac:dyDescent="0.25">
      <c r="A75" s="156"/>
      <c r="B75" s="467"/>
      <c r="C75" s="156"/>
      <c r="D75" s="456"/>
      <c r="E75" s="462"/>
      <c r="F75" s="462"/>
      <c r="G75" s="462"/>
      <c r="H75" s="462"/>
      <c r="I75" s="468"/>
      <c r="K75" s="156"/>
      <c r="L75" s="156"/>
      <c r="M75" s="156"/>
      <c r="N75" s="156"/>
      <c r="O75" s="156"/>
      <c r="P75" s="156"/>
    </row>
    <row r="76" spans="1:16" s="444" customFormat="1" x14ac:dyDescent="0.25">
      <c r="A76" s="156"/>
      <c r="B76" s="455" t="s">
        <v>152</v>
      </c>
      <c r="C76" s="156"/>
      <c r="D76" s="456"/>
      <c r="E76" s="462"/>
      <c r="F76" s="462"/>
      <c r="G76" s="462">
        <f>SUM(G69:G74)</f>
        <v>6755000</v>
      </c>
      <c r="H76" s="462"/>
      <c r="I76" s="468"/>
      <c r="K76" s="156"/>
      <c r="L76" s="156"/>
      <c r="M76" s="156"/>
      <c r="N76" s="156"/>
      <c r="O76" s="156"/>
      <c r="P76" s="156"/>
    </row>
    <row r="77" spans="1:16" s="444" customFormat="1" x14ac:dyDescent="0.25">
      <c r="A77" s="156"/>
      <c r="B77" s="455" t="s">
        <v>323</v>
      </c>
      <c r="C77" s="156"/>
      <c r="D77" s="456"/>
      <c r="E77" s="462">
        <v>200</v>
      </c>
      <c r="F77" s="462">
        <f>E63</f>
        <v>4075</v>
      </c>
      <c r="G77" s="462">
        <f>-E77*F77</f>
        <v>-815000</v>
      </c>
      <c r="H77" s="462">
        <f>G77</f>
        <v>-815000</v>
      </c>
      <c r="I77" s="468"/>
      <c r="K77" s="156"/>
      <c r="L77" s="156"/>
      <c r="M77" s="156"/>
      <c r="N77" s="156"/>
      <c r="O77" s="156"/>
      <c r="P77" s="156"/>
    </row>
    <row r="78" spans="1:16" s="444" customFormat="1" x14ac:dyDescent="0.25">
      <c r="A78" s="156"/>
      <c r="B78" s="455" t="s">
        <v>154</v>
      </c>
      <c r="C78" s="156"/>
      <c r="D78" s="456"/>
      <c r="E78" s="462"/>
      <c r="F78" s="462"/>
      <c r="G78" s="462">
        <f>SUM(G76:G77)</f>
        <v>5940000</v>
      </c>
      <c r="H78" s="462"/>
      <c r="I78" s="468"/>
      <c r="K78" s="156"/>
      <c r="L78" s="156"/>
      <c r="M78" s="156"/>
      <c r="N78" s="156"/>
      <c r="O78" s="156"/>
      <c r="P78" s="156"/>
    </row>
    <row r="79" spans="1:16" s="444" customFormat="1" x14ac:dyDescent="0.25">
      <c r="A79" s="156"/>
      <c r="B79" s="455" t="s">
        <v>286</v>
      </c>
      <c r="C79" s="156"/>
      <c r="D79" s="456"/>
      <c r="E79" s="462">
        <v>100</v>
      </c>
      <c r="F79" s="462">
        <f>E21</f>
        <v>4950</v>
      </c>
      <c r="G79" s="462">
        <f>E79*F79</f>
        <v>495000</v>
      </c>
      <c r="H79" s="462">
        <f>G79</f>
        <v>495000</v>
      </c>
      <c r="I79" s="468"/>
      <c r="K79" s="156"/>
      <c r="L79" s="156"/>
      <c r="M79" s="156"/>
      <c r="N79" s="156"/>
      <c r="O79" s="156"/>
      <c r="P79" s="156"/>
    </row>
    <row r="80" spans="1:16" s="444" customFormat="1" x14ac:dyDescent="0.25">
      <c r="A80" s="156"/>
      <c r="B80" s="455" t="s">
        <v>156</v>
      </c>
      <c r="C80" s="156"/>
      <c r="D80" s="456"/>
      <c r="E80" s="462"/>
      <c r="F80" s="462"/>
      <c r="G80" s="462">
        <f>SUM(G78:G79)</f>
        <v>6435000</v>
      </c>
      <c r="H80" s="462"/>
      <c r="I80" s="468"/>
      <c r="K80" s="156"/>
      <c r="L80" s="156"/>
      <c r="M80" s="156"/>
      <c r="N80" s="156"/>
      <c r="O80" s="156"/>
      <c r="P80" s="156"/>
    </row>
    <row r="81" spans="1:16" s="444" customFormat="1" x14ac:dyDescent="0.25">
      <c r="A81" s="156"/>
      <c r="B81" s="455" t="s">
        <v>157</v>
      </c>
      <c r="C81" s="156"/>
      <c r="D81" s="456"/>
      <c r="E81" s="462"/>
      <c r="F81" s="462"/>
      <c r="G81" s="462"/>
      <c r="H81" s="462"/>
      <c r="I81" s="468"/>
      <c r="K81" s="156"/>
      <c r="L81" s="156"/>
      <c r="M81" s="156"/>
      <c r="N81" s="156"/>
      <c r="O81" s="156"/>
      <c r="P81" s="156"/>
    </row>
    <row r="82" spans="1:16" s="444" customFormat="1" x14ac:dyDescent="0.25">
      <c r="A82" s="156"/>
      <c r="B82" s="455" t="s">
        <v>158</v>
      </c>
      <c r="C82" s="156"/>
      <c r="D82" s="456"/>
      <c r="E82" s="462"/>
      <c r="F82" s="462"/>
      <c r="G82" s="462">
        <f>SUM(G80)</f>
        <v>6435000</v>
      </c>
      <c r="H82" s="462"/>
      <c r="I82" s="468"/>
      <c r="K82" s="156"/>
      <c r="L82" s="156"/>
      <c r="M82" s="156"/>
      <c r="N82" s="156"/>
      <c r="O82" s="156"/>
      <c r="P82" s="156"/>
    </row>
    <row r="83" spans="1:16" s="444" customFormat="1" x14ac:dyDescent="0.25">
      <c r="A83" s="156"/>
      <c r="B83" s="455"/>
      <c r="C83" s="156"/>
      <c r="D83" s="456"/>
      <c r="E83" s="462"/>
      <c r="F83" s="462"/>
      <c r="G83" s="462"/>
      <c r="H83" s="462"/>
      <c r="I83" s="468"/>
      <c r="K83" s="156"/>
      <c r="L83" s="156"/>
      <c r="M83" s="156"/>
      <c r="N83" s="156"/>
      <c r="O83" s="156"/>
      <c r="P83" s="156"/>
    </row>
    <row r="84" spans="1:16" s="444" customFormat="1" x14ac:dyDescent="0.25">
      <c r="A84" s="156"/>
      <c r="B84" s="455" t="s">
        <v>159</v>
      </c>
      <c r="C84" s="156"/>
      <c r="D84" s="456"/>
      <c r="E84" s="462"/>
      <c r="F84" s="462"/>
      <c r="G84" s="462">
        <f>G67-G82</f>
        <v>2535000</v>
      </c>
      <c r="H84" s="462"/>
      <c r="I84" s="468"/>
      <c r="K84" s="156"/>
      <c r="L84" s="156"/>
      <c r="M84" s="156"/>
      <c r="N84" s="156"/>
      <c r="O84" s="156"/>
      <c r="P84" s="156"/>
    </row>
    <row r="85" spans="1:16" s="444" customFormat="1" x14ac:dyDescent="0.25">
      <c r="A85" s="156"/>
      <c r="B85" s="455" t="s">
        <v>179</v>
      </c>
      <c r="C85" s="156"/>
      <c r="D85" s="456"/>
      <c r="E85" s="462"/>
      <c r="F85" s="462"/>
      <c r="G85" s="462">
        <f>I71</f>
        <v>-54400</v>
      </c>
      <c r="H85" s="462"/>
      <c r="I85" s="468"/>
      <c r="K85" s="156"/>
      <c r="L85" s="156"/>
      <c r="M85" s="156"/>
      <c r="N85" s="156"/>
      <c r="O85" s="156"/>
      <c r="P85" s="156"/>
    </row>
    <row r="86" spans="1:16" s="444" customFormat="1" x14ac:dyDescent="0.25">
      <c r="A86" s="156"/>
      <c r="B86" s="455" t="s">
        <v>160</v>
      </c>
      <c r="C86" s="156"/>
      <c r="D86" s="456"/>
      <c r="E86" s="462"/>
      <c r="F86" s="462"/>
      <c r="G86" s="462">
        <f>I86</f>
        <v>22600</v>
      </c>
      <c r="H86" s="462"/>
      <c r="I86" s="469">
        <f>SUM(I74:I85)</f>
        <v>22600</v>
      </c>
      <c r="K86" s="156"/>
      <c r="L86" s="156"/>
      <c r="M86" s="156"/>
      <c r="N86" s="156"/>
      <c r="O86" s="156"/>
      <c r="P86" s="156"/>
    </row>
    <row r="87" spans="1:16" s="444" customFormat="1" x14ac:dyDescent="0.25">
      <c r="A87" s="156"/>
      <c r="B87" s="455" t="s">
        <v>161</v>
      </c>
      <c r="C87" s="156"/>
      <c r="D87" s="456"/>
      <c r="E87" s="462"/>
      <c r="F87" s="462"/>
      <c r="G87" s="462">
        <f>SUM(G84:G86)</f>
        <v>2503200</v>
      </c>
      <c r="H87" s="462">
        <f>H67-H69-H70-H74-H77-H79</f>
        <v>2503200</v>
      </c>
      <c r="I87" s="468"/>
      <c r="K87" s="156"/>
      <c r="L87" s="156"/>
      <c r="M87" s="156"/>
      <c r="N87" s="156"/>
      <c r="O87" s="156"/>
      <c r="P87" s="156"/>
    </row>
    <row r="88" spans="1:16" s="444" customFormat="1" ht="15.6" x14ac:dyDescent="0.3">
      <c r="A88" s="156"/>
      <c r="B88" s="465" t="s">
        <v>162</v>
      </c>
      <c r="C88" s="156"/>
      <c r="D88" s="456"/>
      <c r="E88" s="462"/>
      <c r="F88" s="462"/>
      <c r="G88" s="462"/>
      <c r="H88" s="462"/>
      <c r="I88" s="469" t="s">
        <v>163</v>
      </c>
      <c r="K88" s="156"/>
      <c r="L88" s="156"/>
      <c r="M88" s="156"/>
      <c r="N88" s="156"/>
      <c r="O88" s="156"/>
      <c r="P88" s="156"/>
    </row>
    <row r="89" spans="1:16" s="444" customFormat="1" x14ac:dyDescent="0.25">
      <c r="A89" s="156"/>
      <c r="B89" s="455"/>
      <c r="C89" s="156"/>
      <c r="D89" s="456"/>
      <c r="E89" s="462"/>
      <c r="F89" s="462"/>
      <c r="G89" s="462"/>
      <c r="H89" s="462"/>
      <c r="I89" s="468"/>
      <c r="K89" s="156"/>
      <c r="L89" s="156"/>
      <c r="M89" s="156"/>
      <c r="N89" s="156"/>
      <c r="O89" s="156"/>
      <c r="P89" s="156"/>
    </row>
    <row r="90" spans="1:16" s="444" customFormat="1" x14ac:dyDescent="0.25">
      <c r="A90" s="156"/>
      <c r="B90" s="455" t="s">
        <v>267</v>
      </c>
      <c r="C90" s="156"/>
      <c r="D90" s="456"/>
      <c r="E90" s="462"/>
      <c r="F90" s="462"/>
      <c r="G90" s="462">
        <v>750000</v>
      </c>
      <c r="H90" s="462">
        <v>785000</v>
      </c>
      <c r="I90" s="468">
        <f>G90-H90</f>
        <v>-35000</v>
      </c>
      <c r="K90" s="156"/>
      <c r="L90" s="156"/>
      <c r="M90" s="156"/>
      <c r="N90" s="156"/>
      <c r="O90" s="156"/>
      <c r="P90" s="156"/>
    </row>
    <row r="91" spans="1:16" s="444" customFormat="1" x14ac:dyDescent="0.25">
      <c r="A91" s="156"/>
      <c r="B91" s="455" t="s">
        <v>157</v>
      </c>
      <c r="C91" s="156"/>
      <c r="D91" s="456"/>
      <c r="E91" s="462"/>
      <c r="F91" s="462"/>
      <c r="G91" s="462">
        <v>550000</v>
      </c>
      <c r="H91" s="462">
        <v>525000</v>
      </c>
      <c r="I91" s="468">
        <f>G91-H91</f>
        <v>25000</v>
      </c>
      <c r="K91" s="156"/>
      <c r="L91" s="156"/>
      <c r="M91" s="156"/>
      <c r="N91" s="156"/>
      <c r="O91" s="156"/>
      <c r="P91" s="156"/>
    </row>
    <row r="92" spans="1:16" s="444" customFormat="1" x14ac:dyDescent="0.25">
      <c r="A92" s="156"/>
      <c r="B92" s="455" t="s">
        <v>164</v>
      </c>
      <c r="C92" s="156"/>
      <c r="D92" s="456"/>
      <c r="E92" s="462"/>
      <c r="F92" s="462"/>
      <c r="G92" s="462">
        <f>I92</f>
        <v>-10000</v>
      </c>
      <c r="H92" s="462"/>
      <c r="I92" s="469">
        <f>SUM(I90:I91)</f>
        <v>-10000</v>
      </c>
      <c r="K92" s="156"/>
      <c r="L92" s="156"/>
      <c r="M92" s="156"/>
      <c r="N92" s="156"/>
      <c r="O92" s="156"/>
      <c r="P92" s="156"/>
    </row>
    <row r="93" spans="1:16" s="444" customFormat="1" x14ac:dyDescent="0.25">
      <c r="A93" s="156"/>
      <c r="B93" s="470" t="s">
        <v>187</v>
      </c>
      <c r="C93" s="450"/>
      <c r="D93" s="471"/>
      <c r="E93" s="472"/>
      <c r="F93" s="472"/>
      <c r="G93" s="472">
        <f>G87-G90-G91+G92</f>
        <v>1193200</v>
      </c>
      <c r="H93" s="472">
        <f>H87-H90-H91</f>
        <v>1193200</v>
      </c>
      <c r="I93" s="464"/>
      <c r="K93" s="156"/>
      <c r="L93" s="156"/>
      <c r="M93" s="156"/>
      <c r="N93" s="156"/>
      <c r="O93" s="156"/>
      <c r="P93" s="156"/>
    </row>
    <row r="95" spans="1:16" s="444" customFormat="1" x14ac:dyDescent="0.25">
      <c r="A95" s="156"/>
      <c r="B95" s="156"/>
      <c r="C95" s="156"/>
      <c r="D95" s="444" t="s">
        <v>165</v>
      </c>
      <c r="K95" s="156"/>
      <c r="L95" s="156"/>
      <c r="M95" s="156"/>
      <c r="N95" s="156"/>
      <c r="O95" s="156"/>
      <c r="P95" s="156"/>
    </row>
    <row r="96" spans="1:16" s="444" customFormat="1" x14ac:dyDescent="0.25">
      <c r="A96" s="156"/>
      <c r="B96" s="156"/>
      <c r="C96" s="156"/>
      <c r="D96" s="473" t="s">
        <v>389</v>
      </c>
      <c r="K96" s="156"/>
      <c r="L96" s="156"/>
      <c r="M96" s="156"/>
      <c r="N96" s="156"/>
      <c r="O96" s="156"/>
      <c r="P96" s="156"/>
    </row>
    <row r="98" spans="1:9" ht="30" x14ac:dyDescent="0.25">
      <c r="E98" s="218" t="s">
        <v>271</v>
      </c>
      <c r="F98" s="217" t="s">
        <v>269</v>
      </c>
      <c r="G98" s="217" t="s">
        <v>270</v>
      </c>
      <c r="H98" s="166" t="s">
        <v>648</v>
      </c>
      <c r="I98" s="166" t="s">
        <v>293</v>
      </c>
    </row>
    <row r="99" spans="1:9" ht="19.2" x14ac:dyDescent="0.25">
      <c r="A99" s="156" t="s">
        <v>204</v>
      </c>
      <c r="B99" s="470"/>
      <c r="C99" s="450"/>
      <c r="D99" s="471"/>
      <c r="E99" s="166" t="s">
        <v>294</v>
      </c>
      <c r="F99" s="166" t="s">
        <v>295</v>
      </c>
      <c r="G99" s="166"/>
      <c r="H99" s="166" t="s">
        <v>296</v>
      </c>
      <c r="I99" s="166" t="s">
        <v>297</v>
      </c>
    </row>
    <row r="100" spans="1:9" x14ac:dyDescent="0.25">
      <c r="B100" s="470" t="s">
        <v>264</v>
      </c>
      <c r="C100" s="450"/>
      <c r="D100" s="471"/>
      <c r="E100" s="162">
        <f>E103</f>
        <v>325000</v>
      </c>
      <c r="F100" s="162">
        <f>E106</f>
        <v>336500</v>
      </c>
      <c r="G100" s="162">
        <f>H74</f>
        <v>302400</v>
      </c>
      <c r="H100" s="162">
        <f>E100-F100</f>
        <v>-11500</v>
      </c>
      <c r="I100" s="162">
        <f>F100-G100</f>
        <v>34100</v>
      </c>
    </row>
    <row r="102" spans="1:9" ht="15.6" x14ac:dyDescent="0.3">
      <c r="B102" s="155" t="s">
        <v>322</v>
      </c>
    </row>
    <row r="103" spans="1:9" ht="18.600000000000001" x14ac:dyDescent="0.4">
      <c r="B103" s="156" t="s">
        <v>649</v>
      </c>
      <c r="E103" s="444">
        <f>6500*50</f>
        <v>325000</v>
      </c>
      <c r="F103" s="444" t="s">
        <v>650</v>
      </c>
    </row>
    <row r="105" spans="1:9" ht="15.6" x14ac:dyDescent="0.3">
      <c r="B105" s="474" t="s">
        <v>390</v>
      </c>
    </row>
    <row r="106" spans="1:9" ht="18.600000000000001" x14ac:dyDescent="0.4">
      <c r="B106" s="156" t="s">
        <v>651</v>
      </c>
      <c r="E106" s="444">
        <f>6730*50</f>
        <v>336500</v>
      </c>
    </row>
    <row r="108" spans="1:9" x14ac:dyDescent="0.25">
      <c r="B108" s="475" t="s">
        <v>652</v>
      </c>
    </row>
    <row r="109" spans="1:9" x14ac:dyDescent="0.25">
      <c r="B109" s="475" t="s">
        <v>653</v>
      </c>
    </row>
    <row r="111" spans="1:9" x14ac:dyDescent="0.25">
      <c r="B111" s="156" t="s">
        <v>654</v>
      </c>
    </row>
    <row r="114" spans="1:6" ht="15.6" x14ac:dyDescent="0.3">
      <c r="A114" s="97" t="s">
        <v>695</v>
      </c>
    </row>
    <row r="115" spans="1:6" ht="15.6" x14ac:dyDescent="0.3">
      <c r="A115" s="97"/>
    </row>
    <row r="116" spans="1:6" ht="15.6" x14ac:dyDescent="0.3">
      <c r="A116" s="97"/>
      <c r="B116" s="155" t="s">
        <v>717</v>
      </c>
    </row>
    <row r="118" spans="1:6" x14ac:dyDescent="0.25">
      <c r="A118" s="156" t="s">
        <v>189</v>
      </c>
      <c r="B118" s="156" t="s">
        <v>364</v>
      </c>
      <c r="D118" s="156"/>
      <c r="E118" s="156"/>
      <c r="F118" s="156"/>
    </row>
    <row r="119" spans="1:6" x14ac:dyDescent="0.25">
      <c r="D119" s="156"/>
      <c r="E119" s="156"/>
      <c r="F119" s="156"/>
    </row>
    <row r="120" spans="1:6" ht="15.6" x14ac:dyDescent="0.3">
      <c r="B120" s="155" t="s">
        <v>206</v>
      </c>
      <c r="C120" s="155"/>
      <c r="D120" s="549"/>
      <c r="E120" s="549">
        <f>E12</f>
        <v>955000</v>
      </c>
      <c r="F120" s="156" t="s">
        <v>696</v>
      </c>
    </row>
    <row r="121" spans="1:6" x14ac:dyDescent="0.25">
      <c r="B121" s="156" t="s">
        <v>140</v>
      </c>
      <c r="E121" s="444">
        <f>H34</f>
        <v>200000</v>
      </c>
      <c r="F121" s="156"/>
    </row>
    <row r="122" spans="1:6" x14ac:dyDescent="0.25">
      <c r="B122" s="156" t="s">
        <v>141</v>
      </c>
      <c r="E122" s="444">
        <f>G34</f>
        <v>-320000</v>
      </c>
      <c r="F122" s="156"/>
    </row>
    <row r="123" spans="1:6" x14ac:dyDescent="0.25">
      <c r="B123" s="156" t="s">
        <v>78</v>
      </c>
      <c r="E123" s="444">
        <f>H47</f>
        <v>134600</v>
      </c>
    </row>
    <row r="124" spans="1:6" x14ac:dyDescent="0.25">
      <c r="B124" s="156" t="s">
        <v>79</v>
      </c>
      <c r="E124" s="444">
        <f>G47</f>
        <v>-69000</v>
      </c>
      <c r="F124" s="156"/>
    </row>
    <row r="125" spans="1:6" x14ac:dyDescent="0.25">
      <c r="B125" s="156" t="s">
        <v>370</v>
      </c>
      <c r="E125" s="444">
        <f>H100</f>
        <v>-11500</v>
      </c>
      <c r="F125" s="156"/>
    </row>
    <row r="126" spans="1:6" x14ac:dyDescent="0.25">
      <c r="B126" s="475" t="s">
        <v>293</v>
      </c>
      <c r="E126" s="444">
        <f>I100</f>
        <v>34100</v>
      </c>
    </row>
    <row r="127" spans="1:6" x14ac:dyDescent="0.25">
      <c r="B127" s="156" t="s">
        <v>164</v>
      </c>
      <c r="E127" s="444">
        <f>I92</f>
        <v>-10000</v>
      </c>
      <c r="F127" s="156"/>
    </row>
    <row r="128" spans="1:6" x14ac:dyDescent="0.25">
      <c r="B128" s="156" t="s">
        <v>1148</v>
      </c>
      <c r="E128" s="444">
        <f>E153</f>
        <v>410000</v>
      </c>
      <c r="F128" s="444" t="s">
        <v>694</v>
      </c>
    </row>
    <row r="129" spans="1:6" x14ac:dyDescent="0.25">
      <c r="B129" s="449" t="s">
        <v>210</v>
      </c>
      <c r="C129" s="449"/>
      <c r="D129" s="446"/>
      <c r="E129" s="446">
        <f>E146</f>
        <v>-130000</v>
      </c>
      <c r="F129" s="444" t="str">
        <f>F128</f>
        <v>(se beregninger nedenfor)</v>
      </c>
    </row>
    <row r="130" spans="1:6" ht="15.6" x14ac:dyDescent="0.3">
      <c r="B130" s="155" t="s">
        <v>716</v>
      </c>
      <c r="C130" s="155"/>
      <c r="D130" s="549"/>
      <c r="E130" s="549">
        <f>SUM(E120:E129)</f>
        <v>1193200</v>
      </c>
    </row>
    <row r="131" spans="1:6" x14ac:dyDescent="0.25">
      <c r="D131" s="156"/>
      <c r="E131" s="156"/>
      <c r="F131" s="156"/>
    </row>
    <row r="132" spans="1:6" x14ac:dyDescent="0.25">
      <c r="D132" s="156"/>
      <c r="E132" s="156"/>
      <c r="F132" s="156"/>
    </row>
    <row r="133" spans="1:6" ht="15.6" x14ac:dyDescent="0.3">
      <c r="A133" s="155" t="s">
        <v>365</v>
      </c>
      <c r="D133" s="156"/>
      <c r="E133" s="156"/>
      <c r="F133" s="156"/>
    </row>
    <row r="134" spans="1:6" ht="15.6" x14ac:dyDescent="0.3">
      <c r="A134" s="155"/>
      <c r="D134" s="156"/>
      <c r="E134" s="156"/>
      <c r="F134" s="156"/>
    </row>
    <row r="135" spans="1:6" ht="15.6" x14ac:dyDescent="0.3">
      <c r="A135" s="155"/>
      <c r="B135" s="156" t="s">
        <v>283</v>
      </c>
      <c r="E135" s="444">
        <f>E23</f>
        <v>2050</v>
      </c>
      <c r="F135" s="156"/>
    </row>
    <row r="136" spans="1:6" ht="15.6" x14ac:dyDescent="0.3">
      <c r="A136" s="155"/>
      <c r="D136" s="156"/>
      <c r="E136" s="156"/>
      <c r="F136" s="156"/>
    </row>
    <row r="137" spans="1:6" ht="15.6" x14ac:dyDescent="0.3">
      <c r="A137" s="155"/>
      <c r="B137" s="156" t="s">
        <v>246</v>
      </c>
      <c r="E137" s="444">
        <f>E16</f>
        <v>7000</v>
      </c>
      <c r="F137" s="156"/>
    </row>
    <row r="138" spans="1:6" ht="15.6" x14ac:dyDescent="0.3">
      <c r="A138" s="155"/>
      <c r="B138" s="156" t="s">
        <v>697</v>
      </c>
      <c r="E138" s="444">
        <f>H67/E67</f>
        <v>6900</v>
      </c>
      <c r="F138" s="156"/>
    </row>
    <row r="139" spans="1:6" ht="15.6" x14ac:dyDescent="0.3">
      <c r="A139" s="155"/>
      <c r="F139" s="156"/>
    </row>
    <row r="140" spans="1:6" ht="15.6" x14ac:dyDescent="0.3">
      <c r="A140" s="155"/>
      <c r="B140" s="156" t="s">
        <v>698</v>
      </c>
      <c r="E140" s="444">
        <v>1100</v>
      </c>
      <c r="F140" s="156"/>
    </row>
    <row r="141" spans="1:6" ht="15.6" x14ac:dyDescent="0.3">
      <c r="A141" s="155"/>
      <c r="B141" s="156" t="s">
        <v>699</v>
      </c>
      <c r="E141" s="444">
        <f>E67</f>
        <v>1300</v>
      </c>
      <c r="F141" s="156"/>
    </row>
    <row r="142" spans="1:6" ht="15.6" x14ac:dyDescent="0.3">
      <c r="A142" s="155"/>
      <c r="F142" s="156"/>
    </row>
    <row r="143" spans="1:6" ht="15.6" x14ac:dyDescent="0.3">
      <c r="B143" s="548" t="s">
        <v>715</v>
      </c>
      <c r="D143" s="156"/>
      <c r="E143" s="156"/>
      <c r="F143" s="156"/>
    </row>
    <row r="144" spans="1:6" x14ac:dyDescent="0.25">
      <c r="B144" s="156" t="s">
        <v>700</v>
      </c>
      <c r="D144" s="156"/>
      <c r="E144" s="156"/>
      <c r="F144" s="156"/>
    </row>
    <row r="145" spans="1:6" x14ac:dyDescent="0.25">
      <c r="D145" s="156"/>
      <c r="E145" s="156"/>
      <c r="F145" s="156"/>
    </row>
    <row r="146" spans="1:6" x14ac:dyDescent="0.25">
      <c r="B146" s="156" t="s">
        <v>701</v>
      </c>
      <c r="D146" s="156"/>
      <c r="E146" s="444">
        <f>E141*(E138-E137)</f>
        <v>-130000</v>
      </c>
      <c r="F146" s="156"/>
    </row>
    <row r="147" spans="1:6" x14ac:dyDescent="0.25">
      <c r="D147" s="156"/>
      <c r="F147" s="156"/>
    </row>
    <row r="148" spans="1:6" x14ac:dyDescent="0.25">
      <c r="B148" s="156" t="s">
        <v>702</v>
      </c>
      <c r="D148" s="156"/>
      <c r="F148" s="156"/>
    </row>
    <row r="149" spans="1:6" x14ac:dyDescent="0.25">
      <c r="D149" s="156"/>
      <c r="F149" s="156"/>
    </row>
    <row r="150" spans="1:6" x14ac:dyDescent="0.25">
      <c r="D150" s="156"/>
      <c r="F150" s="156"/>
    </row>
    <row r="151" spans="1:6" ht="15.6" x14ac:dyDescent="0.3">
      <c r="B151" s="548" t="s">
        <v>1149</v>
      </c>
      <c r="D151" s="156"/>
      <c r="F151" s="156"/>
    </row>
    <row r="152" spans="1:6" x14ac:dyDescent="0.25">
      <c r="B152" s="156" t="s">
        <v>703</v>
      </c>
      <c r="D152" s="156"/>
      <c r="F152" s="156"/>
    </row>
    <row r="153" spans="1:6" x14ac:dyDescent="0.25">
      <c r="B153" s="156" t="s">
        <v>704</v>
      </c>
      <c r="D153" s="156"/>
      <c r="E153" s="444">
        <f>E135*(E141-E140)</f>
        <v>410000</v>
      </c>
      <c r="F153" s="156"/>
    </row>
    <row r="156" spans="1:6" x14ac:dyDescent="0.25">
      <c r="A156" s="156" t="s">
        <v>191</v>
      </c>
      <c r="B156" s="156" t="s">
        <v>705</v>
      </c>
      <c r="D156" s="436">
        <f>G87/G67</f>
        <v>0.27906354515050169</v>
      </c>
    </row>
    <row r="157" spans="1:6" ht="18.600000000000001" x14ac:dyDescent="0.4">
      <c r="B157" s="156" t="s">
        <v>707</v>
      </c>
      <c r="D157" s="444">
        <f>(H90+H91)/D156</f>
        <v>4694271.3326941514</v>
      </c>
    </row>
    <row r="158" spans="1:6" ht="18.600000000000001" x14ac:dyDescent="0.4">
      <c r="B158" s="156" t="s">
        <v>708</v>
      </c>
      <c r="D158" s="444">
        <f>D157/E138</f>
        <v>680.32917865132629</v>
      </c>
      <c r="E158" s="444" t="s">
        <v>706</v>
      </c>
    </row>
    <row r="159" spans="1:6" x14ac:dyDescent="0.25">
      <c r="B159" s="156" t="s">
        <v>709</v>
      </c>
      <c r="D159" s="444">
        <f>E141-D158</f>
        <v>619.67082134867371</v>
      </c>
    </row>
    <row r="160" spans="1:6" x14ac:dyDescent="0.25">
      <c r="B160" s="156" t="s">
        <v>710</v>
      </c>
      <c r="D160" s="547">
        <f>D159/D158</f>
        <v>0.91083969465648862</v>
      </c>
    </row>
    <row r="162" spans="1:2" x14ac:dyDescent="0.25">
      <c r="B162" s="156" t="s">
        <v>711</v>
      </c>
    </row>
    <row r="164" spans="1:2" x14ac:dyDescent="0.25">
      <c r="A164" s="156" t="s">
        <v>197</v>
      </c>
      <c r="B164" s="156" t="s">
        <v>712</v>
      </c>
    </row>
    <row r="165" spans="1:2" x14ac:dyDescent="0.25">
      <c r="B165" s="156" t="s">
        <v>713</v>
      </c>
    </row>
    <row r="166" spans="1:2" x14ac:dyDescent="0.25">
      <c r="B166" s="156" t="s">
        <v>714</v>
      </c>
    </row>
  </sheetData>
  <mergeCells count="2">
    <mergeCell ref="B41:G41"/>
    <mergeCell ref="E65:G65"/>
  </mergeCells>
  <phoneticPr fontId="42" type="noConversion"/>
  <pageMargins left="0.59055118110236227" right="0.59055118110236227" top="0.98425196850393704" bottom="0.98425196850393704" header="0.51181102362204722" footer="0.51181102362204722"/>
  <pageSetup paperSize="9" fitToHeight="4" orientation="landscape" r:id="rId1"/>
  <headerFooter alignWithMargins="0">
    <oddHeader>&amp;A&amp;RSide &amp;P</oddHeader>
    <oddFooter>&amp;CLøsning kapittel 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pageSetUpPr fitToPage="1"/>
  </sheetPr>
  <dimension ref="A1:I129"/>
  <sheetViews>
    <sheetView zoomScale="125" workbookViewId="0">
      <selection activeCell="A128" sqref="A128"/>
    </sheetView>
  </sheetViews>
  <sheetFormatPr baseColWidth="10" defaultColWidth="11.33203125" defaultRowHeight="15.6" x14ac:dyDescent="0.3"/>
  <cols>
    <col min="1" max="1" width="5.33203125" style="149" customWidth="1"/>
    <col min="2" max="2" width="21.88671875" style="149" customWidth="1"/>
    <col min="3" max="3" width="16.88671875" style="149" customWidth="1"/>
    <col min="4" max="4" width="13.109375" style="149" customWidth="1"/>
    <col min="5" max="5" width="12.88671875" style="149" bestFit="1" customWidth="1"/>
    <col min="6" max="6" width="14.109375" style="149" bestFit="1" customWidth="1"/>
    <col min="7" max="7" width="12.33203125" style="149" customWidth="1"/>
    <col min="8" max="8" width="10.109375" style="149" customWidth="1"/>
    <col min="9" max="9" width="20.109375" style="149" customWidth="1"/>
    <col min="10" max="10" width="23.109375" style="149" customWidth="1"/>
    <col min="11" max="11" width="19.88671875" style="149" customWidth="1"/>
    <col min="12" max="12" width="22.109375" style="149" customWidth="1"/>
    <col min="13" max="13" width="25.109375" style="149" customWidth="1"/>
    <col min="14" max="16384" width="11.33203125" style="149"/>
  </cols>
  <sheetData>
    <row r="1" spans="1:8" x14ac:dyDescent="0.3">
      <c r="A1" s="149" t="s">
        <v>189</v>
      </c>
      <c r="B1" s="149" t="s">
        <v>655</v>
      </c>
      <c r="C1" s="151"/>
      <c r="D1" s="151"/>
      <c r="E1" s="151"/>
      <c r="F1" s="151"/>
      <c r="G1" s="151"/>
      <c r="H1" s="151"/>
    </row>
    <row r="2" spans="1:8" x14ac:dyDescent="0.3">
      <c r="B2" s="149" t="s">
        <v>656</v>
      </c>
      <c r="C2" s="151"/>
      <c r="D2" s="151"/>
      <c r="E2" s="151"/>
      <c r="F2" s="151"/>
      <c r="G2" s="151"/>
      <c r="H2" s="151"/>
    </row>
    <row r="4" spans="1:8" x14ac:dyDescent="0.3">
      <c r="A4" s="149" t="s">
        <v>191</v>
      </c>
      <c r="B4" s="149" t="s">
        <v>338</v>
      </c>
      <c r="D4" s="151">
        <v>1800</v>
      </c>
    </row>
    <row r="5" spans="1:8" x14ac:dyDescent="0.3">
      <c r="B5" s="149" t="s">
        <v>339</v>
      </c>
      <c r="D5" s="151">
        <v>1250</v>
      </c>
    </row>
    <row r="6" spans="1:8" ht="16.2" thickBot="1" x14ac:dyDescent="0.35">
      <c r="B6" s="149" t="s">
        <v>283</v>
      </c>
      <c r="D6" s="193">
        <f>D4-D5</f>
        <v>550</v>
      </c>
      <c r="E6" s="149" t="s">
        <v>340</v>
      </c>
    </row>
    <row r="7" spans="1:8" ht="16.2" thickTop="1" x14ac:dyDescent="0.3"/>
    <row r="8" spans="1:8" x14ac:dyDescent="0.3">
      <c r="A8" s="149" t="s">
        <v>197</v>
      </c>
      <c r="B8" s="150" t="s">
        <v>81</v>
      </c>
      <c r="G8" s="151"/>
      <c r="H8" s="151"/>
    </row>
    <row r="9" spans="1:8" x14ac:dyDescent="0.3">
      <c r="B9" s="194" t="s">
        <v>615</v>
      </c>
      <c r="C9" s="194" t="s">
        <v>719</v>
      </c>
      <c r="D9" s="194" t="s">
        <v>83</v>
      </c>
      <c r="E9" s="195" t="s">
        <v>141</v>
      </c>
      <c r="F9" s="195" t="s">
        <v>140</v>
      </c>
      <c r="G9" s="151"/>
      <c r="H9" s="151"/>
    </row>
    <row r="10" spans="1:8" x14ac:dyDescent="0.3">
      <c r="B10" s="15" t="s">
        <v>586</v>
      </c>
      <c r="C10" s="15" t="s">
        <v>587</v>
      </c>
      <c r="D10" s="15" t="s">
        <v>588</v>
      </c>
      <c r="E10" s="15" t="s">
        <v>589</v>
      </c>
      <c r="F10" s="15" t="s">
        <v>590</v>
      </c>
      <c r="G10" s="151"/>
      <c r="H10" s="151"/>
    </row>
    <row r="11" spans="1:8" x14ac:dyDescent="0.3">
      <c r="B11" s="196" t="s">
        <v>85</v>
      </c>
      <c r="C11" s="196" t="s">
        <v>212</v>
      </c>
      <c r="D11" s="196" t="s">
        <v>213</v>
      </c>
      <c r="E11" s="196"/>
      <c r="F11" s="196"/>
    </row>
    <row r="12" spans="1:8" x14ac:dyDescent="0.3">
      <c r="B12" s="197">
        <f>150*D17</f>
        <v>690000</v>
      </c>
      <c r="C12" s="333">
        <f>150*4660</f>
        <v>699000</v>
      </c>
      <c r="D12" s="333">
        <v>696670</v>
      </c>
      <c r="E12" s="333">
        <f>B12-C12</f>
        <v>-9000</v>
      </c>
      <c r="F12" s="333">
        <f>C12-D12</f>
        <v>2330</v>
      </c>
      <c r="G12" s="151"/>
    </row>
    <row r="13" spans="1:8" x14ac:dyDescent="0.3">
      <c r="B13" s="198"/>
      <c r="C13" s="198"/>
      <c r="D13" s="198"/>
      <c r="E13" s="198"/>
      <c r="F13" s="198"/>
      <c r="G13" s="151"/>
    </row>
    <row r="14" spans="1:8" x14ac:dyDescent="0.3">
      <c r="B14" s="150" t="s">
        <v>106</v>
      </c>
      <c r="C14" s="151"/>
      <c r="D14" s="151"/>
      <c r="E14" s="151"/>
      <c r="F14" s="151"/>
      <c r="G14" s="151"/>
      <c r="H14" s="151"/>
    </row>
    <row r="15" spans="1:8" x14ac:dyDescent="0.3">
      <c r="B15" s="149" t="s">
        <v>341</v>
      </c>
      <c r="C15" s="151"/>
      <c r="D15" s="151">
        <f>1050*4</f>
        <v>4200</v>
      </c>
      <c r="E15" s="151"/>
      <c r="H15" s="151"/>
    </row>
    <row r="16" spans="1:8" x14ac:dyDescent="0.3">
      <c r="B16" s="149" t="s">
        <v>342</v>
      </c>
      <c r="C16" s="151"/>
      <c r="D16" s="151">
        <v>400</v>
      </c>
      <c r="E16" s="151"/>
      <c r="H16" s="151"/>
    </row>
    <row r="17" spans="2:9" x14ac:dyDescent="0.3">
      <c r="C17" s="151"/>
      <c r="D17" s="152">
        <f>SUM(D15:D16)</f>
        <v>4600</v>
      </c>
      <c r="E17" s="151" t="s">
        <v>147</v>
      </c>
      <c r="H17" s="151"/>
    </row>
    <row r="18" spans="2:9" x14ac:dyDescent="0.3">
      <c r="C18" s="151"/>
      <c r="D18" s="151"/>
      <c r="E18" s="151"/>
      <c r="F18" s="151"/>
      <c r="G18" s="151"/>
      <c r="H18" s="151"/>
    </row>
    <row r="19" spans="2:9" x14ac:dyDescent="0.3">
      <c r="B19" s="199" t="s">
        <v>214</v>
      </c>
      <c r="C19" s="200"/>
      <c r="D19" s="200"/>
      <c r="E19" s="200"/>
      <c r="F19" s="200"/>
      <c r="G19" s="151"/>
      <c r="H19" s="151"/>
      <c r="I19" s="151"/>
    </row>
    <row r="20" spans="2:9" x14ac:dyDescent="0.3">
      <c r="B20" s="194" t="s">
        <v>615</v>
      </c>
      <c r="C20" s="194" t="s">
        <v>719</v>
      </c>
      <c r="D20" s="202" t="s">
        <v>83</v>
      </c>
      <c r="E20" s="202" t="s">
        <v>79</v>
      </c>
      <c r="F20" s="201" t="s">
        <v>622</v>
      </c>
      <c r="G20" s="151"/>
      <c r="H20" s="151"/>
      <c r="I20" s="151"/>
    </row>
    <row r="21" spans="2:9" x14ac:dyDescent="0.3">
      <c r="B21" s="15" t="s">
        <v>586</v>
      </c>
      <c r="C21" s="15" t="s">
        <v>591</v>
      </c>
      <c r="D21" s="15" t="s">
        <v>588</v>
      </c>
      <c r="E21" s="15" t="s">
        <v>589</v>
      </c>
      <c r="F21" s="15" t="s">
        <v>606</v>
      </c>
      <c r="H21" s="151"/>
      <c r="I21" s="151"/>
    </row>
    <row r="22" spans="2:9" x14ac:dyDescent="0.3">
      <c r="B22" s="196" t="s">
        <v>215</v>
      </c>
      <c r="C22" s="196" t="s">
        <v>216</v>
      </c>
      <c r="D22" s="196" t="s">
        <v>217</v>
      </c>
      <c r="E22" s="196"/>
      <c r="F22" s="196"/>
      <c r="G22" s="151"/>
      <c r="H22" s="151"/>
      <c r="I22" s="151"/>
    </row>
    <row r="23" spans="2:9" x14ac:dyDescent="0.3">
      <c r="B23" s="333">
        <f>240*D30</f>
        <v>528000</v>
      </c>
      <c r="C23" s="197">
        <f>240*C25</f>
        <v>552000</v>
      </c>
      <c r="D23" s="197">
        <v>542800</v>
      </c>
      <c r="E23" s="197">
        <f>B23-C23</f>
        <v>-24000</v>
      </c>
      <c r="F23" s="197">
        <f>C23-D23</f>
        <v>9200</v>
      </c>
      <c r="G23" s="151"/>
      <c r="H23" s="151"/>
      <c r="I23" s="151"/>
    </row>
    <row r="24" spans="2:9" x14ac:dyDescent="0.3">
      <c r="B24" s="478"/>
      <c r="C24" s="479"/>
      <c r="D24" s="479"/>
      <c r="E24" s="479"/>
      <c r="F24" s="479"/>
      <c r="G24" s="151"/>
      <c r="H24" s="151"/>
      <c r="I24" s="151"/>
    </row>
    <row r="25" spans="2:9" ht="18" x14ac:dyDescent="0.4">
      <c r="B25" s="149" t="s">
        <v>343</v>
      </c>
      <c r="C25" s="151">
        <f>542800/236</f>
        <v>2300</v>
      </c>
      <c r="D25" s="151" t="s">
        <v>148</v>
      </c>
      <c r="G25" s="151"/>
      <c r="H25" s="151"/>
      <c r="I25" s="151"/>
    </row>
    <row r="26" spans="2:9" x14ac:dyDescent="0.3">
      <c r="G26" s="151"/>
      <c r="H26" s="151"/>
      <c r="I26" s="151"/>
    </row>
    <row r="27" spans="2:9" x14ac:dyDescent="0.3">
      <c r="B27" s="150" t="s">
        <v>107</v>
      </c>
      <c r="C27" s="151"/>
      <c r="E27" s="151"/>
      <c r="F27" s="151"/>
      <c r="G27" s="151"/>
      <c r="H27" s="151"/>
      <c r="I27" s="151"/>
    </row>
    <row r="28" spans="2:9" x14ac:dyDescent="0.3">
      <c r="B28" s="149" t="s">
        <v>344</v>
      </c>
      <c r="C28" s="151"/>
      <c r="D28" s="151">
        <f>1050*2</f>
        <v>2100</v>
      </c>
      <c r="E28" s="151"/>
      <c r="H28" s="151"/>
      <c r="I28" s="151"/>
    </row>
    <row r="29" spans="2:9" x14ac:dyDescent="0.3">
      <c r="B29" s="149" t="s">
        <v>345</v>
      </c>
      <c r="C29" s="151"/>
      <c r="D29" s="151">
        <v>100</v>
      </c>
      <c r="E29" s="151"/>
      <c r="H29" s="151"/>
      <c r="I29" s="151"/>
    </row>
    <row r="30" spans="2:9" x14ac:dyDescent="0.3">
      <c r="C30" s="151"/>
      <c r="D30" s="152">
        <f>SUM(D28:D29)</f>
        <v>2200</v>
      </c>
      <c r="E30" s="151" t="s">
        <v>148</v>
      </c>
      <c r="H30" s="151"/>
      <c r="I30" s="151"/>
    </row>
    <row r="31" spans="2:9" x14ac:dyDescent="0.3">
      <c r="C31" s="151"/>
      <c r="E31" s="151"/>
      <c r="F31" s="151"/>
      <c r="G31" s="151"/>
      <c r="H31" s="151"/>
      <c r="I31" s="151"/>
    </row>
    <row r="32" spans="2:9" x14ac:dyDescent="0.3">
      <c r="B32" s="149" t="s">
        <v>346</v>
      </c>
    </row>
    <row r="34" spans="2:8" x14ac:dyDescent="0.3">
      <c r="B34" s="150" t="s">
        <v>347</v>
      </c>
    </row>
    <row r="35" spans="2:8" x14ac:dyDescent="0.3">
      <c r="B35" s="149" t="s">
        <v>348</v>
      </c>
      <c r="D35" s="149">
        <v>600</v>
      </c>
    </row>
    <row r="36" spans="2:8" x14ac:dyDescent="0.3">
      <c r="B36" s="149" t="s">
        <v>349</v>
      </c>
      <c r="D36" s="149">
        <v>240</v>
      </c>
    </row>
    <row r="37" spans="2:8" x14ac:dyDescent="0.3">
      <c r="B37" s="149" t="s">
        <v>657</v>
      </c>
      <c r="D37" s="149">
        <v>35</v>
      </c>
    </row>
    <row r="38" spans="2:8" x14ac:dyDescent="0.3">
      <c r="B38" s="149" t="s">
        <v>126</v>
      </c>
      <c r="D38" s="165">
        <f>SUM(D35:D37)</f>
        <v>875</v>
      </c>
    </row>
    <row r="41" spans="2:8" x14ac:dyDescent="0.3">
      <c r="B41" s="170"/>
      <c r="C41" s="171"/>
      <c r="D41" s="980" t="s">
        <v>173</v>
      </c>
      <c r="E41" s="981"/>
      <c r="F41" s="982"/>
      <c r="G41" s="172" t="s">
        <v>199</v>
      </c>
      <c r="H41" s="172" t="s">
        <v>263</v>
      </c>
    </row>
    <row r="42" spans="2:8" x14ac:dyDescent="0.3">
      <c r="B42" s="173"/>
      <c r="D42" s="172" t="s">
        <v>175</v>
      </c>
      <c r="E42" s="172" t="s">
        <v>176</v>
      </c>
      <c r="F42" s="176" t="s">
        <v>145</v>
      </c>
      <c r="G42" s="205" t="s">
        <v>193</v>
      </c>
      <c r="H42" s="177" t="s">
        <v>84</v>
      </c>
    </row>
    <row r="43" spans="2:8" x14ac:dyDescent="0.3">
      <c r="B43" s="170" t="s">
        <v>96</v>
      </c>
      <c r="C43" s="213"/>
      <c r="D43" s="175">
        <v>1100</v>
      </c>
      <c r="E43" s="176">
        <v>1794</v>
      </c>
      <c r="F43" s="178">
        <f>D43*E43</f>
        <v>1973400</v>
      </c>
      <c r="G43" s="174">
        <f>F43</f>
        <v>1973400</v>
      </c>
      <c r="H43" s="172"/>
    </row>
    <row r="44" spans="2:8" x14ac:dyDescent="0.3">
      <c r="B44" s="173"/>
      <c r="C44" s="214"/>
      <c r="D44" s="184"/>
      <c r="E44" s="209"/>
      <c r="F44" s="177"/>
      <c r="G44" s="184"/>
      <c r="H44" s="177"/>
    </row>
    <row r="45" spans="2:8" x14ac:dyDescent="0.3">
      <c r="B45" s="173" t="s">
        <v>88</v>
      </c>
      <c r="C45" s="214"/>
      <c r="D45" s="184">
        <f>D17</f>
        <v>4600</v>
      </c>
      <c r="E45" s="209">
        <v>150</v>
      </c>
      <c r="F45" s="179">
        <f>D45*E45</f>
        <v>690000</v>
      </c>
      <c r="G45" s="174">
        <v>696670</v>
      </c>
      <c r="H45" s="179">
        <f>F45-G45</f>
        <v>-6670</v>
      </c>
    </row>
    <row r="46" spans="2:8" x14ac:dyDescent="0.3">
      <c r="B46" s="173" t="s">
        <v>90</v>
      </c>
      <c r="C46" s="214"/>
      <c r="D46" s="184">
        <f>D30</f>
        <v>2200</v>
      </c>
      <c r="E46" s="209">
        <v>240</v>
      </c>
      <c r="F46" s="179">
        <f>D46*E46</f>
        <v>528000</v>
      </c>
      <c r="G46" s="174">
        <v>542800</v>
      </c>
      <c r="H46" s="182">
        <f>F46-G46</f>
        <v>-14800</v>
      </c>
    </row>
    <row r="47" spans="2:8" x14ac:dyDescent="0.3">
      <c r="B47" s="173"/>
      <c r="C47" s="214"/>
      <c r="D47" s="174"/>
      <c r="E47" s="210"/>
      <c r="F47" s="203"/>
      <c r="G47" s="174"/>
      <c r="H47" s="185">
        <f>SUM(H45:H46)</f>
        <v>-21470</v>
      </c>
    </row>
    <row r="48" spans="2:8" x14ac:dyDescent="0.3">
      <c r="B48" s="180" t="s">
        <v>264</v>
      </c>
      <c r="C48" s="214"/>
      <c r="D48" s="174"/>
      <c r="E48" s="210"/>
      <c r="F48" s="203"/>
      <c r="G48" s="174"/>
      <c r="H48" s="428" t="s">
        <v>623</v>
      </c>
    </row>
    <row r="49" spans="2:8" x14ac:dyDescent="0.3">
      <c r="B49" s="204" t="s">
        <v>267</v>
      </c>
      <c r="C49" s="215"/>
      <c r="D49" s="216">
        <f>D46</f>
        <v>2200</v>
      </c>
      <c r="E49" s="211">
        <v>35</v>
      </c>
      <c r="F49" s="182">
        <f>D49*E49</f>
        <v>77000</v>
      </c>
      <c r="G49" s="174">
        <v>83220</v>
      </c>
      <c r="H49" s="174">
        <f>F49-G49</f>
        <v>-6220</v>
      </c>
    </row>
    <row r="50" spans="2:8" x14ac:dyDescent="0.3">
      <c r="B50" s="173" t="s">
        <v>152</v>
      </c>
      <c r="D50" s="179"/>
      <c r="E50" s="151"/>
      <c r="F50" s="210">
        <f>SUM(F45:F49)</f>
        <v>1295000</v>
      </c>
      <c r="G50" s="179"/>
      <c r="H50" s="174"/>
    </row>
    <row r="51" spans="2:8" x14ac:dyDescent="0.3">
      <c r="B51" s="181" t="s">
        <v>323</v>
      </c>
      <c r="C51" s="154"/>
      <c r="D51" s="205">
        <v>100</v>
      </c>
      <c r="E51" s="206">
        <f>D38</f>
        <v>875</v>
      </c>
      <c r="F51" s="212">
        <f>-D51*E51</f>
        <v>-87500</v>
      </c>
      <c r="G51" s="179">
        <f>F51</f>
        <v>-87500</v>
      </c>
      <c r="H51" s="174"/>
    </row>
    <row r="52" spans="2:8" x14ac:dyDescent="0.3">
      <c r="B52" s="173" t="s">
        <v>154</v>
      </c>
      <c r="D52" s="179"/>
      <c r="E52" s="151"/>
      <c r="F52" s="210">
        <f>SUM(F50:F51)</f>
        <v>1207500</v>
      </c>
      <c r="G52" s="179"/>
      <c r="H52" s="174"/>
    </row>
    <row r="53" spans="2:8" x14ac:dyDescent="0.3">
      <c r="B53" s="181" t="s">
        <v>350</v>
      </c>
      <c r="C53" s="154"/>
      <c r="D53" s="205">
        <v>50</v>
      </c>
      <c r="E53" s="206">
        <v>1150</v>
      </c>
      <c r="F53" s="212">
        <f>D53*E53</f>
        <v>57500</v>
      </c>
      <c r="G53" s="179">
        <f>F53</f>
        <v>57500</v>
      </c>
      <c r="H53" s="174"/>
    </row>
    <row r="54" spans="2:8" x14ac:dyDescent="0.3">
      <c r="B54" s="173" t="s">
        <v>156</v>
      </c>
      <c r="D54" s="179"/>
      <c r="E54" s="151"/>
      <c r="F54" s="210">
        <f>SUM(F52:F53)</f>
        <v>1265000</v>
      </c>
      <c r="G54" s="179"/>
      <c r="H54" s="174"/>
    </row>
    <row r="55" spans="2:8" x14ac:dyDescent="0.3">
      <c r="B55" s="181" t="s">
        <v>626</v>
      </c>
      <c r="C55" s="154"/>
      <c r="D55" s="205">
        <v>1100</v>
      </c>
      <c r="E55" s="206">
        <v>100</v>
      </c>
      <c r="F55" s="212">
        <f>D55*E55</f>
        <v>110000</v>
      </c>
      <c r="G55" s="179">
        <v>110000</v>
      </c>
      <c r="H55" s="174">
        <f>F55-G55</f>
        <v>0</v>
      </c>
    </row>
    <row r="56" spans="2:8" x14ac:dyDescent="0.3">
      <c r="B56" s="173" t="s">
        <v>158</v>
      </c>
      <c r="D56" s="179"/>
      <c r="E56" s="151"/>
      <c r="F56" s="210">
        <f>SUM(F54:F55)</f>
        <v>1375000</v>
      </c>
      <c r="G56" s="179"/>
      <c r="H56" s="174"/>
    </row>
    <row r="57" spans="2:8" x14ac:dyDescent="0.3">
      <c r="B57" s="181"/>
      <c r="C57" s="154"/>
      <c r="D57" s="205"/>
      <c r="E57" s="206"/>
      <c r="F57" s="212"/>
      <c r="G57" s="179"/>
      <c r="H57" s="174"/>
    </row>
    <row r="58" spans="2:8" x14ac:dyDescent="0.3">
      <c r="B58" s="173" t="s">
        <v>159</v>
      </c>
      <c r="D58" s="179"/>
      <c r="E58" s="151"/>
      <c r="F58" s="210">
        <f>F43-F56</f>
        <v>598400</v>
      </c>
      <c r="G58" s="179"/>
      <c r="H58" s="174"/>
    </row>
    <row r="59" spans="2:8" x14ac:dyDescent="0.3">
      <c r="B59" s="173" t="s">
        <v>179</v>
      </c>
      <c r="D59" s="179"/>
      <c r="E59" s="151"/>
      <c r="F59" s="210">
        <f>H47</f>
        <v>-21470</v>
      </c>
      <c r="G59" s="179"/>
      <c r="H59" s="174"/>
    </row>
    <row r="60" spans="2:8" x14ac:dyDescent="0.3">
      <c r="B60" s="181" t="s">
        <v>160</v>
      </c>
      <c r="C60" s="154"/>
      <c r="D60" s="182"/>
      <c r="E60" s="153"/>
      <c r="F60" s="212">
        <f>H60</f>
        <v>-6220</v>
      </c>
      <c r="G60" s="179"/>
      <c r="H60" s="186">
        <f>SUM(H49:H55)</f>
        <v>-6220</v>
      </c>
    </row>
    <row r="61" spans="2:8" x14ac:dyDescent="0.3">
      <c r="B61" s="173" t="s">
        <v>161</v>
      </c>
      <c r="D61" s="179"/>
      <c r="E61" s="151"/>
      <c r="F61" s="210">
        <f>SUM(F58:F60)</f>
        <v>570710</v>
      </c>
      <c r="G61" s="179">
        <f>G43-G45-G46-G49-G51-G53-G55</f>
        <v>570710</v>
      </c>
      <c r="H61" s="174"/>
    </row>
    <row r="62" spans="2:8" x14ac:dyDescent="0.3">
      <c r="B62" s="180" t="s">
        <v>162</v>
      </c>
      <c r="D62" s="179"/>
      <c r="E62" s="151"/>
      <c r="F62" s="210"/>
      <c r="G62" s="179"/>
      <c r="H62" s="428" t="s">
        <v>163</v>
      </c>
    </row>
    <row r="63" spans="2:8" x14ac:dyDescent="0.3">
      <c r="B63" s="173"/>
      <c r="D63" s="179"/>
      <c r="E63" s="151"/>
      <c r="F63" s="210"/>
      <c r="G63" s="179"/>
      <c r="H63" s="174"/>
    </row>
    <row r="64" spans="2:8" x14ac:dyDescent="0.3">
      <c r="B64" s="173" t="s">
        <v>267</v>
      </c>
      <c r="D64" s="179"/>
      <c r="E64" s="151"/>
      <c r="F64" s="210">
        <v>280000</v>
      </c>
      <c r="G64" s="179">
        <v>283000</v>
      </c>
      <c r="H64" s="174">
        <f>F64-G64</f>
        <v>-3000</v>
      </c>
    </row>
    <row r="65" spans="1:8" x14ac:dyDescent="0.3">
      <c r="B65" s="173" t="s">
        <v>626</v>
      </c>
      <c r="D65" s="179"/>
      <c r="E65" s="151"/>
      <c r="F65" s="210">
        <v>190000</v>
      </c>
      <c r="G65" s="179">
        <v>191000</v>
      </c>
      <c r="H65" s="174">
        <f>F65-G65</f>
        <v>-1000</v>
      </c>
    </row>
    <row r="66" spans="1:8" x14ac:dyDescent="0.3">
      <c r="B66" s="181" t="s">
        <v>164</v>
      </c>
      <c r="C66" s="154"/>
      <c r="D66" s="182"/>
      <c r="E66" s="153"/>
      <c r="F66" s="212">
        <f>H66</f>
        <v>-4000</v>
      </c>
      <c r="G66" s="182"/>
      <c r="H66" s="186">
        <f>SUM(H64:H65)</f>
        <v>-4000</v>
      </c>
    </row>
    <row r="67" spans="1:8" x14ac:dyDescent="0.3">
      <c r="B67" s="181" t="s">
        <v>187</v>
      </c>
      <c r="C67" s="154"/>
      <c r="D67" s="182"/>
      <c r="E67" s="153"/>
      <c r="F67" s="182">
        <f>F61-F64-F65+F66</f>
        <v>96710</v>
      </c>
      <c r="G67" s="153">
        <f>G61-G64-G65</f>
        <v>96710</v>
      </c>
      <c r="H67" s="182"/>
    </row>
    <row r="68" spans="1:8" x14ac:dyDescent="0.3">
      <c r="B68" s="149" t="s">
        <v>165</v>
      </c>
      <c r="E68" s="151"/>
      <c r="H68" s="151"/>
    </row>
    <row r="69" spans="1:8" x14ac:dyDescent="0.3">
      <c r="E69" s="151"/>
      <c r="H69" s="151"/>
    </row>
    <row r="70" spans="1:8" x14ac:dyDescent="0.3">
      <c r="A70" s="149" t="s">
        <v>203</v>
      </c>
      <c r="B70" s="149" t="s">
        <v>661</v>
      </c>
      <c r="E70" s="151"/>
      <c r="H70" s="151"/>
    </row>
    <row r="71" spans="1:8" x14ac:dyDescent="0.3">
      <c r="E71" s="151"/>
      <c r="H71" s="151"/>
    </row>
    <row r="72" spans="1:8" x14ac:dyDescent="0.3">
      <c r="B72" s="149" t="s">
        <v>662</v>
      </c>
      <c r="E72" s="151"/>
      <c r="H72" s="151"/>
    </row>
    <row r="73" spans="1:8" ht="27.6" x14ac:dyDescent="0.3">
      <c r="D73" s="476" t="s">
        <v>271</v>
      </c>
      <c r="E73" s="477" t="s">
        <v>269</v>
      </c>
      <c r="F73" s="477" t="s">
        <v>270</v>
      </c>
      <c r="G73" s="477" t="s">
        <v>648</v>
      </c>
      <c r="H73" s="477" t="s">
        <v>658</v>
      </c>
    </row>
    <row r="74" spans="1:8" ht="18" x14ac:dyDescent="0.3">
      <c r="D74" s="477" t="s">
        <v>407</v>
      </c>
      <c r="E74" s="477" t="s">
        <v>400</v>
      </c>
      <c r="F74" s="477"/>
      <c r="G74" s="477" t="s">
        <v>296</v>
      </c>
      <c r="H74" s="477" t="s">
        <v>297</v>
      </c>
    </row>
    <row r="75" spans="1:8" x14ac:dyDescent="0.3">
      <c r="B75" s="167" t="s">
        <v>264</v>
      </c>
      <c r="C75" s="219"/>
      <c r="D75" s="207">
        <f>F79</f>
        <v>77000</v>
      </c>
      <c r="E75" s="207">
        <f>F81</f>
        <v>80500</v>
      </c>
      <c r="F75" s="207">
        <v>83220</v>
      </c>
      <c r="G75" s="207">
        <f>D75-E75</f>
        <v>-3500</v>
      </c>
      <c r="H75" s="207">
        <f>E75-F75</f>
        <v>-2720</v>
      </c>
    </row>
    <row r="76" spans="1:8" x14ac:dyDescent="0.3">
      <c r="B76" s="167" t="s">
        <v>351</v>
      </c>
      <c r="C76" s="219"/>
      <c r="D76" s="207">
        <v>110000</v>
      </c>
      <c r="E76" s="207">
        <v>110000</v>
      </c>
      <c r="F76" s="207">
        <v>110000</v>
      </c>
      <c r="G76" s="207">
        <f>D76-E76</f>
        <v>0</v>
      </c>
      <c r="H76" s="207">
        <f>E76-F76</f>
        <v>0</v>
      </c>
    </row>
    <row r="77" spans="1:8" x14ac:dyDescent="0.3">
      <c r="G77" s="149" t="s">
        <v>352</v>
      </c>
      <c r="H77" s="182">
        <f>SUM(G75:H76)</f>
        <v>-6220</v>
      </c>
    </row>
    <row r="78" spans="1:8" x14ac:dyDescent="0.3">
      <c r="H78" s="151"/>
    </row>
    <row r="79" spans="1:8" x14ac:dyDescent="0.3">
      <c r="B79" s="150" t="s">
        <v>322</v>
      </c>
      <c r="D79" s="149" t="s">
        <v>353</v>
      </c>
      <c r="F79" s="151">
        <f>2200*35</f>
        <v>77000</v>
      </c>
    </row>
    <row r="81" spans="1:6" x14ac:dyDescent="0.3">
      <c r="B81" s="150" t="s">
        <v>376</v>
      </c>
      <c r="D81" s="149" t="s">
        <v>354</v>
      </c>
      <c r="F81" s="151">
        <f>2300*35</f>
        <v>80500</v>
      </c>
    </row>
    <row r="83" spans="1:6" x14ac:dyDescent="0.3">
      <c r="B83" s="149" t="s">
        <v>355</v>
      </c>
    </row>
    <row r="85" spans="1:6" x14ac:dyDescent="0.3">
      <c r="A85" s="3" t="s">
        <v>659</v>
      </c>
    </row>
    <row r="87" spans="1:6" x14ac:dyDescent="0.3">
      <c r="A87" s="149" t="s">
        <v>189</v>
      </c>
      <c r="B87" s="150" t="s">
        <v>356</v>
      </c>
    </row>
    <row r="88" spans="1:6" x14ac:dyDescent="0.3">
      <c r="B88" s="149" t="s">
        <v>357</v>
      </c>
      <c r="E88" s="151"/>
      <c r="F88" s="151">
        <f>1000*1800</f>
        <v>1800000</v>
      </c>
    </row>
    <row r="89" spans="1:6" x14ac:dyDescent="0.3">
      <c r="B89" s="149" t="s">
        <v>358</v>
      </c>
      <c r="E89" s="151">
        <f>1000*600</f>
        <v>600000</v>
      </c>
      <c r="F89" s="151"/>
    </row>
    <row r="90" spans="1:6" x14ac:dyDescent="0.3">
      <c r="B90" s="149" t="s">
        <v>359</v>
      </c>
      <c r="E90" s="151">
        <f>1000*480</f>
        <v>480000</v>
      </c>
      <c r="F90" s="151"/>
    </row>
    <row r="91" spans="1:6" x14ac:dyDescent="0.3">
      <c r="B91" s="149" t="s">
        <v>360</v>
      </c>
      <c r="E91" s="151">
        <f>1000*70</f>
        <v>70000</v>
      </c>
      <c r="F91" s="151"/>
    </row>
    <row r="92" spans="1:6" x14ac:dyDescent="0.3">
      <c r="B92" s="149" t="s">
        <v>361</v>
      </c>
      <c r="E92" s="151">
        <f>1000*100</f>
        <v>100000</v>
      </c>
      <c r="F92" s="151"/>
    </row>
    <row r="93" spans="1:6" x14ac:dyDescent="0.3">
      <c r="B93" s="149" t="s">
        <v>282</v>
      </c>
      <c r="E93" s="152">
        <f>SUM(E89:E92)</f>
        <v>1250000</v>
      </c>
      <c r="F93" s="153">
        <f>E93</f>
        <v>1250000</v>
      </c>
    </row>
    <row r="94" spans="1:6" x14ac:dyDescent="0.3">
      <c r="B94" s="149" t="s">
        <v>283</v>
      </c>
      <c r="E94" s="151"/>
      <c r="F94" s="151">
        <f>F88-F93</f>
        <v>550000</v>
      </c>
    </row>
    <row r="95" spans="1:6" x14ac:dyDescent="0.3">
      <c r="B95" s="149" t="s">
        <v>362</v>
      </c>
      <c r="E95" s="151"/>
      <c r="F95" s="151">
        <v>470000</v>
      </c>
    </row>
    <row r="96" spans="1:6" x14ac:dyDescent="0.3">
      <c r="B96" s="149" t="s">
        <v>206</v>
      </c>
      <c r="E96" s="151"/>
      <c r="F96" s="152">
        <f>F94-F95</f>
        <v>80000</v>
      </c>
    </row>
    <row r="98" spans="1:9" ht="16.2" x14ac:dyDescent="0.35">
      <c r="B98" s="208" t="s">
        <v>660</v>
      </c>
      <c r="F98" s="151"/>
    </row>
    <row r="99" spans="1:9" x14ac:dyDescent="0.3">
      <c r="F99" s="151"/>
    </row>
    <row r="100" spans="1:9" x14ac:dyDescent="0.3">
      <c r="B100" s="149" t="s">
        <v>363</v>
      </c>
      <c r="F100" s="151">
        <f>1000*550</f>
        <v>550000</v>
      </c>
    </row>
    <row r="101" spans="1:9" x14ac:dyDescent="0.3">
      <c r="B101" s="149" t="s">
        <v>132</v>
      </c>
      <c r="F101" s="151">
        <v>470000</v>
      </c>
    </row>
    <row r="102" spans="1:9" x14ac:dyDescent="0.3">
      <c r="B102" s="149" t="s">
        <v>206</v>
      </c>
      <c r="F102" s="152">
        <f>F100-F101</f>
        <v>80000</v>
      </c>
    </row>
    <row r="105" spans="1:9" x14ac:dyDescent="0.3">
      <c r="A105" s="149" t="s">
        <v>191</v>
      </c>
      <c r="B105" s="149" t="s">
        <v>364</v>
      </c>
    </row>
    <row r="107" spans="1:9" x14ac:dyDescent="0.3">
      <c r="B107" s="149" t="s">
        <v>206</v>
      </c>
      <c r="D107" s="151">
        <f>F102</f>
        <v>80000</v>
      </c>
      <c r="E107" s="151"/>
      <c r="G107" s="151"/>
      <c r="H107" s="151"/>
      <c r="I107" s="151"/>
    </row>
    <row r="108" spans="1:9" x14ac:dyDescent="0.3">
      <c r="B108" s="149" t="s">
        <v>140</v>
      </c>
      <c r="D108" s="151">
        <f>F12</f>
        <v>2330</v>
      </c>
      <c r="E108" s="151"/>
      <c r="G108" s="151"/>
      <c r="H108" s="151"/>
      <c r="I108" s="151"/>
    </row>
    <row r="109" spans="1:9" x14ac:dyDescent="0.3">
      <c r="B109" s="149" t="s">
        <v>141</v>
      </c>
      <c r="D109" s="151">
        <f>E12</f>
        <v>-9000</v>
      </c>
      <c r="E109" s="151"/>
      <c r="G109" s="151"/>
      <c r="H109" s="151"/>
      <c r="I109" s="151"/>
    </row>
    <row r="110" spans="1:9" x14ac:dyDescent="0.3">
      <c r="B110" s="149" t="s">
        <v>78</v>
      </c>
      <c r="D110" s="151">
        <f>F23</f>
        <v>9200</v>
      </c>
      <c r="E110" s="151"/>
      <c r="G110" s="151"/>
      <c r="H110" s="151"/>
      <c r="I110" s="151"/>
    </row>
    <row r="111" spans="1:9" x14ac:dyDescent="0.3">
      <c r="B111" s="149" t="s">
        <v>79</v>
      </c>
      <c r="D111" s="151">
        <f>E23</f>
        <v>-24000</v>
      </c>
      <c r="E111" s="151"/>
      <c r="G111" s="151"/>
      <c r="H111" s="151"/>
      <c r="I111" s="151"/>
    </row>
    <row r="112" spans="1:9" x14ac:dyDescent="0.3">
      <c r="B112" s="149" t="s">
        <v>370</v>
      </c>
      <c r="D112" s="151">
        <f>G75</f>
        <v>-3500</v>
      </c>
      <c r="E112" s="151"/>
      <c r="G112" s="151"/>
      <c r="H112" s="151"/>
      <c r="I112" s="151"/>
    </row>
    <row r="113" spans="1:9" x14ac:dyDescent="0.3">
      <c r="B113" s="169" t="s">
        <v>293</v>
      </c>
      <c r="D113" s="151">
        <f>H75</f>
        <v>-2720</v>
      </c>
      <c r="E113" s="151"/>
      <c r="G113" s="151"/>
      <c r="H113" s="151"/>
      <c r="I113" s="151"/>
    </row>
    <row r="114" spans="1:9" x14ac:dyDescent="0.3">
      <c r="B114" s="149" t="s">
        <v>164</v>
      </c>
      <c r="D114" s="151">
        <f>F66</f>
        <v>-4000</v>
      </c>
      <c r="E114" s="151"/>
      <c r="G114" s="151"/>
      <c r="H114" s="151"/>
      <c r="I114" s="151"/>
    </row>
    <row r="115" spans="1:9" x14ac:dyDescent="0.3">
      <c r="B115" s="149" t="s">
        <v>1148</v>
      </c>
      <c r="D115" s="151">
        <f>E129</f>
        <v>55000</v>
      </c>
      <c r="E115" s="151" t="s">
        <v>694</v>
      </c>
      <c r="G115" s="151"/>
      <c r="H115" s="151"/>
      <c r="I115" s="151"/>
    </row>
    <row r="116" spans="1:9" x14ac:dyDescent="0.3">
      <c r="B116" s="149" t="s">
        <v>210</v>
      </c>
      <c r="D116" s="151">
        <f>E123</f>
        <v>-6600</v>
      </c>
      <c r="E116" s="151" t="str">
        <f>E115</f>
        <v>(se beregninger nedenfor)</v>
      </c>
      <c r="G116" s="151"/>
      <c r="H116" s="151"/>
      <c r="I116" s="151"/>
    </row>
    <row r="117" spans="1:9" x14ac:dyDescent="0.3">
      <c r="D117" s="152">
        <f>SUM(D107:D116)</f>
        <v>96710</v>
      </c>
      <c r="E117" s="151"/>
      <c r="G117" s="151"/>
      <c r="H117" s="151"/>
      <c r="I117" s="151"/>
    </row>
    <row r="120" spans="1:9" x14ac:dyDescent="0.3">
      <c r="A120" s="150" t="s">
        <v>365</v>
      </c>
    </row>
    <row r="121" spans="1:9" ht="16.2" x14ac:dyDescent="0.35">
      <c r="A121" s="208" t="s">
        <v>366</v>
      </c>
    </row>
    <row r="122" spans="1:9" x14ac:dyDescent="0.3">
      <c r="A122" s="149" t="s">
        <v>367</v>
      </c>
    </row>
    <row r="123" spans="1:9" x14ac:dyDescent="0.3">
      <c r="A123" s="149" t="s">
        <v>368</v>
      </c>
      <c r="E123" s="151">
        <f>1100*-6</f>
        <v>-6600</v>
      </c>
    </row>
    <row r="124" spans="1:9" x14ac:dyDescent="0.3">
      <c r="E124" s="151"/>
    </row>
    <row r="125" spans="1:9" x14ac:dyDescent="0.3">
      <c r="A125" s="149" t="s">
        <v>693</v>
      </c>
      <c r="E125" s="151"/>
    </row>
    <row r="126" spans="1:9" x14ac:dyDescent="0.3">
      <c r="E126" s="151"/>
    </row>
    <row r="127" spans="1:9" ht="16.2" x14ac:dyDescent="0.35">
      <c r="A127" s="208" t="s">
        <v>1150</v>
      </c>
      <c r="E127" s="151"/>
    </row>
    <row r="128" spans="1:9" x14ac:dyDescent="0.3">
      <c r="A128" s="149" t="s">
        <v>392</v>
      </c>
      <c r="E128" s="151"/>
    </row>
    <row r="129" spans="1:5" x14ac:dyDescent="0.3">
      <c r="A129" s="149" t="s">
        <v>393</v>
      </c>
      <c r="E129" s="151">
        <f>550*100</f>
        <v>55000</v>
      </c>
    </row>
  </sheetData>
  <mergeCells count="1">
    <mergeCell ref="D41:F41"/>
  </mergeCells>
  <phoneticPr fontId="42" type="noConversion"/>
  <pageMargins left="0.59055118110236227" right="0.59055118110236227" top="0.98425196850393704" bottom="0.98425196850393704" header="0.51181102362204722" footer="0.51181102362204722"/>
  <pageSetup paperSize="9" scale="86" fitToHeight="0" orientation="portrait" r:id="rId1"/>
  <headerFooter alignWithMargins="0">
    <oddHeader>&amp;A&amp;RSide &amp;P</oddHeader>
    <oddFooter>&amp;CLøsning kapittel 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/>
  <dimension ref="A1:P109"/>
  <sheetViews>
    <sheetView zoomScale="90" workbookViewId="0">
      <selection activeCell="B83" sqref="B83"/>
    </sheetView>
  </sheetViews>
  <sheetFormatPr baseColWidth="10" defaultColWidth="11.33203125" defaultRowHeight="15.6" x14ac:dyDescent="0.3"/>
  <cols>
    <col min="1" max="1" width="4.109375" style="1" customWidth="1"/>
    <col min="2" max="2" width="13" style="1" customWidth="1"/>
    <col min="3" max="3" width="14.88671875" style="1" bestFit="1" customWidth="1"/>
    <col min="4" max="4" width="17.33203125" style="1" customWidth="1"/>
    <col min="5" max="5" width="14.88671875" style="1" customWidth="1"/>
    <col min="6" max="7" width="14.33203125" style="1" customWidth="1"/>
    <col min="8" max="8" width="12.33203125" style="1" customWidth="1"/>
    <col min="9" max="9" width="10.109375" style="1" customWidth="1"/>
    <col min="10" max="11" width="17.33203125" style="1" customWidth="1"/>
    <col min="12" max="12" width="22.109375" style="1" customWidth="1"/>
    <col min="13" max="13" width="16" style="1" customWidth="1"/>
    <col min="14" max="14" width="20.109375" style="1" customWidth="1"/>
    <col min="15" max="15" width="18.88671875" style="1" customWidth="1"/>
    <col min="16" max="16" width="23.109375" style="1" customWidth="1"/>
    <col min="17" max="16384" width="11.33203125" style="1"/>
  </cols>
  <sheetData>
    <row r="1" spans="1:10" x14ac:dyDescent="0.3">
      <c r="E1" s="117" t="s">
        <v>225</v>
      </c>
      <c r="F1" s="9"/>
      <c r="G1" s="9"/>
      <c r="H1" s="117" t="s">
        <v>226</v>
      </c>
    </row>
    <row r="2" spans="1:10" x14ac:dyDescent="0.3">
      <c r="A2" s="118" t="s">
        <v>227</v>
      </c>
      <c r="B2" s="25"/>
      <c r="C2" s="25"/>
      <c r="D2" s="25" t="s">
        <v>228</v>
      </c>
      <c r="E2" s="119">
        <f>1000*8</f>
        <v>8000</v>
      </c>
      <c r="F2" s="120" t="s">
        <v>229</v>
      </c>
      <c r="G2" s="25"/>
      <c r="H2" s="119">
        <f>200*21</f>
        <v>4200</v>
      </c>
    </row>
    <row r="3" spans="1:10" x14ac:dyDescent="0.3">
      <c r="A3" s="112" t="s">
        <v>663</v>
      </c>
      <c r="E3" s="121">
        <f>6000*8.1</f>
        <v>48600</v>
      </c>
      <c r="F3" s="122" t="s">
        <v>230</v>
      </c>
      <c r="H3" s="121">
        <f>1200*21</f>
        <v>25200</v>
      </c>
    </row>
    <row r="4" spans="1:10" x14ac:dyDescent="0.3">
      <c r="A4" s="112" t="s">
        <v>231</v>
      </c>
      <c r="E4" s="121">
        <v>8100</v>
      </c>
      <c r="F4" s="122" t="s">
        <v>232</v>
      </c>
      <c r="H4" s="121">
        <f>210*21</f>
        <v>4410</v>
      </c>
    </row>
    <row r="5" spans="1:10" ht="18" x14ac:dyDescent="0.4">
      <c r="A5" s="123" t="s">
        <v>664</v>
      </c>
      <c r="B5" s="26"/>
      <c r="C5" s="26"/>
      <c r="D5" s="26"/>
      <c r="E5" s="115">
        <f>E2+E3-E4</f>
        <v>48500</v>
      </c>
      <c r="F5" s="26"/>
      <c r="G5" s="26"/>
      <c r="H5" s="115">
        <f>H2+H3-H4</f>
        <v>24990</v>
      </c>
    </row>
    <row r="7" spans="1:10" ht="18" x14ac:dyDescent="0.4">
      <c r="A7" s="1" t="s">
        <v>233</v>
      </c>
      <c r="F7" s="1" t="s">
        <v>234</v>
      </c>
      <c r="H7" s="1" t="s">
        <v>235</v>
      </c>
    </row>
    <row r="9" spans="1:10" x14ac:dyDescent="0.3">
      <c r="B9" s="999"/>
      <c r="C9" s="999"/>
      <c r="D9" s="999"/>
      <c r="E9" s="999"/>
      <c r="F9" s="999"/>
      <c r="G9" s="999"/>
      <c r="H9" s="2"/>
      <c r="I9" s="2"/>
    </row>
    <row r="10" spans="1:10" x14ac:dyDescent="0.3">
      <c r="B10" s="2"/>
      <c r="C10" s="2"/>
      <c r="D10" s="2"/>
      <c r="E10" s="2"/>
      <c r="F10" s="2"/>
      <c r="G10" s="2"/>
      <c r="H10" s="2"/>
      <c r="I10" s="2"/>
    </row>
    <row r="11" spans="1:10" x14ac:dyDescent="0.3">
      <c r="A11" s="3" t="s">
        <v>81</v>
      </c>
      <c r="H11" s="2"/>
      <c r="I11" s="2"/>
      <c r="J11" s="3"/>
    </row>
    <row r="12" spans="1:10" x14ac:dyDescent="0.3">
      <c r="B12" s="18"/>
      <c r="C12" s="19" t="s">
        <v>615</v>
      </c>
      <c r="D12" s="13" t="s">
        <v>719</v>
      </c>
      <c r="E12" s="13" t="s">
        <v>83</v>
      </c>
      <c r="F12" s="14" t="s">
        <v>141</v>
      </c>
      <c r="G12" s="14" t="s">
        <v>140</v>
      </c>
      <c r="H12" s="2"/>
      <c r="I12" s="2"/>
    </row>
    <row r="13" spans="1:10" x14ac:dyDescent="0.3">
      <c r="B13" s="18"/>
      <c r="C13" s="15" t="s">
        <v>586</v>
      </c>
      <c r="D13" s="15" t="s">
        <v>587</v>
      </c>
      <c r="E13" s="15" t="s">
        <v>588</v>
      </c>
      <c r="F13" s="15" t="s">
        <v>589</v>
      </c>
      <c r="G13" s="15" t="s">
        <v>590</v>
      </c>
      <c r="H13" s="2"/>
      <c r="I13" s="2"/>
    </row>
    <row r="14" spans="1:10" x14ac:dyDescent="0.3">
      <c r="B14" s="18"/>
      <c r="C14" s="20" t="s">
        <v>85</v>
      </c>
      <c r="D14" s="16" t="s">
        <v>212</v>
      </c>
      <c r="E14" s="16" t="s">
        <v>213</v>
      </c>
      <c r="F14" s="480"/>
      <c r="G14" s="481"/>
      <c r="H14" s="2"/>
      <c r="I14" s="2"/>
    </row>
    <row r="15" spans="1:10" x14ac:dyDescent="0.3">
      <c r="B15" s="22" t="s">
        <v>225</v>
      </c>
      <c r="C15" s="482">
        <f>E23*8</f>
        <v>47200</v>
      </c>
      <c r="D15" s="115">
        <f>8*6000</f>
        <v>48000</v>
      </c>
      <c r="E15" s="115">
        <f>E5</f>
        <v>48500</v>
      </c>
      <c r="F15" s="115">
        <f>C15-D15</f>
        <v>-800</v>
      </c>
      <c r="G15" s="115">
        <f>D15-E15</f>
        <v>-500</v>
      </c>
      <c r="H15" s="2"/>
      <c r="I15" s="2"/>
    </row>
    <row r="16" spans="1:10" x14ac:dyDescent="0.3">
      <c r="B16" s="22" t="s">
        <v>226</v>
      </c>
      <c r="C16" s="483">
        <f>20*E27</f>
        <v>23800</v>
      </c>
      <c r="D16" s="483">
        <f>20*1190</f>
        <v>23800</v>
      </c>
      <c r="E16" s="483">
        <f>H5</f>
        <v>24990</v>
      </c>
      <c r="F16" s="115">
        <f>C16-D16</f>
        <v>0</v>
      </c>
      <c r="G16" s="115">
        <f>D16-E16</f>
        <v>-1190</v>
      </c>
      <c r="H16" s="2"/>
      <c r="I16" s="2"/>
    </row>
    <row r="17" spans="1:16" x14ac:dyDescent="0.3">
      <c r="B17" s="2"/>
      <c r="C17" s="2"/>
      <c r="D17" s="2"/>
      <c r="E17" s="2"/>
      <c r="F17" s="2"/>
      <c r="G17" s="2"/>
      <c r="H17" s="2"/>
      <c r="I17" s="2"/>
    </row>
    <row r="18" spans="1:16" x14ac:dyDescent="0.3">
      <c r="B18" s="2"/>
      <c r="C18" s="2"/>
      <c r="D18" s="2"/>
      <c r="E18" s="2"/>
      <c r="F18" s="2"/>
      <c r="G18" s="2"/>
      <c r="H18" s="2"/>
      <c r="I18" s="2"/>
      <c r="L18" s="9"/>
      <c r="M18" s="9"/>
      <c r="N18" s="9"/>
      <c r="O18" s="9"/>
      <c r="P18" s="9"/>
    </row>
    <row r="19" spans="1:16" ht="18" x14ac:dyDescent="0.4">
      <c r="B19" s="127" t="s">
        <v>142</v>
      </c>
      <c r="C19" s="2"/>
      <c r="D19" s="2"/>
      <c r="E19" s="2"/>
      <c r="F19" s="2"/>
      <c r="G19" s="2"/>
      <c r="H19" s="2"/>
      <c r="I19" s="2"/>
    </row>
    <row r="20" spans="1:16" x14ac:dyDescent="0.3">
      <c r="B20" s="2" t="s">
        <v>236</v>
      </c>
      <c r="C20" s="2"/>
      <c r="D20" s="2"/>
      <c r="E20" s="2"/>
      <c r="F20" s="2"/>
      <c r="G20" s="2"/>
      <c r="H20" s="2"/>
      <c r="I20" s="2"/>
    </row>
    <row r="21" spans="1:16" x14ac:dyDescent="0.3">
      <c r="B21" s="2" t="s">
        <v>237</v>
      </c>
      <c r="C21" s="2"/>
      <c r="D21" s="2"/>
      <c r="E21" s="2">
        <f>1200*5</f>
        <v>6000</v>
      </c>
      <c r="G21" s="2"/>
      <c r="H21" s="2"/>
      <c r="I21" s="2"/>
    </row>
    <row r="22" spans="1:16" x14ac:dyDescent="0.3">
      <c r="A22" s="5" t="s">
        <v>74</v>
      </c>
      <c r="B22" s="128" t="s">
        <v>238</v>
      </c>
      <c r="C22" s="128"/>
      <c r="D22" s="128"/>
      <c r="E22" s="2">
        <v>100</v>
      </c>
      <c r="G22" s="2"/>
      <c r="H22" s="2"/>
      <c r="I22" s="2"/>
    </row>
    <row r="23" spans="1:16" x14ac:dyDescent="0.3">
      <c r="B23" s="2"/>
      <c r="C23" s="2"/>
      <c r="D23" s="2"/>
      <c r="E23" s="8">
        <f>E21-E22</f>
        <v>5900</v>
      </c>
      <c r="G23" s="2"/>
      <c r="H23" s="2"/>
      <c r="I23" s="2"/>
    </row>
    <row r="24" spans="1:16" x14ac:dyDescent="0.3">
      <c r="B24" s="2" t="s">
        <v>239</v>
      </c>
      <c r="C24" s="2"/>
      <c r="D24" s="2"/>
      <c r="E24" s="2"/>
      <c r="G24" s="2"/>
      <c r="H24" s="2"/>
      <c r="I24" s="2"/>
    </row>
    <row r="25" spans="1:16" x14ac:dyDescent="0.3">
      <c r="B25" s="2" t="s">
        <v>240</v>
      </c>
      <c r="C25" s="2"/>
      <c r="D25" s="2"/>
      <c r="E25" s="2">
        <v>1200</v>
      </c>
      <c r="G25" s="2"/>
      <c r="H25" s="2"/>
      <c r="I25" s="2"/>
    </row>
    <row r="26" spans="1:16" x14ac:dyDescent="0.3">
      <c r="A26" s="5" t="s">
        <v>74</v>
      </c>
      <c r="B26" s="128" t="s">
        <v>241</v>
      </c>
      <c r="C26" s="128"/>
      <c r="D26" s="128"/>
      <c r="E26" s="2">
        <v>10</v>
      </c>
      <c r="G26" s="2"/>
      <c r="H26" s="2"/>
      <c r="I26" s="2"/>
    </row>
    <row r="27" spans="1:16" x14ac:dyDescent="0.3">
      <c r="B27" s="2"/>
      <c r="C27" s="2"/>
      <c r="D27" s="2"/>
      <c r="E27" s="8">
        <f>E25-E26</f>
        <v>1190</v>
      </c>
      <c r="G27" s="2"/>
      <c r="H27" s="2"/>
      <c r="I27" s="2"/>
    </row>
    <row r="28" spans="1:16" x14ac:dyDescent="0.3">
      <c r="B28" s="2"/>
      <c r="C28" s="2"/>
      <c r="D28" s="2"/>
      <c r="E28" s="2"/>
      <c r="F28" s="2"/>
      <c r="G28" s="2"/>
      <c r="H28" s="2"/>
      <c r="I28" s="2"/>
    </row>
    <row r="29" spans="1:16" x14ac:dyDescent="0.3">
      <c r="B29" s="999"/>
      <c r="C29" s="999"/>
      <c r="D29" s="999"/>
      <c r="E29" s="999"/>
      <c r="F29" s="999"/>
      <c r="G29" s="999"/>
      <c r="H29" s="2"/>
      <c r="I29" s="2"/>
    </row>
    <row r="30" spans="1:16" x14ac:dyDescent="0.3">
      <c r="B30" s="2"/>
      <c r="C30" s="2"/>
      <c r="D30" s="2"/>
      <c r="E30" s="2"/>
      <c r="F30" s="2"/>
      <c r="G30" s="2"/>
      <c r="H30" s="2"/>
      <c r="I30" s="2"/>
    </row>
    <row r="31" spans="1:16" x14ac:dyDescent="0.3">
      <c r="B31" s="2"/>
      <c r="C31" s="2"/>
      <c r="D31" s="2"/>
      <c r="E31" s="2"/>
      <c r="F31" s="2"/>
      <c r="G31" s="2"/>
      <c r="H31" s="2"/>
      <c r="I31" s="2"/>
    </row>
    <row r="32" spans="1:16" x14ac:dyDescent="0.3">
      <c r="B32" s="999"/>
      <c r="C32" s="999"/>
      <c r="D32" s="999"/>
      <c r="E32" s="999"/>
      <c r="F32" s="999"/>
      <c r="G32" s="999"/>
      <c r="H32" s="2"/>
      <c r="I32" s="2"/>
    </row>
    <row r="33" spans="2:9" x14ac:dyDescent="0.3">
      <c r="B33" s="17" t="s">
        <v>214</v>
      </c>
      <c r="C33" s="9"/>
      <c r="D33" s="9"/>
      <c r="E33" s="9"/>
      <c r="F33" s="9"/>
      <c r="G33" s="2"/>
      <c r="H33" s="2"/>
      <c r="I33" s="2"/>
    </row>
    <row r="34" spans="2:9" x14ac:dyDescent="0.3">
      <c r="B34" s="13" t="s">
        <v>615</v>
      </c>
      <c r="C34" s="19" t="s">
        <v>719</v>
      </c>
      <c r="D34" s="19" t="s">
        <v>83</v>
      </c>
      <c r="E34" s="19" t="s">
        <v>79</v>
      </c>
      <c r="F34" s="19" t="s">
        <v>622</v>
      </c>
      <c r="G34" s="2"/>
      <c r="H34" s="2"/>
      <c r="I34" s="2"/>
    </row>
    <row r="35" spans="2:9" x14ac:dyDescent="0.3">
      <c r="B35" s="15" t="s">
        <v>586</v>
      </c>
      <c r="C35" s="15" t="s">
        <v>591</v>
      </c>
      <c r="D35" s="15" t="s">
        <v>588</v>
      </c>
      <c r="E35" s="15" t="s">
        <v>589</v>
      </c>
      <c r="F35" s="15" t="s">
        <v>606</v>
      </c>
      <c r="H35" s="2"/>
      <c r="I35" s="2"/>
    </row>
    <row r="36" spans="2:9" x14ac:dyDescent="0.3">
      <c r="B36" s="16" t="s">
        <v>215</v>
      </c>
      <c r="C36" s="16" t="s">
        <v>216</v>
      </c>
      <c r="D36" s="16" t="s">
        <v>217</v>
      </c>
      <c r="E36" s="480" t="s">
        <v>261</v>
      </c>
      <c r="F36" s="481" t="s">
        <v>262</v>
      </c>
      <c r="H36" s="2"/>
      <c r="I36" s="2"/>
    </row>
    <row r="37" spans="2:9" x14ac:dyDescent="0.3">
      <c r="B37" s="115">
        <f>180*E43</f>
        <v>107100</v>
      </c>
      <c r="C37" s="115">
        <f>180*600</f>
        <v>108000</v>
      </c>
      <c r="D37" s="115">
        <v>107100</v>
      </c>
      <c r="E37" s="115">
        <f>B37-C37</f>
        <v>-900</v>
      </c>
      <c r="F37" s="115">
        <f>C37-D37</f>
        <v>900</v>
      </c>
      <c r="H37" s="2"/>
      <c r="I37" s="2"/>
    </row>
    <row r="38" spans="2:9" x14ac:dyDescent="0.3">
      <c r="H38" s="2"/>
      <c r="I38" s="2"/>
    </row>
    <row r="39" spans="2:9" x14ac:dyDescent="0.3">
      <c r="H39" s="2"/>
      <c r="I39" s="2"/>
    </row>
    <row r="40" spans="2:9" ht="18" x14ac:dyDescent="0.4">
      <c r="B40" s="127" t="s">
        <v>242</v>
      </c>
      <c r="C40" s="2"/>
      <c r="D40" s="2"/>
      <c r="E40" s="2"/>
      <c r="F40" s="2"/>
      <c r="H40" s="2"/>
      <c r="I40" s="2"/>
    </row>
    <row r="41" spans="2:9" x14ac:dyDescent="0.3">
      <c r="B41" s="2" t="s">
        <v>665</v>
      </c>
      <c r="C41" s="2"/>
      <c r="D41" s="2"/>
      <c r="E41" s="2">
        <f>1200*0.5</f>
        <v>600</v>
      </c>
      <c r="H41" s="2"/>
      <c r="I41" s="2"/>
    </row>
    <row r="42" spans="2:9" x14ac:dyDescent="0.3">
      <c r="B42" s="128" t="s">
        <v>666</v>
      </c>
      <c r="C42" s="128"/>
      <c r="D42" s="128"/>
      <c r="E42" s="2">
        <f>20/4</f>
        <v>5</v>
      </c>
      <c r="G42" s="2"/>
      <c r="H42" s="2"/>
      <c r="I42" s="2"/>
    </row>
    <row r="43" spans="2:9" x14ac:dyDescent="0.3">
      <c r="B43" s="2"/>
      <c r="C43" s="2"/>
      <c r="D43" s="2"/>
      <c r="E43" s="8">
        <f>E41-E42</f>
        <v>595</v>
      </c>
      <c r="G43" s="2"/>
      <c r="H43" s="2"/>
      <c r="I43" s="2"/>
    </row>
    <row r="44" spans="2:9" x14ac:dyDescent="0.3">
      <c r="B44" s="999"/>
      <c r="C44" s="999"/>
      <c r="D44" s="999"/>
      <c r="E44" s="999"/>
      <c r="F44" s="999"/>
      <c r="G44" s="999"/>
      <c r="H44" s="2"/>
      <c r="I44" s="2"/>
    </row>
    <row r="45" spans="2:9" x14ac:dyDescent="0.3">
      <c r="G45" s="2"/>
      <c r="H45" s="2"/>
      <c r="I45" s="2"/>
    </row>
    <row r="46" spans="2:9" x14ac:dyDescent="0.3">
      <c r="B46" s="118"/>
      <c r="C46" s="25"/>
      <c r="D46" s="129"/>
      <c r="E46" s="996" t="s">
        <v>173</v>
      </c>
      <c r="F46" s="997"/>
      <c r="G46" s="998"/>
      <c r="H46" s="108" t="s">
        <v>199</v>
      </c>
      <c r="I46" s="108" t="s">
        <v>263</v>
      </c>
    </row>
    <row r="47" spans="2:9" x14ac:dyDescent="0.3">
      <c r="B47" s="112"/>
      <c r="D47" s="18"/>
      <c r="E47" s="109" t="s">
        <v>175</v>
      </c>
      <c r="F47" s="108" t="s">
        <v>176</v>
      </c>
      <c r="G47" s="110" t="s">
        <v>145</v>
      </c>
      <c r="H47" s="111" t="s">
        <v>193</v>
      </c>
      <c r="I47" s="111" t="s">
        <v>84</v>
      </c>
    </row>
    <row r="48" spans="2:9" x14ac:dyDescent="0.3">
      <c r="B48" s="118" t="s">
        <v>96</v>
      </c>
      <c r="C48" s="25"/>
      <c r="D48" s="129"/>
      <c r="E48" s="223">
        <v>1180</v>
      </c>
      <c r="F48" s="137">
        <v>800</v>
      </c>
      <c r="G48" s="137">
        <f>E48*F48</f>
        <v>944000</v>
      </c>
      <c r="H48" s="137">
        <f>G48</f>
        <v>944000</v>
      </c>
      <c r="I48" s="137"/>
    </row>
    <row r="49" spans="2:9" x14ac:dyDescent="0.3">
      <c r="B49" s="112"/>
      <c r="D49" s="18"/>
      <c r="E49" s="143"/>
      <c r="F49" s="138"/>
      <c r="G49" s="138"/>
      <c r="H49" s="138"/>
      <c r="I49" s="138"/>
    </row>
    <row r="50" spans="2:9" x14ac:dyDescent="0.3">
      <c r="B50" s="112" t="s">
        <v>324</v>
      </c>
      <c r="D50" s="18"/>
      <c r="E50" s="143">
        <f>E23</f>
        <v>5900</v>
      </c>
      <c r="F50" s="138">
        <v>8</v>
      </c>
      <c r="G50" s="138">
        <f>E50*F50</f>
        <v>47200</v>
      </c>
      <c r="H50" s="138">
        <v>48500</v>
      </c>
      <c r="I50" s="138">
        <f>G50-H50</f>
        <v>-1300</v>
      </c>
    </row>
    <row r="51" spans="2:9" x14ac:dyDescent="0.3">
      <c r="B51" s="112" t="s">
        <v>325</v>
      </c>
      <c r="D51" s="18"/>
      <c r="E51" s="143">
        <f>E27</f>
        <v>1190</v>
      </c>
      <c r="F51" s="138">
        <v>20</v>
      </c>
      <c r="G51" s="138">
        <f>E51*F51</f>
        <v>23800</v>
      </c>
      <c r="H51" s="138">
        <v>24990</v>
      </c>
      <c r="I51" s="138">
        <f>G51-H51</f>
        <v>-1190</v>
      </c>
    </row>
    <row r="52" spans="2:9" x14ac:dyDescent="0.3">
      <c r="B52" s="112" t="s">
        <v>90</v>
      </c>
      <c r="D52" s="18"/>
      <c r="E52" s="143">
        <f>E43</f>
        <v>595</v>
      </c>
      <c r="F52" s="138">
        <v>180</v>
      </c>
      <c r="G52" s="138">
        <f>E52*F52</f>
        <v>107100</v>
      </c>
      <c r="H52" s="138">
        <v>107100</v>
      </c>
      <c r="I52" s="139">
        <f>G52-H52</f>
        <v>0</v>
      </c>
    </row>
    <row r="53" spans="2:9" x14ac:dyDescent="0.3">
      <c r="B53" s="112"/>
      <c r="D53" s="18"/>
      <c r="E53" s="143"/>
      <c r="F53" s="138"/>
      <c r="G53" s="140"/>
      <c r="H53" s="138"/>
      <c r="I53" s="141">
        <f>SUM(I50:I52)</f>
        <v>-2490</v>
      </c>
    </row>
    <row r="54" spans="2:9" x14ac:dyDescent="0.3">
      <c r="B54" s="113" t="s">
        <v>264</v>
      </c>
      <c r="C54" s="130"/>
      <c r="D54" s="18"/>
      <c r="E54" s="143"/>
      <c r="F54" s="138"/>
      <c r="G54" s="140"/>
      <c r="H54" s="138"/>
      <c r="I54" s="142" t="s">
        <v>623</v>
      </c>
    </row>
    <row r="55" spans="2:9" x14ac:dyDescent="0.3">
      <c r="B55" s="131" t="s">
        <v>266</v>
      </c>
      <c r="C55" s="122"/>
      <c r="D55" s="18"/>
      <c r="E55" s="224">
        <v>0.1</v>
      </c>
      <c r="F55" s="138">
        <f>G50+G51</f>
        <v>71000</v>
      </c>
      <c r="G55" s="138">
        <f>E55*F55</f>
        <v>7100</v>
      </c>
      <c r="H55" s="138">
        <v>7500</v>
      </c>
      <c r="I55" s="143">
        <f>G55-H55</f>
        <v>-400</v>
      </c>
    </row>
    <row r="56" spans="2:9" x14ac:dyDescent="0.3">
      <c r="B56" s="131" t="s">
        <v>267</v>
      </c>
      <c r="C56" s="122"/>
      <c r="D56" s="18"/>
      <c r="E56" s="224">
        <v>0.5</v>
      </c>
      <c r="F56" s="138">
        <f>G52</f>
        <v>107100</v>
      </c>
      <c r="G56" s="138">
        <f>E56*F56</f>
        <v>53550</v>
      </c>
      <c r="H56" s="138">
        <v>51000</v>
      </c>
      <c r="I56" s="143">
        <f>G56-H56</f>
        <v>2550</v>
      </c>
    </row>
    <row r="57" spans="2:9" x14ac:dyDescent="0.3">
      <c r="B57" s="132"/>
      <c r="C57" s="133"/>
      <c r="D57" s="116"/>
      <c r="E57" s="141"/>
      <c r="F57" s="139"/>
      <c r="G57" s="139"/>
      <c r="H57" s="138"/>
      <c r="I57" s="143"/>
    </row>
    <row r="58" spans="2:9" x14ac:dyDescent="0.3">
      <c r="B58" s="112" t="s">
        <v>152</v>
      </c>
      <c r="E58" s="138"/>
      <c r="F58" s="144"/>
      <c r="G58" s="145">
        <f>SUM(G50:G56)</f>
        <v>238750</v>
      </c>
      <c r="H58" s="138"/>
      <c r="I58" s="143"/>
    </row>
    <row r="59" spans="2:9" x14ac:dyDescent="0.3">
      <c r="B59" s="114" t="s">
        <v>326</v>
      </c>
      <c r="C59" s="4"/>
      <c r="D59" s="4"/>
      <c r="E59" s="139">
        <v>20</v>
      </c>
      <c r="F59" s="146">
        <f>E85</f>
        <v>122.5</v>
      </c>
      <c r="G59" s="147">
        <f>E59*F59</f>
        <v>2450</v>
      </c>
      <c r="H59" s="138">
        <f>G59</f>
        <v>2450</v>
      </c>
      <c r="I59" s="143"/>
    </row>
    <row r="60" spans="2:9" x14ac:dyDescent="0.3">
      <c r="B60" s="112" t="s">
        <v>154</v>
      </c>
      <c r="E60" s="138"/>
      <c r="F60" s="144"/>
      <c r="G60" s="145">
        <f>SUM(G58:G59)</f>
        <v>241200</v>
      </c>
      <c r="H60" s="138"/>
      <c r="I60" s="143"/>
    </row>
    <row r="61" spans="2:9" x14ac:dyDescent="0.3">
      <c r="B61" s="114" t="s">
        <v>155</v>
      </c>
      <c r="C61" s="4"/>
      <c r="D61" s="4"/>
      <c r="E61" s="139">
        <v>20</v>
      </c>
      <c r="F61" s="148">
        <v>201</v>
      </c>
      <c r="G61" s="147">
        <f>-E61*F61</f>
        <v>-4020</v>
      </c>
      <c r="H61" s="138">
        <f>G61</f>
        <v>-4020</v>
      </c>
      <c r="I61" s="143"/>
    </row>
    <row r="62" spans="2:9" x14ac:dyDescent="0.3">
      <c r="B62" s="112" t="s">
        <v>667</v>
      </c>
      <c r="E62" s="138"/>
      <c r="F62" s="144"/>
      <c r="G62" s="145">
        <f>SUM(G60:G61)</f>
        <v>237180</v>
      </c>
      <c r="H62" s="138"/>
      <c r="I62" s="143"/>
    </row>
    <row r="63" spans="2:9" x14ac:dyDescent="0.3">
      <c r="B63" s="114"/>
      <c r="C63" s="4"/>
      <c r="D63" s="4"/>
      <c r="E63" s="139"/>
      <c r="F63" s="148"/>
      <c r="G63" s="147"/>
      <c r="H63" s="138"/>
      <c r="I63" s="143"/>
    </row>
    <row r="64" spans="2:9" x14ac:dyDescent="0.3">
      <c r="B64" s="112" t="s">
        <v>159</v>
      </c>
      <c r="E64" s="138"/>
      <c r="F64" s="144"/>
      <c r="G64" s="145">
        <f>G48-G62</f>
        <v>706820</v>
      </c>
      <c r="H64" s="138"/>
      <c r="I64" s="143"/>
    </row>
    <row r="65" spans="2:9" x14ac:dyDescent="0.3">
      <c r="B65" s="112" t="s">
        <v>179</v>
      </c>
      <c r="E65" s="138"/>
      <c r="F65" s="144"/>
      <c r="G65" s="145">
        <f>I53</f>
        <v>-2490</v>
      </c>
      <c r="H65" s="138"/>
      <c r="I65" s="143"/>
    </row>
    <row r="66" spans="2:9" x14ac:dyDescent="0.3">
      <c r="B66" s="114" t="s">
        <v>160</v>
      </c>
      <c r="C66" s="4"/>
      <c r="D66" s="4"/>
      <c r="E66" s="139"/>
      <c r="F66" s="148"/>
      <c r="G66" s="147">
        <f>I66</f>
        <v>2150</v>
      </c>
      <c r="H66" s="138"/>
      <c r="I66" s="143">
        <f>SUM(I55:I65)</f>
        <v>2150</v>
      </c>
    </row>
    <row r="67" spans="2:9" x14ac:dyDescent="0.3">
      <c r="B67" s="112" t="s">
        <v>161</v>
      </c>
      <c r="E67" s="138"/>
      <c r="F67" s="144"/>
      <c r="G67" s="145">
        <f>SUM(G64:G66)</f>
        <v>706480</v>
      </c>
      <c r="H67" s="138"/>
      <c r="I67" s="143"/>
    </row>
    <row r="68" spans="2:9" x14ac:dyDescent="0.3">
      <c r="B68" s="113" t="s">
        <v>162</v>
      </c>
      <c r="C68" s="130"/>
      <c r="E68" s="138"/>
      <c r="F68" s="144"/>
      <c r="G68" s="145"/>
      <c r="H68" s="138"/>
      <c r="I68" s="142" t="s">
        <v>163</v>
      </c>
    </row>
    <row r="69" spans="2:9" x14ac:dyDescent="0.3">
      <c r="B69" s="112" t="s">
        <v>266</v>
      </c>
      <c r="E69" s="138"/>
      <c r="F69" s="144"/>
      <c r="G69" s="145">
        <v>100000</v>
      </c>
      <c r="H69" s="138">
        <v>110000</v>
      </c>
      <c r="I69" s="143">
        <f>G69-H69</f>
        <v>-10000</v>
      </c>
    </row>
    <row r="70" spans="2:9" x14ac:dyDescent="0.3">
      <c r="B70" s="112" t="s">
        <v>267</v>
      </c>
      <c r="E70" s="138"/>
      <c r="F70" s="144"/>
      <c r="G70" s="145">
        <v>200000</v>
      </c>
      <c r="H70" s="138">
        <v>200000</v>
      </c>
      <c r="I70" s="143">
        <f>G70-H70</f>
        <v>0</v>
      </c>
    </row>
    <row r="71" spans="2:9" x14ac:dyDescent="0.3">
      <c r="B71" s="112" t="s">
        <v>668</v>
      </c>
      <c r="E71" s="138"/>
      <c r="F71" s="144"/>
      <c r="G71" s="145">
        <v>400000</v>
      </c>
      <c r="H71" s="138">
        <v>395000</v>
      </c>
      <c r="I71" s="143">
        <f>G71-H71</f>
        <v>5000</v>
      </c>
    </row>
    <row r="72" spans="2:9" x14ac:dyDescent="0.3">
      <c r="B72" s="114" t="s">
        <v>164</v>
      </c>
      <c r="C72" s="4"/>
      <c r="D72" s="4"/>
      <c r="E72" s="139"/>
      <c r="F72" s="148"/>
      <c r="G72" s="147">
        <f>I72</f>
        <v>-5000</v>
      </c>
      <c r="H72" s="139"/>
      <c r="I72" s="142">
        <f>SUM(I69:I71)</f>
        <v>-5000</v>
      </c>
    </row>
    <row r="73" spans="2:9" x14ac:dyDescent="0.3">
      <c r="B73" s="114" t="s">
        <v>187</v>
      </c>
      <c r="C73" s="4"/>
      <c r="D73" s="4"/>
      <c r="E73" s="139"/>
      <c r="F73" s="148"/>
      <c r="G73" s="139">
        <f>G67-G69-G70-G71+G72</f>
        <v>1480</v>
      </c>
      <c r="H73" s="148">
        <f>H48-H50-H51-H52-H55-H56-H59-H61-H69-H70-H71</f>
        <v>1480</v>
      </c>
      <c r="I73" s="139"/>
    </row>
    <row r="75" spans="2:9" x14ac:dyDescent="0.3">
      <c r="B75" s="1" t="s">
        <v>165</v>
      </c>
    </row>
    <row r="76" spans="2:9" x14ac:dyDescent="0.3">
      <c r="B76" s="1" t="s">
        <v>327</v>
      </c>
    </row>
    <row r="79" spans="2:9" x14ac:dyDescent="0.3">
      <c r="B79" s="3" t="s">
        <v>328</v>
      </c>
    </row>
    <row r="80" spans="2:9" x14ac:dyDescent="0.3">
      <c r="B80" s="1" t="s">
        <v>329</v>
      </c>
      <c r="E80" s="134">
        <v>40</v>
      </c>
    </row>
    <row r="81" spans="2:8" x14ac:dyDescent="0.3">
      <c r="B81" s="1" t="s">
        <v>330</v>
      </c>
      <c r="E81" s="134">
        <v>10</v>
      </c>
    </row>
    <row r="82" spans="2:8" x14ac:dyDescent="0.3">
      <c r="B82" s="1" t="s">
        <v>669</v>
      </c>
      <c r="E82" s="134">
        <f>180/4</f>
        <v>45</v>
      </c>
    </row>
    <row r="83" spans="2:8" x14ac:dyDescent="0.3">
      <c r="B83" s="1" t="s">
        <v>331</v>
      </c>
      <c r="E83" s="134">
        <v>5</v>
      </c>
    </row>
    <row r="84" spans="2:8" x14ac:dyDescent="0.3">
      <c r="B84" s="1" t="s">
        <v>332</v>
      </c>
      <c r="E84" s="134">
        <f>45*0.5</f>
        <v>22.5</v>
      </c>
    </row>
    <row r="85" spans="2:8" x14ac:dyDescent="0.3">
      <c r="E85" s="135">
        <f>SUM(E80:E84)</f>
        <v>122.5</v>
      </c>
    </row>
    <row r="87" spans="2:8" ht="31.2" x14ac:dyDescent="0.3">
      <c r="D87" s="484" t="s">
        <v>271</v>
      </c>
      <c r="E87" s="484" t="s">
        <v>269</v>
      </c>
      <c r="F87" s="484" t="s">
        <v>270</v>
      </c>
      <c r="G87" s="484" t="s">
        <v>670</v>
      </c>
      <c r="H87" s="484" t="s">
        <v>658</v>
      </c>
    </row>
    <row r="88" spans="2:8" ht="19.8" x14ac:dyDescent="0.3">
      <c r="B88" s="123"/>
      <c r="C88" s="136"/>
      <c r="D88" s="484" t="s">
        <v>466</v>
      </c>
      <c r="E88" s="484" t="s">
        <v>467</v>
      </c>
      <c r="F88" s="484"/>
      <c r="G88" s="484" t="s">
        <v>296</v>
      </c>
      <c r="H88" s="484" t="s">
        <v>297</v>
      </c>
    </row>
    <row r="89" spans="2:8" x14ac:dyDescent="0.3">
      <c r="B89" s="123" t="s">
        <v>266</v>
      </c>
      <c r="C89" s="136"/>
      <c r="D89" s="115">
        <f>G55</f>
        <v>7100</v>
      </c>
      <c r="E89" s="115">
        <f>F93</f>
        <v>7180</v>
      </c>
      <c r="F89" s="115">
        <v>7500</v>
      </c>
      <c r="G89" s="115">
        <f>D89-E89</f>
        <v>-80</v>
      </c>
      <c r="H89" s="115">
        <f>E89-F89</f>
        <v>-320</v>
      </c>
    </row>
    <row r="90" spans="2:8" x14ac:dyDescent="0.3">
      <c r="B90" s="123" t="s">
        <v>267</v>
      </c>
      <c r="C90" s="136"/>
      <c r="D90" s="115">
        <f>G56</f>
        <v>53550</v>
      </c>
      <c r="E90" s="115">
        <f>F94</f>
        <v>54000</v>
      </c>
      <c r="F90" s="115">
        <v>51000</v>
      </c>
      <c r="G90" s="115">
        <f>D90-E90</f>
        <v>-450</v>
      </c>
      <c r="H90" s="115">
        <f>E90-F90</f>
        <v>3000</v>
      </c>
    </row>
    <row r="91" spans="2:8" x14ac:dyDescent="0.3">
      <c r="H91" s="115">
        <f>SUM(G89:H90)</f>
        <v>2150</v>
      </c>
    </row>
    <row r="92" spans="2:8" x14ac:dyDescent="0.3">
      <c r="B92" s="3" t="s">
        <v>268</v>
      </c>
    </row>
    <row r="93" spans="2:8" x14ac:dyDescent="0.3">
      <c r="B93" s="1" t="s">
        <v>333</v>
      </c>
      <c r="D93" s="1" t="s">
        <v>334</v>
      </c>
      <c r="F93" s="2">
        <f>(48000+23800)*0.1</f>
        <v>7180</v>
      </c>
    </row>
    <row r="94" spans="2:8" x14ac:dyDescent="0.3">
      <c r="B94" s="1" t="s">
        <v>335</v>
      </c>
      <c r="D94" s="1" t="s">
        <v>336</v>
      </c>
      <c r="F94" s="2">
        <f>108000*0.5</f>
        <v>54000</v>
      </c>
    </row>
    <row r="97" spans="1:2" x14ac:dyDescent="0.3">
      <c r="B97" s="3" t="s">
        <v>267</v>
      </c>
    </row>
    <row r="98" spans="1:2" x14ac:dyDescent="0.3">
      <c r="B98" s="1" t="s">
        <v>337</v>
      </c>
    </row>
    <row r="99" spans="1:2" x14ac:dyDescent="0.3">
      <c r="B99" s="1" t="s">
        <v>671</v>
      </c>
    </row>
    <row r="100" spans="1:2" x14ac:dyDescent="0.3">
      <c r="B100" s="1" t="s">
        <v>672</v>
      </c>
    </row>
    <row r="101" spans="1:2" ht="18" x14ac:dyDescent="0.4">
      <c r="B101" s="1" t="s">
        <v>673</v>
      </c>
    </row>
    <row r="103" spans="1:2" ht="18" x14ac:dyDescent="0.4">
      <c r="B103" s="2" t="s">
        <v>674</v>
      </c>
    </row>
    <row r="105" spans="1:2" x14ac:dyDescent="0.3">
      <c r="B105" s="3" t="s">
        <v>266</v>
      </c>
    </row>
    <row r="106" spans="1:2" ht="18" x14ac:dyDescent="0.4">
      <c r="B106" s="1" t="s">
        <v>675</v>
      </c>
    </row>
    <row r="108" spans="1:2" x14ac:dyDescent="0.3">
      <c r="A108" s="3" t="s">
        <v>272</v>
      </c>
    </row>
    <row r="109" spans="1:2" x14ac:dyDescent="0.3">
      <c r="A109" s="3" t="s">
        <v>273</v>
      </c>
    </row>
  </sheetData>
  <mergeCells count="5">
    <mergeCell ref="E46:G46"/>
    <mergeCell ref="B9:G9"/>
    <mergeCell ref="B29:G29"/>
    <mergeCell ref="B32:G32"/>
    <mergeCell ref="B44:G44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&amp;A&amp;RSide &amp;P</oddHeader>
    <oddFooter>&amp;CLøsning kapittel 5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published="0"/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workbookViewId="0">
      <selection activeCell="D28" sqref="D28"/>
    </sheetView>
  </sheetViews>
  <sheetFormatPr baseColWidth="10" defaultColWidth="11.33203125" defaultRowHeight="14.4" x14ac:dyDescent="0.3"/>
  <cols>
    <col min="1" max="1" width="23.33203125" style="576" customWidth="1"/>
    <col min="2" max="7" width="11.33203125" style="576"/>
    <col min="8" max="8" width="12.6640625" style="576" customWidth="1"/>
    <col min="9" max="9" width="13.6640625" style="576" customWidth="1"/>
    <col min="10" max="16384" width="11.33203125" style="576"/>
  </cols>
  <sheetData>
    <row r="1" spans="1:10" x14ac:dyDescent="0.3">
      <c r="A1" s="576" t="s">
        <v>764</v>
      </c>
    </row>
    <row r="2" spans="1:10" x14ac:dyDescent="0.3">
      <c r="A2" s="576" t="s">
        <v>763</v>
      </c>
    </row>
    <row r="3" spans="1:10" x14ac:dyDescent="0.3">
      <c r="A3" s="576" t="s">
        <v>762</v>
      </c>
      <c r="C3" s="576">
        <v>800</v>
      </c>
      <c r="D3" s="577" t="s">
        <v>760</v>
      </c>
      <c r="E3" s="577" t="s">
        <v>759</v>
      </c>
      <c r="G3" s="588">
        <v>4</v>
      </c>
      <c r="H3" s="577" t="s">
        <v>758</v>
      </c>
      <c r="J3" s="576">
        <f>G3*C3</f>
        <v>3200</v>
      </c>
    </row>
    <row r="4" spans="1:10" x14ac:dyDescent="0.3">
      <c r="A4" s="576" t="s">
        <v>761</v>
      </c>
      <c r="C4" s="576">
        <v>500</v>
      </c>
      <c r="D4" s="577" t="s">
        <v>760</v>
      </c>
      <c r="E4" s="577" t="s">
        <v>759</v>
      </c>
      <c r="G4" s="588">
        <v>4</v>
      </c>
      <c r="H4" s="577" t="s">
        <v>758</v>
      </c>
      <c r="J4" s="576">
        <f>G4*C4</f>
        <v>2000</v>
      </c>
    </row>
    <row r="5" spans="1:10" x14ac:dyDescent="0.3">
      <c r="H5" s="576" t="s">
        <v>757</v>
      </c>
      <c r="J5" s="576">
        <f>J3+J4</f>
        <v>5200</v>
      </c>
    </row>
    <row r="6" spans="1:10" x14ac:dyDescent="0.3">
      <c r="H6" s="577" t="s">
        <v>756</v>
      </c>
      <c r="J6" s="576">
        <v>350</v>
      </c>
    </row>
    <row r="9" spans="1:10" ht="15" thickBot="1" x14ac:dyDescent="0.35"/>
    <row r="10" spans="1:10" x14ac:dyDescent="0.3">
      <c r="A10" s="585" t="s">
        <v>81</v>
      </c>
      <c r="B10" s="884" t="s">
        <v>679</v>
      </c>
      <c r="C10" s="885"/>
      <c r="D10" s="886" t="s">
        <v>755</v>
      </c>
      <c r="E10" s="885"/>
      <c r="F10" s="886" t="s">
        <v>734</v>
      </c>
      <c r="G10" s="885"/>
      <c r="H10" s="584" t="s">
        <v>141</v>
      </c>
      <c r="I10" s="584" t="s">
        <v>140</v>
      </c>
      <c r="J10" s="583" t="s">
        <v>733</v>
      </c>
    </row>
    <row r="11" spans="1:10" ht="15" thickBot="1" x14ac:dyDescent="0.35">
      <c r="A11" s="587"/>
      <c r="B11" s="889" t="s">
        <v>754</v>
      </c>
      <c r="C11" s="888"/>
      <c r="D11" s="889" t="s">
        <v>753</v>
      </c>
      <c r="E11" s="888"/>
      <c r="F11" s="887"/>
      <c r="G11" s="888"/>
      <c r="H11" s="581" t="s">
        <v>261</v>
      </c>
      <c r="I11" s="581" t="s">
        <v>262</v>
      </c>
      <c r="J11" s="581" t="s">
        <v>729</v>
      </c>
    </row>
    <row r="12" spans="1:10" ht="15" thickBot="1" x14ac:dyDescent="0.35">
      <c r="A12" s="580"/>
      <c r="B12" s="882">
        <f>J5</f>
        <v>5200</v>
      </c>
      <c r="C12" s="883"/>
      <c r="D12" s="882">
        <f>5*C3+C4*G4</f>
        <v>6000</v>
      </c>
      <c r="E12" s="883"/>
      <c r="F12" s="882">
        <f>(5*C3)+(G4*C4)+J6</f>
        <v>6350</v>
      </c>
      <c r="G12" s="883"/>
      <c r="H12" s="579">
        <f>B12-D12</f>
        <v>-800</v>
      </c>
      <c r="I12" s="579">
        <f>D12-F12</f>
        <v>-350</v>
      </c>
      <c r="J12" s="578">
        <f>B12-F12</f>
        <v>-1150</v>
      </c>
    </row>
    <row r="13" spans="1:10" x14ac:dyDescent="0.3">
      <c r="C13" s="577" t="s">
        <v>752</v>
      </c>
    </row>
    <row r="14" spans="1:10" x14ac:dyDescent="0.3">
      <c r="A14" s="576" t="s">
        <v>751</v>
      </c>
    </row>
    <row r="15" spans="1:10" x14ac:dyDescent="0.3">
      <c r="A15" s="576" t="s">
        <v>750</v>
      </c>
      <c r="B15" s="586">
        <v>3</v>
      </c>
      <c r="C15" s="576" t="s">
        <v>150</v>
      </c>
    </row>
    <row r="16" spans="1:10" x14ac:dyDescent="0.3">
      <c r="A16" s="577" t="s">
        <v>749</v>
      </c>
      <c r="B16" s="576">
        <v>380</v>
      </c>
      <c r="C16" s="576" t="s">
        <v>747</v>
      </c>
    </row>
    <row r="17" spans="1:10" x14ac:dyDescent="0.3">
      <c r="A17" s="576" t="s">
        <v>741</v>
      </c>
      <c r="B17" s="576">
        <v>4</v>
      </c>
      <c r="C17" s="576" t="s">
        <v>150</v>
      </c>
    </row>
    <row r="18" spans="1:10" x14ac:dyDescent="0.3">
      <c r="A18" s="576" t="s">
        <v>748</v>
      </c>
      <c r="B18" s="576">
        <v>500</v>
      </c>
      <c r="C18" s="576" t="s">
        <v>747</v>
      </c>
    </row>
    <row r="19" spans="1:10" x14ac:dyDescent="0.3">
      <c r="A19" s="576" t="s">
        <v>746</v>
      </c>
      <c r="B19" s="576">
        <f>((B15*B16)+B18)/4</f>
        <v>410</v>
      </c>
    </row>
    <row r="20" spans="1:10" ht="15" thickBot="1" x14ac:dyDescent="0.35"/>
    <row r="21" spans="1:10" x14ac:dyDescent="0.3">
      <c r="A21" s="585" t="s">
        <v>736</v>
      </c>
      <c r="B21" s="884" t="s">
        <v>679</v>
      </c>
      <c r="C21" s="885"/>
      <c r="D21" s="886" t="s">
        <v>735</v>
      </c>
      <c r="E21" s="885"/>
      <c r="F21" s="886" t="s">
        <v>734</v>
      </c>
      <c r="G21" s="885"/>
      <c r="H21" s="584" t="s">
        <v>79</v>
      </c>
      <c r="I21" s="584" t="s">
        <v>78</v>
      </c>
      <c r="J21" s="583" t="s">
        <v>733</v>
      </c>
    </row>
    <row r="22" spans="1:10" ht="15" thickBot="1" x14ac:dyDescent="0.35">
      <c r="A22" s="582"/>
      <c r="B22" s="887" t="s">
        <v>732</v>
      </c>
      <c r="C22" s="888"/>
      <c r="D22" s="889" t="s">
        <v>731</v>
      </c>
      <c r="E22" s="890"/>
      <c r="F22" s="889" t="s">
        <v>745</v>
      </c>
      <c r="G22" s="888"/>
      <c r="H22" s="581" t="s">
        <v>261</v>
      </c>
      <c r="I22" s="581" t="s">
        <v>262</v>
      </c>
      <c r="J22" s="581" t="s">
        <v>729</v>
      </c>
    </row>
    <row r="23" spans="1:10" ht="15" thickBot="1" x14ac:dyDescent="0.35">
      <c r="A23" s="580"/>
      <c r="B23" s="882">
        <f>B15*B16</f>
        <v>1140</v>
      </c>
      <c r="C23" s="883"/>
      <c r="D23" s="882">
        <f>B16*B17</f>
        <v>1520</v>
      </c>
      <c r="E23" s="883"/>
      <c r="F23" s="882">
        <f>B19*B17</f>
        <v>1640</v>
      </c>
      <c r="G23" s="883"/>
      <c r="H23" s="579">
        <f>B23-D23</f>
        <v>-380</v>
      </c>
      <c r="I23" s="579">
        <f>D23-F23</f>
        <v>-120</v>
      </c>
      <c r="J23" s="578">
        <f>B23-F23</f>
        <v>-500</v>
      </c>
    </row>
    <row r="25" spans="1:10" x14ac:dyDescent="0.3">
      <c r="A25" s="576" t="s">
        <v>744</v>
      </c>
    </row>
    <row r="26" spans="1:10" x14ac:dyDescent="0.3">
      <c r="A26" s="576" t="s">
        <v>743</v>
      </c>
    </row>
    <row r="28" spans="1:10" x14ac:dyDescent="0.3">
      <c r="A28" s="576" t="s">
        <v>750</v>
      </c>
      <c r="B28" s="586">
        <v>3</v>
      </c>
      <c r="C28" s="576" t="s">
        <v>150</v>
      </c>
    </row>
    <row r="29" spans="1:10" x14ac:dyDescent="0.3">
      <c r="A29" s="577" t="s">
        <v>749</v>
      </c>
      <c r="B29" s="576">
        <v>380</v>
      </c>
      <c r="C29" s="576" t="s">
        <v>747</v>
      </c>
    </row>
    <row r="30" spans="1:10" x14ac:dyDescent="0.3">
      <c r="A30" s="576" t="s">
        <v>741</v>
      </c>
      <c r="B30" s="576">
        <v>3.5</v>
      </c>
      <c r="C30" s="576" t="s">
        <v>150</v>
      </c>
    </row>
    <row r="31" spans="1:10" x14ac:dyDescent="0.3">
      <c r="A31" s="576" t="s">
        <v>748</v>
      </c>
      <c r="B31" s="576">
        <v>500</v>
      </c>
      <c r="C31" s="576" t="s">
        <v>747</v>
      </c>
    </row>
    <row r="32" spans="1:10" x14ac:dyDescent="0.3">
      <c r="A32" s="576" t="s">
        <v>746</v>
      </c>
      <c r="B32" s="576">
        <f>B29</f>
        <v>380</v>
      </c>
    </row>
    <row r="33" spans="1:10" ht="15" thickBot="1" x14ac:dyDescent="0.35"/>
    <row r="34" spans="1:10" x14ac:dyDescent="0.3">
      <c r="A34" s="585" t="s">
        <v>736</v>
      </c>
      <c r="B34" s="884" t="s">
        <v>679</v>
      </c>
      <c r="C34" s="885"/>
      <c r="D34" s="886" t="s">
        <v>735</v>
      </c>
      <c r="E34" s="885"/>
      <c r="F34" s="886" t="s">
        <v>734</v>
      </c>
      <c r="G34" s="885"/>
      <c r="H34" s="584" t="s">
        <v>79</v>
      </c>
      <c r="I34" s="584" t="s">
        <v>78</v>
      </c>
      <c r="J34" s="583" t="s">
        <v>733</v>
      </c>
    </row>
    <row r="35" spans="1:10" ht="15" thickBot="1" x14ac:dyDescent="0.35">
      <c r="A35" s="582"/>
      <c r="B35" s="887" t="s">
        <v>732</v>
      </c>
      <c r="C35" s="888"/>
      <c r="D35" s="889" t="s">
        <v>731</v>
      </c>
      <c r="E35" s="890"/>
      <c r="F35" s="889" t="s">
        <v>745</v>
      </c>
      <c r="G35" s="888"/>
      <c r="H35" s="581" t="s">
        <v>261</v>
      </c>
      <c r="I35" s="581" t="s">
        <v>262</v>
      </c>
      <c r="J35" s="581" t="s">
        <v>729</v>
      </c>
    </row>
    <row r="36" spans="1:10" ht="15" thickBot="1" x14ac:dyDescent="0.35">
      <c r="A36" s="580"/>
      <c r="B36" s="882">
        <f>B28*B29</f>
        <v>1140</v>
      </c>
      <c r="C36" s="883"/>
      <c r="D36" s="882">
        <f>B29*B30</f>
        <v>1330</v>
      </c>
      <c r="E36" s="883"/>
      <c r="F36" s="882">
        <f>B32*B30</f>
        <v>1330</v>
      </c>
      <c r="G36" s="883"/>
      <c r="H36" s="579">
        <f>B36-D36</f>
        <v>-190</v>
      </c>
      <c r="I36" s="579">
        <f>D36-F36</f>
        <v>0</v>
      </c>
      <c r="J36" s="578">
        <f>B36-F36</f>
        <v>-190</v>
      </c>
    </row>
    <row r="38" spans="1:10" x14ac:dyDescent="0.3">
      <c r="A38" s="873" t="s">
        <v>1151</v>
      </c>
    </row>
    <row r="40" spans="1:10" x14ac:dyDescent="0.3">
      <c r="A40" s="576" t="s">
        <v>742</v>
      </c>
    </row>
    <row r="42" spans="1:10" x14ac:dyDescent="0.3">
      <c r="A42" s="576" t="s">
        <v>741</v>
      </c>
      <c r="B42" s="576">
        <v>4.5</v>
      </c>
      <c r="C42" s="576" t="s">
        <v>150</v>
      </c>
    </row>
    <row r="43" spans="1:10" x14ac:dyDescent="0.3">
      <c r="A43" s="576" t="s">
        <v>740</v>
      </c>
      <c r="B43" s="576">
        <v>0.5</v>
      </c>
      <c r="C43" s="576" t="s">
        <v>739</v>
      </c>
    </row>
    <row r="44" spans="1:10" x14ac:dyDescent="0.3">
      <c r="A44" s="576" t="s">
        <v>738</v>
      </c>
      <c r="B44" s="576">
        <v>500</v>
      </c>
    </row>
    <row r="45" spans="1:10" x14ac:dyDescent="0.3">
      <c r="A45" s="576" t="s">
        <v>737</v>
      </c>
      <c r="B45" s="576">
        <f>(4*380+B43*B44)/B42</f>
        <v>393.33333333333331</v>
      </c>
    </row>
    <row r="47" spans="1:10" ht="15" thickBot="1" x14ac:dyDescent="0.35"/>
    <row r="48" spans="1:10" x14ac:dyDescent="0.3">
      <c r="A48" s="585" t="s">
        <v>736</v>
      </c>
      <c r="B48" s="884" t="s">
        <v>679</v>
      </c>
      <c r="C48" s="885"/>
      <c r="D48" s="886" t="s">
        <v>735</v>
      </c>
      <c r="E48" s="885"/>
      <c r="F48" s="886" t="s">
        <v>734</v>
      </c>
      <c r="G48" s="885"/>
      <c r="H48" s="584" t="s">
        <v>79</v>
      </c>
      <c r="I48" s="584" t="s">
        <v>78</v>
      </c>
      <c r="J48" s="583" t="s">
        <v>733</v>
      </c>
    </row>
    <row r="49" spans="1:10" ht="15" thickBot="1" x14ac:dyDescent="0.35">
      <c r="A49" s="582"/>
      <c r="B49" s="887" t="s">
        <v>732</v>
      </c>
      <c r="C49" s="888"/>
      <c r="D49" s="889" t="s">
        <v>731</v>
      </c>
      <c r="E49" s="890"/>
      <c r="F49" s="889" t="s">
        <v>730</v>
      </c>
      <c r="G49" s="888"/>
      <c r="H49" s="581" t="s">
        <v>261</v>
      </c>
      <c r="I49" s="581" t="s">
        <v>262</v>
      </c>
      <c r="J49" s="581" t="s">
        <v>729</v>
      </c>
    </row>
    <row r="50" spans="1:10" ht="15" thickBot="1" x14ac:dyDescent="0.35">
      <c r="A50" s="580"/>
      <c r="B50" s="882">
        <f>B15*B16</f>
        <v>1140</v>
      </c>
      <c r="C50" s="883"/>
      <c r="D50" s="882">
        <f>B42*B16</f>
        <v>1710</v>
      </c>
      <c r="E50" s="883"/>
      <c r="F50" s="882">
        <f>B45*B42</f>
        <v>1770</v>
      </c>
      <c r="G50" s="883"/>
      <c r="H50" s="579">
        <f>B50-D50</f>
        <v>-570</v>
      </c>
      <c r="I50" s="579">
        <f>D50-F50</f>
        <v>-60</v>
      </c>
      <c r="J50" s="578">
        <f>B50-F50</f>
        <v>-630</v>
      </c>
    </row>
    <row r="52" spans="1:10" x14ac:dyDescent="0.3">
      <c r="A52" s="577" t="s">
        <v>728</v>
      </c>
    </row>
  </sheetData>
  <mergeCells count="36"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  <mergeCell ref="B12:C12"/>
    <mergeCell ref="D12:E12"/>
    <mergeCell ref="F12:G12"/>
    <mergeCell ref="B10:C10"/>
    <mergeCell ref="D10:E10"/>
    <mergeCell ref="F10:G10"/>
    <mergeCell ref="B11:C11"/>
    <mergeCell ref="D11:E11"/>
    <mergeCell ref="F11:G11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workbookViewId="0">
      <selection activeCell="E4" sqref="E4"/>
    </sheetView>
  </sheetViews>
  <sheetFormatPr baseColWidth="10" defaultColWidth="11.33203125" defaultRowHeight="14.4" x14ac:dyDescent="0.3"/>
  <cols>
    <col min="1" max="1" width="16.6640625" style="576" customWidth="1"/>
    <col min="2" max="2" width="18" style="576" customWidth="1"/>
    <col min="3" max="3" width="13.88671875" style="576" customWidth="1"/>
    <col min="4" max="4" width="15.88671875" style="576" customWidth="1"/>
    <col min="5" max="5" width="22.88671875" style="576" customWidth="1"/>
    <col min="6" max="6" width="10.6640625" style="576" customWidth="1"/>
    <col min="7" max="16384" width="11.33203125" style="576"/>
  </cols>
  <sheetData>
    <row r="1" spans="1:6" x14ac:dyDescent="0.3">
      <c r="A1" s="596" t="s">
        <v>789</v>
      </c>
    </row>
    <row r="3" spans="1:6" x14ac:dyDescent="0.3">
      <c r="A3" s="576" t="s">
        <v>788</v>
      </c>
    </row>
    <row r="4" spans="1:6" x14ac:dyDescent="0.3">
      <c r="A4" s="576" t="s">
        <v>787</v>
      </c>
      <c r="C4" s="723">
        <v>0.15</v>
      </c>
      <c r="D4" s="576" t="s">
        <v>146</v>
      </c>
    </row>
    <row r="5" spans="1:6" x14ac:dyDescent="0.3">
      <c r="A5" s="576" t="s">
        <v>786</v>
      </c>
      <c r="C5" s="723">
        <v>25</v>
      </c>
    </row>
    <row r="6" spans="1:6" x14ac:dyDescent="0.3">
      <c r="A6" s="577" t="s">
        <v>785</v>
      </c>
      <c r="C6" s="723">
        <v>1</v>
      </c>
      <c r="D6" s="576" t="s">
        <v>784</v>
      </c>
    </row>
    <row r="7" spans="1:6" x14ac:dyDescent="0.3">
      <c r="A7" s="576" t="s">
        <v>783</v>
      </c>
      <c r="C7" s="723">
        <v>3</v>
      </c>
      <c r="D7" s="576" t="s">
        <v>747</v>
      </c>
    </row>
    <row r="8" spans="1:6" x14ac:dyDescent="0.3">
      <c r="A8" s="576" t="s">
        <v>782</v>
      </c>
      <c r="C8" s="723">
        <v>260</v>
      </c>
      <c r="D8" s="576" t="s">
        <v>146</v>
      </c>
    </row>
    <row r="9" spans="1:6" x14ac:dyDescent="0.3">
      <c r="A9" s="577" t="s">
        <v>781</v>
      </c>
      <c r="C9" s="725">
        <v>5980</v>
      </c>
      <c r="D9" s="576" t="s">
        <v>747</v>
      </c>
    </row>
    <row r="10" spans="1:6" x14ac:dyDescent="0.3">
      <c r="A10" s="576" t="s">
        <v>780</v>
      </c>
      <c r="C10" s="723">
        <v>35</v>
      </c>
      <c r="D10" s="577" t="s">
        <v>779</v>
      </c>
      <c r="E10" s="576">
        <f>C10*60</f>
        <v>2100</v>
      </c>
      <c r="F10" s="576" t="s">
        <v>773</v>
      </c>
    </row>
    <row r="11" spans="1:6" x14ac:dyDescent="0.3">
      <c r="A11" s="576" t="s">
        <v>778</v>
      </c>
      <c r="C11" s="725">
        <v>6825</v>
      </c>
      <c r="D11" s="576" t="s">
        <v>747</v>
      </c>
    </row>
    <row r="12" spans="1:6" x14ac:dyDescent="0.3">
      <c r="A12" s="576" t="s">
        <v>777</v>
      </c>
      <c r="C12" s="723">
        <v>1600</v>
      </c>
    </row>
    <row r="14" spans="1:6" x14ac:dyDescent="0.3">
      <c r="A14" s="576" t="s">
        <v>763</v>
      </c>
    </row>
    <row r="16" spans="1:6" x14ac:dyDescent="0.3">
      <c r="A16" s="576" t="s">
        <v>776</v>
      </c>
      <c r="C16" s="576">
        <f>C12*C4</f>
        <v>240</v>
      </c>
      <c r="D16" s="576" t="s">
        <v>146</v>
      </c>
    </row>
    <row r="17" spans="1:6" x14ac:dyDescent="0.3">
      <c r="A17" s="576" t="s">
        <v>775</v>
      </c>
      <c r="C17" s="576">
        <f>C5*C16</f>
        <v>6000</v>
      </c>
      <c r="D17" s="576" t="s">
        <v>747</v>
      </c>
    </row>
    <row r="19" spans="1:6" x14ac:dyDescent="0.3">
      <c r="A19" s="576" t="s">
        <v>774</v>
      </c>
      <c r="C19" s="576">
        <f>C12*C6</f>
        <v>1600</v>
      </c>
      <c r="D19" s="576" t="s">
        <v>773</v>
      </c>
    </row>
    <row r="20" spans="1:6" x14ac:dyDescent="0.3">
      <c r="A20" s="576" t="s">
        <v>772</v>
      </c>
      <c r="C20" s="576">
        <f>C7*C19</f>
        <v>4800</v>
      </c>
      <c r="D20" s="576" t="s">
        <v>747</v>
      </c>
    </row>
    <row r="22" spans="1:6" ht="15" thickBot="1" x14ac:dyDescent="0.35">
      <c r="A22" s="576" t="s">
        <v>751</v>
      </c>
    </row>
    <row r="23" spans="1:6" x14ac:dyDescent="0.3">
      <c r="A23" s="594" t="s">
        <v>81</v>
      </c>
    </row>
    <row r="24" spans="1:6" ht="15" thickBot="1" x14ac:dyDescent="0.35">
      <c r="A24" s="595"/>
    </row>
    <row r="25" spans="1:6" x14ac:dyDescent="0.3">
      <c r="A25" s="594" t="s">
        <v>679</v>
      </c>
      <c r="B25" s="593" t="s">
        <v>735</v>
      </c>
      <c r="C25" s="594" t="s">
        <v>734</v>
      </c>
      <c r="D25" s="593" t="s">
        <v>141</v>
      </c>
      <c r="E25" s="593" t="s">
        <v>140</v>
      </c>
      <c r="F25" s="593" t="s">
        <v>733</v>
      </c>
    </row>
    <row r="26" spans="1:6" ht="15" thickBot="1" x14ac:dyDescent="0.35">
      <c r="A26" s="591" t="s">
        <v>754</v>
      </c>
      <c r="B26" s="591" t="s">
        <v>771</v>
      </c>
      <c r="C26" s="591" t="s">
        <v>770</v>
      </c>
      <c r="D26" s="592" t="s">
        <v>766</v>
      </c>
      <c r="E26" s="591" t="s">
        <v>262</v>
      </c>
      <c r="F26" s="591" t="s">
        <v>729</v>
      </c>
    </row>
    <row r="27" spans="1:6" ht="15" thickBot="1" x14ac:dyDescent="0.35">
      <c r="A27" s="590">
        <f>C5*C16</f>
        <v>6000</v>
      </c>
      <c r="B27" s="589">
        <f>C5*C8</f>
        <v>6500</v>
      </c>
      <c r="C27" s="579">
        <f>C9</f>
        <v>5980</v>
      </c>
      <c r="D27" s="579">
        <f>A27-B27</f>
        <v>-500</v>
      </c>
      <c r="E27" s="579">
        <f>B27-C27</f>
        <v>520</v>
      </c>
      <c r="F27" s="579">
        <f>A27-C27</f>
        <v>20</v>
      </c>
    </row>
    <row r="29" spans="1:6" x14ac:dyDescent="0.3">
      <c r="A29" s="576" t="s">
        <v>744</v>
      </c>
    </row>
    <row r="30" spans="1:6" ht="15" thickBot="1" x14ac:dyDescent="0.35"/>
    <row r="31" spans="1:6" x14ac:dyDescent="0.3">
      <c r="A31" s="594" t="s">
        <v>406</v>
      </c>
    </row>
    <row r="32" spans="1:6" ht="15" thickBot="1" x14ac:dyDescent="0.35">
      <c r="A32" s="591"/>
    </row>
    <row r="33" spans="1:6" x14ac:dyDescent="0.3">
      <c r="A33" s="594" t="s">
        <v>679</v>
      </c>
      <c r="B33" s="593" t="s">
        <v>735</v>
      </c>
      <c r="C33" s="594" t="s">
        <v>734</v>
      </c>
      <c r="D33" s="593" t="s">
        <v>79</v>
      </c>
      <c r="E33" s="593" t="s">
        <v>769</v>
      </c>
      <c r="F33" s="593" t="s">
        <v>733</v>
      </c>
    </row>
    <row r="34" spans="1:6" ht="15" thickBot="1" x14ac:dyDescent="0.35">
      <c r="A34" s="591" t="s">
        <v>768</v>
      </c>
      <c r="B34" s="591" t="s">
        <v>767</v>
      </c>
      <c r="C34" s="591" t="s">
        <v>730</v>
      </c>
      <c r="D34" s="592" t="s">
        <v>766</v>
      </c>
      <c r="E34" s="591" t="s">
        <v>262</v>
      </c>
      <c r="F34" s="591" t="s">
        <v>729</v>
      </c>
    </row>
    <row r="35" spans="1:6" ht="15" thickBot="1" x14ac:dyDescent="0.35">
      <c r="A35" s="590">
        <f>C7*C19</f>
        <v>4800</v>
      </c>
      <c r="B35" s="589">
        <f>C7*E10</f>
        <v>6300</v>
      </c>
      <c r="C35" s="579">
        <f>C11</f>
        <v>6825</v>
      </c>
      <c r="D35" s="579">
        <f>A35-B35</f>
        <v>-1500</v>
      </c>
      <c r="E35" s="579">
        <f>B35-C35</f>
        <v>-525</v>
      </c>
      <c r="F35" s="579">
        <f>A35-C35</f>
        <v>-2025</v>
      </c>
    </row>
    <row r="38" spans="1:6" x14ac:dyDescent="0.3">
      <c r="A38" s="576" t="s">
        <v>742</v>
      </c>
    </row>
    <row r="40" spans="1:6" x14ac:dyDescent="0.3">
      <c r="A40" s="576" t="s">
        <v>765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9"/>
  <sheetViews>
    <sheetView workbookViewId="0">
      <selection activeCell="E12" sqref="E12"/>
    </sheetView>
  </sheetViews>
  <sheetFormatPr baseColWidth="10" defaultColWidth="11.33203125" defaultRowHeight="14.4" x14ac:dyDescent="0.3"/>
  <cols>
    <col min="1" max="16384" width="11.33203125" style="576"/>
  </cols>
  <sheetData>
    <row r="2" spans="1:4" x14ac:dyDescent="0.3">
      <c r="A2" s="596" t="s">
        <v>803</v>
      </c>
    </row>
    <row r="5" spans="1:4" x14ac:dyDescent="0.3">
      <c r="A5" s="576" t="s">
        <v>763</v>
      </c>
    </row>
    <row r="6" spans="1:4" x14ac:dyDescent="0.3">
      <c r="A6" s="576" t="s">
        <v>500</v>
      </c>
      <c r="D6" s="598">
        <v>3900000</v>
      </c>
    </row>
    <row r="8" spans="1:4" x14ac:dyDescent="0.3">
      <c r="A8" s="576" t="s">
        <v>88</v>
      </c>
      <c r="D8" s="598">
        <v>300000</v>
      </c>
    </row>
    <row r="9" spans="1:4" x14ac:dyDescent="0.3">
      <c r="A9" s="576" t="s">
        <v>90</v>
      </c>
      <c r="D9" s="598">
        <v>2700000</v>
      </c>
    </row>
    <row r="10" spans="1:4" x14ac:dyDescent="0.3">
      <c r="A10" s="577" t="s">
        <v>802</v>
      </c>
      <c r="D10" s="598">
        <v>225000</v>
      </c>
    </row>
    <row r="11" spans="1:4" ht="15" thickBot="1" x14ac:dyDescent="0.35">
      <c r="A11" s="597" t="s">
        <v>311</v>
      </c>
      <c r="B11" s="597"/>
      <c r="C11" s="597"/>
      <c r="D11" s="601">
        <v>135000</v>
      </c>
    </row>
    <row r="12" spans="1:4" x14ac:dyDescent="0.3">
      <c r="A12" s="576" t="s">
        <v>93</v>
      </c>
      <c r="D12" s="598">
        <f>SUM(D8:D11)</f>
        <v>3360000</v>
      </c>
    </row>
    <row r="13" spans="1:4" ht="15" thickBot="1" x14ac:dyDescent="0.35">
      <c r="A13" s="597" t="s">
        <v>94</v>
      </c>
      <c r="B13" s="597"/>
      <c r="C13" s="597"/>
      <c r="D13" s="601">
        <v>300000</v>
      </c>
    </row>
    <row r="14" spans="1:4" x14ac:dyDescent="0.3">
      <c r="A14" s="576" t="s">
        <v>95</v>
      </c>
      <c r="D14" s="598">
        <f>D12+D13</f>
        <v>3660000</v>
      </c>
    </row>
    <row r="16" spans="1:4" ht="15" thickBot="1" x14ac:dyDescent="0.35">
      <c r="A16" s="597"/>
      <c r="B16" s="597"/>
      <c r="C16" s="597"/>
      <c r="D16" s="597"/>
    </row>
    <row r="17" spans="1:8" ht="15" thickBot="1" x14ac:dyDescent="0.35">
      <c r="A17" s="600" t="s">
        <v>206</v>
      </c>
      <c r="B17" s="600"/>
      <c r="C17" s="600"/>
      <c r="D17" s="599">
        <f>D6-D14</f>
        <v>240000</v>
      </c>
    </row>
    <row r="18" spans="1:8" ht="15" thickTop="1" x14ac:dyDescent="0.3"/>
    <row r="20" spans="1:8" x14ac:dyDescent="0.3">
      <c r="A20" s="576" t="s">
        <v>751</v>
      </c>
    </row>
    <row r="21" spans="1:8" x14ac:dyDescent="0.3">
      <c r="A21" s="576" t="s">
        <v>801</v>
      </c>
      <c r="C21" s="576">
        <v>3000</v>
      </c>
    </row>
    <row r="22" spans="1:8" x14ac:dyDescent="0.3">
      <c r="A22" s="576" t="s">
        <v>101</v>
      </c>
      <c r="C22" s="576">
        <v>3</v>
      </c>
    </row>
    <row r="23" spans="1:8" x14ac:dyDescent="0.3">
      <c r="A23" s="576" t="s">
        <v>800</v>
      </c>
      <c r="C23" s="576">
        <f>C21*C22</f>
        <v>9000</v>
      </c>
    </row>
    <row r="25" spans="1:8" ht="16.8" x14ac:dyDescent="0.35">
      <c r="A25" s="576" t="s">
        <v>799</v>
      </c>
      <c r="D25" s="598">
        <f>D10</f>
        <v>225000</v>
      </c>
      <c r="E25" s="577" t="s">
        <v>797</v>
      </c>
      <c r="F25" s="577" t="s">
        <v>796</v>
      </c>
      <c r="G25" s="577" t="s">
        <v>760</v>
      </c>
      <c r="H25" s="576">
        <f>D25/C23</f>
        <v>25</v>
      </c>
    </row>
    <row r="26" spans="1:8" ht="16.8" x14ac:dyDescent="0.35">
      <c r="A26" s="576" t="s">
        <v>798</v>
      </c>
      <c r="D26" s="598">
        <f>D11</f>
        <v>135000</v>
      </c>
      <c r="E26" s="577" t="s">
        <v>797</v>
      </c>
      <c r="F26" s="577" t="s">
        <v>796</v>
      </c>
      <c r="G26" s="577" t="s">
        <v>760</v>
      </c>
      <c r="H26" s="576">
        <f>D11/C23</f>
        <v>15</v>
      </c>
    </row>
    <row r="29" spans="1:8" x14ac:dyDescent="0.3">
      <c r="A29" s="576" t="s">
        <v>744</v>
      </c>
    </row>
    <row r="31" spans="1:8" x14ac:dyDescent="0.3">
      <c r="A31" s="577" t="s">
        <v>794</v>
      </c>
    </row>
    <row r="32" spans="1:8" x14ac:dyDescent="0.3">
      <c r="D32" s="576" t="s">
        <v>795</v>
      </c>
      <c r="E32" s="576" t="s">
        <v>173</v>
      </c>
      <c r="F32" s="576" t="s">
        <v>794</v>
      </c>
    </row>
    <row r="33" spans="1:6" x14ac:dyDescent="0.3">
      <c r="A33" s="576" t="s">
        <v>88</v>
      </c>
      <c r="D33" s="576">
        <v>2</v>
      </c>
      <c r="E33" s="576">
        <v>50</v>
      </c>
      <c r="F33" s="576">
        <f>E33*D33</f>
        <v>100</v>
      </c>
    </row>
    <row r="34" spans="1:6" x14ac:dyDescent="0.3">
      <c r="A34" s="576" t="s">
        <v>90</v>
      </c>
      <c r="D34" s="576">
        <v>3</v>
      </c>
      <c r="E34" s="576">
        <v>300</v>
      </c>
      <c r="F34" s="576">
        <f>E34*D34</f>
        <v>900</v>
      </c>
    </row>
    <row r="35" spans="1:6" x14ac:dyDescent="0.3">
      <c r="A35" s="576" t="s">
        <v>793</v>
      </c>
      <c r="D35" s="576">
        <v>3</v>
      </c>
      <c r="E35" s="576">
        <f>H25</f>
        <v>25</v>
      </c>
      <c r="F35" s="576">
        <f>E35*D35</f>
        <v>75</v>
      </c>
    </row>
    <row r="36" spans="1:6" x14ac:dyDescent="0.3">
      <c r="A36" s="576" t="s">
        <v>792</v>
      </c>
      <c r="D36" s="576">
        <v>3</v>
      </c>
      <c r="E36" s="576">
        <f>H26</f>
        <v>15</v>
      </c>
      <c r="F36" s="576">
        <f>E36*D36</f>
        <v>45</v>
      </c>
    </row>
    <row r="37" spans="1:6" ht="15" thickBot="1" x14ac:dyDescent="0.35">
      <c r="A37" s="597" t="s">
        <v>791</v>
      </c>
      <c r="B37" s="597"/>
      <c r="C37" s="597"/>
      <c r="D37" s="597"/>
      <c r="E37" s="597"/>
      <c r="F37" s="597">
        <f>SUM(F33:F36)</f>
        <v>1120</v>
      </c>
    </row>
    <row r="38" spans="1:6" x14ac:dyDescent="0.3">
      <c r="A38" s="576" t="s">
        <v>790</v>
      </c>
      <c r="F38" s="576">
        <v>100</v>
      </c>
    </row>
    <row r="39" spans="1:6" ht="15" thickBot="1" x14ac:dyDescent="0.35">
      <c r="A39" s="597" t="s">
        <v>95</v>
      </c>
      <c r="B39" s="597"/>
      <c r="C39" s="597"/>
      <c r="D39" s="597"/>
      <c r="E39" s="597"/>
      <c r="F39" s="597">
        <f>SUM(F37:F38)</f>
        <v>1220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71"/>
  <sheetViews>
    <sheetView workbookViewId="0">
      <selection activeCell="I19" sqref="I19"/>
    </sheetView>
  </sheetViews>
  <sheetFormatPr baseColWidth="10" defaultColWidth="11.33203125" defaultRowHeight="14.4" x14ac:dyDescent="0.3"/>
  <cols>
    <col min="1" max="16384" width="11.33203125" style="576"/>
  </cols>
  <sheetData>
    <row r="2" spans="1:6" x14ac:dyDescent="0.3">
      <c r="A2" s="577" t="s">
        <v>809</v>
      </c>
    </row>
    <row r="3" spans="1:6" x14ac:dyDescent="0.3">
      <c r="D3" s="576" t="s">
        <v>795</v>
      </c>
      <c r="E3" s="576" t="s">
        <v>173</v>
      </c>
      <c r="F3" s="576" t="s">
        <v>794</v>
      </c>
    </row>
    <row r="4" spans="1:6" x14ac:dyDescent="0.3">
      <c r="A4" s="576" t="s">
        <v>88</v>
      </c>
      <c r="D4" s="576">
        <v>2</v>
      </c>
      <c r="E4" s="576">
        <v>100</v>
      </c>
      <c r="F4" s="576">
        <f>E4*D4</f>
        <v>200</v>
      </c>
    </row>
    <row r="5" spans="1:6" x14ac:dyDescent="0.3">
      <c r="A5" s="576" t="s">
        <v>90</v>
      </c>
      <c r="D5" s="576">
        <v>4</v>
      </c>
      <c r="E5" s="576">
        <v>300</v>
      </c>
      <c r="F5" s="576">
        <f>E5*D5</f>
        <v>1200</v>
      </c>
    </row>
    <row r="6" spans="1:6" x14ac:dyDescent="0.3">
      <c r="A6" s="576" t="s">
        <v>793</v>
      </c>
      <c r="D6" s="576">
        <v>4</v>
      </c>
      <c r="E6" s="576">
        <v>50</v>
      </c>
      <c r="F6" s="576">
        <f>E6*D6</f>
        <v>200</v>
      </c>
    </row>
    <row r="7" spans="1:6" x14ac:dyDescent="0.3">
      <c r="A7" s="576" t="s">
        <v>792</v>
      </c>
      <c r="D7" s="576">
        <v>4</v>
      </c>
      <c r="E7" s="576">
        <v>30</v>
      </c>
      <c r="F7" s="576">
        <f>E7*D7</f>
        <v>120</v>
      </c>
    </row>
    <row r="8" spans="1:6" ht="15" thickBot="1" x14ac:dyDescent="0.35">
      <c r="A8" s="597" t="s">
        <v>791</v>
      </c>
      <c r="B8" s="597"/>
      <c r="C8" s="597"/>
      <c r="D8" s="597"/>
      <c r="E8" s="597"/>
      <c r="F8" s="597">
        <f>SUM(F4:F7)</f>
        <v>1720</v>
      </c>
    </row>
    <row r="9" spans="1:6" x14ac:dyDescent="0.3">
      <c r="A9" s="576" t="s">
        <v>790</v>
      </c>
      <c r="F9" s="576">
        <v>150</v>
      </c>
    </row>
    <row r="10" spans="1:6" ht="15" thickBot="1" x14ac:dyDescent="0.35">
      <c r="A10" s="597" t="s">
        <v>95</v>
      </c>
      <c r="B10" s="597"/>
      <c r="C10" s="597"/>
      <c r="D10" s="597"/>
      <c r="E10" s="597"/>
      <c r="F10" s="597">
        <f>SUM(F8:F9)</f>
        <v>1870</v>
      </c>
    </row>
    <row r="12" spans="1:6" x14ac:dyDescent="0.3">
      <c r="A12" s="576" t="s">
        <v>808</v>
      </c>
      <c r="C12" s="598">
        <v>10000</v>
      </c>
    </row>
    <row r="13" spans="1:6" x14ac:dyDescent="0.3">
      <c r="A13" s="576" t="s">
        <v>805</v>
      </c>
      <c r="C13" s="598">
        <v>2500</v>
      </c>
    </row>
    <row r="19" spans="1:4" x14ac:dyDescent="0.3">
      <c r="A19" s="576" t="s">
        <v>763</v>
      </c>
    </row>
    <row r="21" spans="1:4" x14ac:dyDescent="0.3">
      <c r="A21" s="576" t="s">
        <v>500</v>
      </c>
      <c r="D21" s="598">
        <f>C12*C13</f>
        <v>25000000</v>
      </c>
    </row>
    <row r="23" spans="1:4" x14ac:dyDescent="0.3">
      <c r="A23" s="576" t="s">
        <v>88</v>
      </c>
      <c r="D23" s="598">
        <f>C12*F4</f>
        <v>2000000</v>
      </c>
    </row>
    <row r="24" spans="1:4" x14ac:dyDescent="0.3">
      <c r="A24" s="576" t="s">
        <v>90</v>
      </c>
      <c r="D24" s="598">
        <f>F5*C12</f>
        <v>12000000</v>
      </c>
    </row>
    <row r="25" spans="1:4" x14ac:dyDescent="0.3">
      <c r="A25" s="577" t="s">
        <v>802</v>
      </c>
      <c r="D25" s="598">
        <f>F6*C12</f>
        <v>2000000</v>
      </c>
    </row>
    <row r="26" spans="1:4" ht="15" thickBot="1" x14ac:dyDescent="0.35">
      <c r="A26" s="597" t="s">
        <v>311</v>
      </c>
      <c r="B26" s="597"/>
      <c r="C26" s="597"/>
      <c r="D26" s="601">
        <f>F7*C12</f>
        <v>1200000</v>
      </c>
    </row>
    <row r="27" spans="1:4" x14ac:dyDescent="0.3">
      <c r="A27" s="576" t="s">
        <v>93</v>
      </c>
      <c r="D27" s="598">
        <f>SUM(D23:D26)</f>
        <v>17200000</v>
      </c>
    </row>
    <row r="28" spans="1:4" ht="15" thickBot="1" x14ac:dyDescent="0.35">
      <c r="A28" s="597" t="s">
        <v>94</v>
      </c>
      <c r="B28" s="597"/>
      <c r="C28" s="597"/>
      <c r="D28" s="601">
        <f>F9*C12</f>
        <v>1500000</v>
      </c>
    </row>
    <row r="29" spans="1:4" x14ac:dyDescent="0.3">
      <c r="A29" s="576" t="s">
        <v>95</v>
      </c>
      <c r="D29" s="598">
        <f>D27+D28</f>
        <v>18700000</v>
      </c>
    </row>
    <row r="31" spans="1:4" ht="15" thickBot="1" x14ac:dyDescent="0.35">
      <c r="A31" s="597"/>
      <c r="B31" s="597"/>
      <c r="C31" s="597"/>
      <c r="D31" s="597"/>
    </row>
    <row r="32" spans="1:4" ht="15" thickBot="1" x14ac:dyDescent="0.35">
      <c r="A32" s="600" t="s">
        <v>206</v>
      </c>
      <c r="B32" s="600"/>
      <c r="C32" s="600"/>
      <c r="D32" s="599">
        <f>D21-D29</f>
        <v>6300000</v>
      </c>
    </row>
    <row r="33" spans="1:6" ht="15" thickTop="1" x14ac:dyDescent="0.3"/>
    <row r="36" spans="1:6" x14ac:dyDescent="0.3">
      <c r="A36" s="576" t="s">
        <v>751</v>
      </c>
    </row>
    <row r="39" spans="1:6" x14ac:dyDescent="0.3">
      <c r="A39" s="577" t="s">
        <v>807</v>
      </c>
    </row>
    <row r="40" spans="1:6" x14ac:dyDescent="0.3">
      <c r="D40" s="576" t="s">
        <v>795</v>
      </c>
      <c r="E40" s="576" t="s">
        <v>173</v>
      </c>
      <c r="F40" s="576" t="s">
        <v>794</v>
      </c>
    </row>
    <row r="41" spans="1:6" x14ac:dyDescent="0.3">
      <c r="A41" s="576" t="s">
        <v>88</v>
      </c>
      <c r="D41" s="576">
        <v>3</v>
      </c>
      <c r="E41" s="576">
        <v>100</v>
      </c>
      <c r="F41" s="576">
        <f>E41*D41</f>
        <v>300</v>
      </c>
    </row>
    <row r="42" spans="1:6" x14ac:dyDescent="0.3">
      <c r="A42" s="576" t="s">
        <v>90</v>
      </c>
      <c r="D42" s="576">
        <v>3</v>
      </c>
      <c r="E42" s="576">
        <v>300</v>
      </c>
      <c r="F42" s="576">
        <f>E42*D42</f>
        <v>900</v>
      </c>
    </row>
    <row r="43" spans="1:6" x14ac:dyDescent="0.3">
      <c r="A43" s="576" t="s">
        <v>793</v>
      </c>
      <c r="D43" s="576">
        <v>3</v>
      </c>
      <c r="E43" s="576">
        <v>50</v>
      </c>
      <c r="F43" s="576">
        <f>E43*D43</f>
        <v>150</v>
      </c>
    </row>
    <row r="44" spans="1:6" x14ac:dyDescent="0.3">
      <c r="A44" s="576" t="s">
        <v>792</v>
      </c>
      <c r="D44" s="576">
        <v>3</v>
      </c>
      <c r="E44" s="576">
        <v>30</v>
      </c>
      <c r="F44" s="576">
        <f>E44*D44</f>
        <v>90</v>
      </c>
    </row>
    <row r="45" spans="1:6" ht="15" thickBot="1" x14ac:dyDescent="0.35">
      <c r="A45" s="597" t="s">
        <v>791</v>
      </c>
      <c r="B45" s="597"/>
      <c r="C45" s="597"/>
      <c r="D45" s="597"/>
      <c r="E45" s="597"/>
      <c r="F45" s="597">
        <f>SUM(F41:F44)</f>
        <v>1440</v>
      </c>
    </row>
    <row r="46" spans="1:6" x14ac:dyDescent="0.3">
      <c r="A46" s="576" t="s">
        <v>790</v>
      </c>
      <c r="F46" s="576">
        <v>150</v>
      </c>
    </row>
    <row r="47" spans="1:6" ht="15" thickBot="1" x14ac:dyDescent="0.35">
      <c r="A47" s="597" t="s">
        <v>95</v>
      </c>
      <c r="B47" s="597"/>
      <c r="C47" s="597"/>
      <c r="D47" s="597"/>
      <c r="E47" s="597"/>
      <c r="F47" s="597">
        <f>SUM(F45:F46)</f>
        <v>1590</v>
      </c>
    </row>
    <row r="49" spans="1:4" x14ac:dyDescent="0.3">
      <c r="A49" s="577" t="s">
        <v>806</v>
      </c>
      <c r="C49" s="598">
        <v>5000</v>
      </c>
    </row>
    <row r="50" spans="1:4" x14ac:dyDescent="0.3">
      <c r="A50" s="576" t="s">
        <v>805</v>
      </c>
      <c r="C50" s="598">
        <f>F47+500</f>
        <v>2090</v>
      </c>
    </row>
    <row r="53" spans="1:4" x14ac:dyDescent="0.3">
      <c r="A53" s="576" t="s">
        <v>744</v>
      </c>
    </row>
    <row r="55" spans="1:4" x14ac:dyDescent="0.3">
      <c r="A55" s="576" t="s">
        <v>804</v>
      </c>
    </row>
    <row r="59" spans="1:4" x14ac:dyDescent="0.3">
      <c r="A59" s="576" t="s">
        <v>500</v>
      </c>
      <c r="D59" s="598">
        <f>C49*C50</f>
        <v>10450000</v>
      </c>
    </row>
    <row r="61" spans="1:4" x14ac:dyDescent="0.3">
      <c r="A61" s="576" t="s">
        <v>88</v>
      </c>
      <c r="D61" s="598">
        <f>C49*F41</f>
        <v>1500000</v>
      </c>
    </row>
    <row r="62" spans="1:4" x14ac:dyDescent="0.3">
      <c r="A62" s="576" t="s">
        <v>90</v>
      </c>
      <c r="D62" s="598">
        <f>F42*C49</f>
        <v>4500000</v>
      </c>
    </row>
    <row r="63" spans="1:4" x14ac:dyDescent="0.3">
      <c r="A63" s="577" t="s">
        <v>802</v>
      </c>
      <c r="D63" s="598">
        <f>F43*C49</f>
        <v>750000</v>
      </c>
    </row>
    <row r="64" spans="1:4" ht="15" thickBot="1" x14ac:dyDescent="0.35">
      <c r="A64" s="597" t="s">
        <v>311</v>
      </c>
      <c r="B64" s="597"/>
      <c r="C64" s="597"/>
      <c r="D64" s="601">
        <f>F44*C49</f>
        <v>450000</v>
      </c>
    </row>
    <row r="65" spans="1:4" x14ac:dyDescent="0.3">
      <c r="A65" s="576" t="s">
        <v>93</v>
      </c>
      <c r="D65" s="598">
        <f>SUM(D61:D64)</f>
        <v>7200000</v>
      </c>
    </row>
    <row r="66" spans="1:4" ht="15" thickBot="1" x14ac:dyDescent="0.35">
      <c r="A66" s="597" t="s">
        <v>94</v>
      </c>
      <c r="B66" s="597"/>
      <c r="C66" s="597"/>
      <c r="D66" s="601">
        <f>F46*C49</f>
        <v>750000</v>
      </c>
    </row>
    <row r="67" spans="1:4" x14ac:dyDescent="0.3">
      <c r="A67" s="576" t="s">
        <v>95</v>
      </c>
      <c r="D67" s="598">
        <f>D65+D66</f>
        <v>7950000</v>
      </c>
    </row>
    <row r="69" spans="1:4" ht="15" thickBot="1" x14ac:dyDescent="0.35">
      <c r="A69" s="597"/>
      <c r="B69" s="597"/>
      <c r="C69" s="597"/>
      <c r="D69" s="597"/>
    </row>
    <row r="70" spans="1:4" ht="15" thickBot="1" x14ac:dyDescent="0.35">
      <c r="A70" s="600" t="s">
        <v>206</v>
      </c>
      <c r="B70" s="600"/>
      <c r="C70" s="600"/>
      <c r="D70" s="599">
        <f>D59-D67</f>
        <v>2500000</v>
      </c>
    </row>
    <row r="71" spans="1:4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>
      <selection activeCell="F14" sqref="F14"/>
    </sheetView>
  </sheetViews>
  <sheetFormatPr baseColWidth="10" defaultColWidth="11.33203125" defaultRowHeight="14.4" x14ac:dyDescent="0.3"/>
  <cols>
    <col min="1" max="1" width="20.88671875" style="576" customWidth="1"/>
    <col min="2" max="2" width="18" style="576" customWidth="1"/>
    <col min="3" max="3" width="20.6640625" style="576" customWidth="1"/>
    <col min="4" max="4" width="21.88671875" style="576" customWidth="1"/>
    <col min="5" max="5" width="15.88671875" style="576" customWidth="1"/>
    <col min="6" max="6" width="14.88671875" style="576" customWidth="1"/>
    <col min="7" max="16384" width="11.33203125" style="576"/>
  </cols>
  <sheetData>
    <row r="1" spans="1:4" x14ac:dyDescent="0.3">
      <c r="A1" s="604" t="s">
        <v>824</v>
      </c>
    </row>
    <row r="3" spans="1:4" x14ac:dyDescent="0.3">
      <c r="B3" s="586" t="s">
        <v>823</v>
      </c>
      <c r="C3" s="586" t="s">
        <v>822</v>
      </c>
      <c r="D3" s="586" t="s">
        <v>794</v>
      </c>
    </row>
    <row r="4" spans="1:4" x14ac:dyDescent="0.3">
      <c r="A4" s="576" t="s">
        <v>821</v>
      </c>
      <c r="B4" s="576">
        <v>50</v>
      </c>
      <c r="C4" s="576">
        <v>2</v>
      </c>
      <c r="D4" s="598">
        <f>B4*C4</f>
        <v>100</v>
      </c>
    </row>
    <row r="5" spans="1:4" x14ac:dyDescent="0.3">
      <c r="A5" s="576" t="s">
        <v>90</v>
      </c>
      <c r="B5" s="576">
        <v>300</v>
      </c>
      <c r="C5" s="576">
        <v>3</v>
      </c>
      <c r="D5" s="598">
        <f>B5*C5</f>
        <v>900</v>
      </c>
    </row>
    <row r="6" spans="1:4" x14ac:dyDescent="0.3">
      <c r="A6" s="577" t="s">
        <v>820</v>
      </c>
      <c r="B6" s="576">
        <v>30</v>
      </c>
      <c r="C6" s="576">
        <v>3</v>
      </c>
      <c r="D6" s="598">
        <f>B6*C6</f>
        <v>90</v>
      </c>
    </row>
    <row r="7" spans="1:4" x14ac:dyDescent="0.3">
      <c r="A7" s="576" t="s">
        <v>819</v>
      </c>
      <c r="B7" s="576">
        <v>20</v>
      </c>
      <c r="C7" s="576">
        <v>3</v>
      </c>
      <c r="D7" s="598">
        <f>B7*C7</f>
        <v>60</v>
      </c>
    </row>
    <row r="8" spans="1:4" x14ac:dyDescent="0.3">
      <c r="A8" s="576" t="s">
        <v>93</v>
      </c>
      <c r="D8" s="598">
        <f>SUM(D4:D7)</f>
        <v>1150</v>
      </c>
    </row>
    <row r="9" spans="1:4" ht="15" thickBot="1" x14ac:dyDescent="0.35">
      <c r="A9" s="597" t="s">
        <v>818</v>
      </c>
      <c r="B9" s="597">
        <v>100</v>
      </c>
      <c r="C9" s="597">
        <v>1</v>
      </c>
      <c r="D9" s="601">
        <f>B9*C9</f>
        <v>100</v>
      </c>
    </row>
    <row r="10" spans="1:4" ht="15" thickBot="1" x14ac:dyDescent="0.35">
      <c r="A10" s="603" t="s">
        <v>95</v>
      </c>
      <c r="B10" s="597"/>
      <c r="C10" s="597"/>
      <c r="D10" s="601">
        <f>SUM(D8:D9)</f>
        <v>1250</v>
      </c>
    </row>
    <row r="12" spans="1:4" x14ac:dyDescent="0.3">
      <c r="A12" s="576" t="s">
        <v>817</v>
      </c>
      <c r="C12" s="598">
        <v>3100</v>
      </c>
    </row>
    <row r="14" spans="1:4" x14ac:dyDescent="0.3">
      <c r="A14" s="576" t="s">
        <v>763</v>
      </c>
    </row>
    <row r="15" spans="1:4" x14ac:dyDescent="0.3">
      <c r="A15" s="576" t="s">
        <v>816</v>
      </c>
      <c r="C15" s="598">
        <f>C12*C4</f>
        <v>6200</v>
      </c>
    </row>
    <row r="16" spans="1:4" x14ac:dyDescent="0.3">
      <c r="A16" s="576" t="s">
        <v>815</v>
      </c>
      <c r="C16" s="598">
        <f>C12*C5</f>
        <v>9300</v>
      </c>
    </row>
    <row r="20" spans="1:4" x14ac:dyDescent="0.3">
      <c r="A20" s="576" t="s">
        <v>751</v>
      </c>
    </row>
    <row r="22" spans="1:4" x14ac:dyDescent="0.3">
      <c r="A22" s="576" t="s">
        <v>814</v>
      </c>
      <c r="C22" s="598">
        <v>315000</v>
      </c>
    </row>
    <row r="23" spans="1:4" x14ac:dyDescent="0.3">
      <c r="A23" s="576" t="s">
        <v>813</v>
      </c>
      <c r="C23" s="576">
        <v>55</v>
      </c>
      <c r="D23" s="576" t="s">
        <v>810</v>
      </c>
    </row>
    <row r="24" spans="1:4" x14ac:dyDescent="0.3">
      <c r="A24" s="576" t="s">
        <v>138</v>
      </c>
      <c r="C24" s="602">
        <f>C22/C23</f>
        <v>5727.272727272727</v>
      </c>
      <c r="D24" s="576" t="s">
        <v>146</v>
      </c>
    </row>
    <row r="25" spans="1:4" x14ac:dyDescent="0.3">
      <c r="A25" s="576" t="s">
        <v>812</v>
      </c>
      <c r="C25" s="598">
        <v>2650000</v>
      </c>
    </row>
    <row r="26" spans="1:4" x14ac:dyDescent="0.3">
      <c r="A26" s="576" t="s">
        <v>811</v>
      </c>
      <c r="C26" s="576">
        <v>310</v>
      </c>
      <c r="D26" s="576" t="s">
        <v>810</v>
      </c>
    </row>
    <row r="27" spans="1:4" x14ac:dyDescent="0.3">
      <c r="A27" s="576" t="s">
        <v>741</v>
      </c>
      <c r="C27" s="602">
        <f>C25/C26</f>
        <v>8548.3870967741932</v>
      </c>
      <c r="D27" s="576" t="s">
        <v>150</v>
      </c>
    </row>
    <row r="30" spans="1:4" x14ac:dyDescent="0.3">
      <c r="A30" s="576" t="s">
        <v>744</v>
      </c>
    </row>
    <row r="31" spans="1:4" ht="15" thickBot="1" x14ac:dyDescent="0.35"/>
    <row r="32" spans="1:4" x14ac:dyDescent="0.3">
      <c r="A32" s="594" t="s">
        <v>81</v>
      </c>
    </row>
    <row r="33" spans="1:6" ht="15" thickBot="1" x14ac:dyDescent="0.35">
      <c r="A33" s="595"/>
    </row>
    <row r="34" spans="1:6" x14ac:dyDescent="0.3">
      <c r="A34" s="583" t="s">
        <v>679</v>
      </c>
      <c r="B34" s="584" t="s">
        <v>735</v>
      </c>
      <c r="C34" s="583" t="s">
        <v>734</v>
      </c>
      <c r="D34" s="584" t="s">
        <v>141</v>
      </c>
      <c r="E34" s="584" t="s">
        <v>140</v>
      </c>
      <c r="F34" s="584" t="s">
        <v>733</v>
      </c>
    </row>
    <row r="35" spans="1:6" ht="15" thickBot="1" x14ac:dyDescent="0.35">
      <c r="A35" s="581" t="s">
        <v>754</v>
      </c>
      <c r="B35" s="581" t="s">
        <v>771</v>
      </c>
      <c r="C35" s="581" t="s">
        <v>770</v>
      </c>
      <c r="D35" s="721" t="s">
        <v>766</v>
      </c>
      <c r="E35" s="581" t="s">
        <v>262</v>
      </c>
      <c r="F35" s="581" t="s">
        <v>729</v>
      </c>
    </row>
    <row r="36" spans="1:6" ht="15" thickBot="1" x14ac:dyDescent="0.35">
      <c r="A36" s="590">
        <f>B4*C15</f>
        <v>310000</v>
      </c>
      <c r="B36" s="589">
        <f>B4*C24</f>
        <v>286363.63636363635</v>
      </c>
      <c r="C36" s="589">
        <f>C22</f>
        <v>315000</v>
      </c>
      <c r="D36" s="589">
        <f>A36-B36</f>
        <v>23636.363636363647</v>
      </c>
      <c r="E36" s="589">
        <f>B36-C36</f>
        <v>-28636.363636363647</v>
      </c>
      <c r="F36" s="589">
        <f>A36-C36</f>
        <v>-5000</v>
      </c>
    </row>
    <row r="39" spans="1:6" ht="15" thickBot="1" x14ac:dyDescent="0.35"/>
    <row r="40" spans="1:6" x14ac:dyDescent="0.3">
      <c r="A40" s="594" t="s">
        <v>406</v>
      </c>
    </row>
    <row r="41" spans="1:6" ht="15" thickBot="1" x14ac:dyDescent="0.35">
      <c r="A41" s="591"/>
    </row>
    <row r="42" spans="1:6" x14ac:dyDescent="0.3">
      <c r="A42" s="583" t="s">
        <v>679</v>
      </c>
      <c r="B42" s="584" t="s">
        <v>735</v>
      </c>
      <c r="C42" s="583" t="s">
        <v>734</v>
      </c>
      <c r="D42" s="584" t="s">
        <v>79</v>
      </c>
      <c r="E42" s="584" t="s">
        <v>769</v>
      </c>
      <c r="F42" s="584" t="s">
        <v>733</v>
      </c>
    </row>
    <row r="43" spans="1:6" ht="15" thickBot="1" x14ac:dyDescent="0.35">
      <c r="A43" s="581" t="s">
        <v>768</v>
      </c>
      <c r="B43" s="581" t="s">
        <v>767</v>
      </c>
      <c r="C43" s="581" t="s">
        <v>730</v>
      </c>
      <c r="D43" s="721" t="s">
        <v>766</v>
      </c>
      <c r="E43" s="581" t="s">
        <v>262</v>
      </c>
      <c r="F43" s="581" t="s">
        <v>729</v>
      </c>
    </row>
    <row r="44" spans="1:6" ht="15" thickBot="1" x14ac:dyDescent="0.35">
      <c r="A44" s="590">
        <f>B5*C16</f>
        <v>2790000</v>
      </c>
      <c r="B44" s="589">
        <f>C27*B5</f>
        <v>2564516.1290322579</v>
      </c>
      <c r="C44" s="589">
        <f>C25</f>
        <v>2650000</v>
      </c>
      <c r="D44" s="589">
        <f>A44-B44</f>
        <v>225483.87096774206</v>
      </c>
      <c r="E44" s="589">
        <f>B44-C44</f>
        <v>-85483.870967742056</v>
      </c>
      <c r="F44" s="589">
        <f>A44-C44</f>
        <v>140000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workbookViewId="0">
      <selection activeCell="J20" sqref="J20"/>
    </sheetView>
  </sheetViews>
  <sheetFormatPr baseColWidth="10" defaultColWidth="11.33203125" defaultRowHeight="14.4" x14ac:dyDescent="0.3"/>
  <cols>
    <col min="1" max="1" width="19.109375" style="576" customWidth="1"/>
    <col min="2" max="2" width="11.33203125" style="576"/>
    <col min="3" max="3" width="19.6640625" style="576" customWidth="1"/>
    <col min="4" max="6" width="11.33203125" style="576"/>
    <col min="7" max="8" width="13.6640625" style="576" customWidth="1"/>
    <col min="9" max="16384" width="11.33203125" style="576"/>
  </cols>
  <sheetData>
    <row r="1" spans="1:4" x14ac:dyDescent="0.3">
      <c r="A1" s="576" t="s">
        <v>841</v>
      </c>
    </row>
    <row r="3" spans="1:4" x14ac:dyDescent="0.3">
      <c r="A3" s="576" t="s">
        <v>788</v>
      </c>
    </row>
    <row r="5" spans="1:4" x14ac:dyDescent="0.3">
      <c r="A5" s="576" t="s">
        <v>840</v>
      </c>
      <c r="C5" s="725">
        <v>2800</v>
      </c>
    </row>
    <row r="6" spans="1:4" x14ac:dyDescent="0.3">
      <c r="A6" s="576" t="s">
        <v>839</v>
      </c>
      <c r="C6" s="723">
        <v>2</v>
      </c>
      <c r="D6" s="577" t="s">
        <v>838</v>
      </c>
    </row>
    <row r="7" spans="1:4" x14ac:dyDescent="0.3">
      <c r="A7" s="577" t="s">
        <v>837</v>
      </c>
      <c r="C7" s="723">
        <v>10</v>
      </c>
    </row>
    <row r="8" spans="1:4" x14ac:dyDescent="0.3">
      <c r="A8" s="576" t="s">
        <v>836</v>
      </c>
    </row>
    <row r="10" spans="1:4" x14ac:dyDescent="0.3">
      <c r="A10" s="576" t="s">
        <v>835</v>
      </c>
      <c r="C10" s="598">
        <f>C5*C6</f>
        <v>5600</v>
      </c>
    </row>
    <row r="12" spans="1:4" x14ac:dyDescent="0.3">
      <c r="A12" s="576" t="s">
        <v>751</v>
      </c>
    </row>
    <row r="14" spans="1:4" x14ac:dyDescent="0.3">
      <c r="A14" s="576" t="s">
        <v>834</v>
      </c>
    </row>
    <row r="15" spans="1:4" x14ac:dyDescent="0.3">
      <c r="C15" s="576" t="s">
        <v>833</v>
      </c>
      <c r="D15" s="576" t="s">
        <v>310</v>
      </c>
    </row>
    <row r="16" spans="1:4" x14ac:dyDescent="0.3">
      <c r="A16" s="596" t="s">
        <v>832</v>
      </c>
      <c r="B16" s="576" t="s">
        <v>827</v>
      </c>
      <c r="C16" s="725">
        <v>1500</v>
      </c>
      <c r="D16" s="723">
        <v>10.199999999999999</v>
      </c>
    </row>
    <row r="17" spans="1:10" x14ac:dyDescent="0.3">
      <c r="A17" s="577" t="s">
        <v>831</v>
      </c>
      <c r="B17" s="576" t="s">
        <v>144</v>
      </c>
      <c r="C17" s="725">
        <v>1500</v>
      </c>
      <c r="D17" s="723">
        <v>10</v>
      </c>
    </row>
    <row r="18" spans="1:10" x14ac:dyDescent="0.3">
      <c r="A18" s="596" t="s">
        <v>830</v>
      </c>
      <c r="B18" s="576" t="s">
        <v>144</v>
      </c>
      <c r="C18" s="725">
        <v>2000</v>
      </c>
      <c r="D18" s="723">
        <v>11</v>
      </c>
    </row>
    <row r="19" spans="1:10" x14ac:dyDescent="0.3">
      <c r="A19" s="596" t="s">
        <v>829</v>
      </c>
      <c r="B19" s="576" t="s">
        <v>144</v>
      </c>
      <c r="C19" s="725">
        <v>2000</v>
      </c>
      <c r="D19" s="723">
        <v>12</v>
      </c>
    </row>
    <row r="20" spans="1:10" x14ac:dyDescent="0.3">
      <c r="A20" s="577" t="s">
        <v>828</v>
      </c>
      <c r="B20" s="576" t="s">
        <v>827</v>
      </c>
      <c r="C20" s="725">
        <v>1500</v>
      </c>
      <c r="D20" s="723"/>
    </row>
    <row r="21" spans="1:10" x14ac:dyDescent="0.3">
      <c r="A21" s="874" t="s">
        <v>826</v>
      </c>
      <c r="C21" s="576">
        <f>C16+C17+C18+C19-C20</f>
        <v>5500</v>
      </c>
    </row>
    <row r="23" spans="1:10" x14ac:dyDescent="0.3">
      <c r="A23" s="576" t="s">
        <v>825</v>
      </c>
      <c r="C23" s="598">
        <f>C16*D16+C17*D17+C18*D18+C19*D19-C20*D19</f>
        <v>58300</v>
      </c>
    </row>
    <row r="25" spans="1:10" x14ac:dyDescent="0.3">
      <c r="A25" s="576" t="s">
        <v>744</v>
      </c>
    </row>
    <row r="26" spans="1:10" ht="15" thickBot="1" x14ac:dyDescent="0.35"/>
    <row r="27" spans="1:10" x14ac:dyDescent="0.3">
      <c r="A27" s="585" t="s">
        <v>81</v>
      </c>
      <c r="B27" s="884" t="s">
        <v>679</v>
      </c>
      <c r="C27" s="885"/>
      <c r="D27" s="886" t="s">
        <v>755</v>
      </c>
      <c r="E27" s="885"/>
      <c r="F27" s="886" t="s">
        <v>734</v>
      </c>
      <c r="G27" s="885"/>
      <c r="H27" s="584" t="s">
        <v>141</v>
      </c>
      <c r="I27" s="584" t="s">
        <v>140</v>
      </c>
      <c r="J27" s="583" t="s">
        <v>733</v>
      </c>
    </row>
    <row r="28" spans="1:10" ht="15" thickBot="1" x14ac:dyDescent="0.35">
      <c r="A28" s="587"/>
      <c r="B28" s="889" t="s">
        <v>754</v>
      </c>
      <c r="C28" s="888"/>
      <c r="D28" s="889" t="s">
        <v>753</v>
      </c>
      <c r="E28" s="888"/>
      <c r="F28" s="887"/>
      <c r="G28" s="888"/>
      <c r="H28" s="581" t="s">
        <v>261</v>
      </c>
      <c r="I28" s="581" t="s">
        <v>262</v>
      </c>
      <c r="J28" s="581" t="s">
        <v>729</v>
      </c>
    </row>
    <row r="29" spans="1:10" ht="15" thickBot="1" x14ac:dyDescent="0.35">
      <c r="A29" s="595"/>
      <c r="B29" s="882">
        <f>C7*C10</f>
        <v>56000</v>
      </c>
      <c r="C29" s="883"/>
      <c r="D29" s="882">
        <f>C7*C21</f>
        <v>55000</v>
      </c>
      <c r="E29" s="883"/>
      <c r="F29" s="882">
        <f>C23</f>
        <v>58300</v>
      </c>
      <c r="G29" s="883"/>
      <c r="H29" s="589">
        <f>B29-D29</f>
        <v>1000</v>
      </c>
      <c r="I29" s="589">
        <f>D29-F29</f>
        <v>-3300</v>
      </c>
      <c r="J29" s="663">
        <f>B29-F29</f>
        <v>-2300</v>
      </c>
    </row>
  </sheetData>
  <mergeCells count="9">
    <mergeCell ref="B29:C29"/>
    <mergeCell ref="D29:E29"/>
    <mergeCell ref="F29:G29"/>
    <mergeCell ref="B27:C27"/>
    <mergeCell ref="D27:E27"/>
    <mergeCell ref="F27:G27"/>
    <mergeCell ref="B28:C28"/>
    <mergeCell ref="D28:E28"/>
    <mergeCell ref="F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38</vt:i4>
      </vt:variant>
    </vt:vector>
  </HeadingPairs>
  <TitlesOfParts>
    <vt:vector size="38" baseType="lpstr"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5.34</vt:lpstr>
      <vt:lpstr>5.35</vt:lpstr>
      <vt:lpstr>5.36</vt:lpstr>
      <vt:lpstr>5.37</vt:lpstr>
      <vt:lpstr>Ark4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Winther</dc:creator>
  <cp:lastModifiedBy>Trond Winther</cp:lastModifiedBy>
  <cp:lastPrinted>2011-03-11T14:13:27Z</cp:lastPrinted>
  <dcterms:created xsi:type="dcterms:W3CDTF">2008-01-22T07:50:27Z</dcterms:created>
  <dcterms:modified xsi:type="dcterms:W3CDTF">2022-04-26T08:09:48Z</dcterms:modified>
</cp:coreProperties>
</file>