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25" windowWidth="10845" windowHeight="7530"/>
  </bookViews>
  <sheets>
    <sheet name="6.1 " sheetId="25" r:id="rId1"/>
    <sheet name="6.1 Prosentbalanse" sheetId="24" r:id="rId2"/>
    <sheet name="Oppgave 6.2 – regnskap" sheetId="4" r:id="rId3"/>
    <sheet name="6.2" sheetId="2" r:id="rId4"/>
    <sheet name="6.3" sheetId="5" r:id="rId5"/>
    <sheet name="6.4" sheetId="3" r:id="rId6"/>
    <sheet name="6.5" sheetId="6" r:id="rId7"/>
    <sheet name="6.6-6.8" sheetId="7" r:id="rId8"/>
    <sheet name="6.9" sheetId="8" r:id="rId9"/>
    <sheet name="6.10" sheetId="10" r:id="rId10"/>
    <sheet name="6.11" sheetId="11" r:id="rId11"/>
    <sheet name="6.12" sheetId="12" r:id="rId12"/>
    <sheet name="6.13" sheetId="13" r:id="rId13"/>
    <sheet name="6.14" sheetId="15" r:id="rId14"/>
    <sheet name="6.15" sheetId="18" r:id="rId15"/>
    <sheet name="6.16" sheetId="14" r:id="rId16"/>
    <sheet name="6.17" sheetId="16" r:id="rId17"/>
    <sheet name="6.18" sheetId="17" r:id="rId18"/>
    <sheet name="6.19" sheetId="23" r:id="rId19"/>
    <sheet name="6.20" sheetId="21" r:id="rId20"/>
  </sheets>
  <calcPr calcId="145621"/>
</workbook>
</file>

<file path=xl/calcChain.xml><?xml version="1.0" encoding="utf-8"?>
<calcChain xmlns="http://schemas.openxmlformats.org/spreadsheetml/2006/main">
  <c r="E8" i="24" l="1"/>
  <c r="E9" i="24"/>
  <c r="E7" i="24"/>
  <c r="E4" i="24"/>
  <c r="E3" i="24"/>
  <c r="F42" i="25"/>
  <c r="D42" i="25"/>
  <c r="F41" i="25"/>
  <c r="B40" i="25"/>
  <c r="B39" i="25"/>
  <c r="I39" i="25" s="1"/>
  <c r="B32" i="25"/>
  <c r="B31" i="25"/>
  <c r="B27" i="25"/>
  <c r="B22" i="25"/>
  <c r="B24" i="25" s="1"/>
  <c r="B10" i="25"/>
  <c r="B28" i="25" s="1"/>
  <c r="B5" i="25"/>
  <c r="B12" i="25" s="1"/>
  <c r="G41" i="25" l="1"/>
  <c r="B29" i="25"/>
  <c r="C29" i="25" s="1"/>
  <c r="B33" i="25"/>
  <c r="B34" i="25"/>
  <c r="C34" i="25" s="1"/>
  <c r="B38" i="25"/>
  <c r="G39" i="25"/>
  <c r="B41" i="25"/>
  <c r="H42" i="25"/>
  <c r="H40" i="25" l="1"/>
  <c r="C32" i="25"/>
  <c r="C28" i="25"/>
  <c r="F52" i="25"/>
  <c r="G50" i="25"/>
  <c r="G38" i="25"/>
  <c r="H48" i="25"/>
  <c r="B42" i="25"/>
  <c r="E38" i="25"/>
  <c r="C33" i="25"/>
  <c r="C31" i="25"/>
  <c r="C27" i="25"/>
  <c r="C42" i="25" l="1"/>
  <c r="C40" i="25"/>
  <c r="G42" i="25"/>
  <c r="E42" i="25"/>
  <c r="C39" i="25"/>
  <c r="C38" i="25"/>
  <c r="C41" i="25"/>
  <c r="I42" i="25"/>
  <c r="I40" i="25"/>
  <c r="H41" i="25"/>
  <c r="I41" i="25" s="1"/>
  <c r="F203" i="21" l="1"/>
  <c r="D203" i="21"/>
  <c r="E8" i="11" l="1"/>
  <c r="E7" i="12"/>
  <c r="D18" i="18" l="1"/>
  <c r="C16" i="17" l="1"/>
  <c r="D4" i="17"/>
  <c r="D8" i="17"/>
  <c r="C18" i="17" s="1"/>
  <c r="F3" i="17"/>
  <c r="E10" i="17" l="1"/>
  <c r="C12" i="17"/>
  <c r="D169" i="21"/>
  <c r="D119" i="21"/>
  <c r="D137" i="21" s="1"/>
  <c r="E114" i="21"/>
  <c r="D128" i="21"/>
  <c r="D127" i="21"/>
  <c r="D125" i="21"/>
  <c r="D124" i="21"/>
  <c r="D120" i="21"/>
  <c r="E56" i="23"/>
  <c r="C56" i="23"/>
  <c r="D54" i="23"/>
  <c r="D46" i="23"/>
  <c r="D47" i="23" s="1"/>
  <c r="E46" i="23"/>
  <c r="F46" i="23"/>
  <c r="F47" i="23" s="1"/>
  <c r="G46" i="23"/>
  <c r="C46" i="23"/>
  <c r="D129" i="21" l="1"/>
  <c r="D139" i="21"/>
  <c r="G42" i="23"/>
  <c r="E42" i="23"/>
  <c r="C42" i="23"/>
  <c r="D33" i="23"/>
  <c r="G31" i="23"/>
  <c r="E31" i="23"/>
  <c r="C31" i="23"/>
  <c r="G26" i="23"/>
  <c r="E26" i="23"/>
  <c r="C26" i="23"/>
  <c r="G20" i="23"/>
  <c r="E20" i="23"/>
  <c r="C20" i="23"/>
  <c r="G14" i="23"/>
  <c r="E14" i="23"/>
  <c r="C14" i="23"/>
  <c r="G7" i="23"/>
  <c r="E7" i="23"/>
  <c r="C7" i="23"/>
  <c r="G94" i="23" l="1"/>
  <c r="C49" i="23"/>
  <c r="G27" i="23"/>
  <c r="G90" i="23"/>
  <c r="G92" i="23"/>
  <c r="G88" i="23"/>
  <c r="G89" i="23"/>
  <c r="G91" i="23"/>
  <c r="G93" i="23"/>
  <c r="G76" i="23"/>
  <c r="E49" i="23"/>
  <c r="E27" i="23"/>
  <c r="E89" i="23"/>
  <c r="E91" i="23"/>
  <c r="E93" i="23"/>
  <c r="E76" i="23"/>
  <c r="E90" i="23"/>
  <c r="E92" i="23"/>
  <c r="E88" i="23"/>
  <c r="C94" i="23"/>
  <c r="C27" i="23"/>
  <c r="C95" i="23" s="1"/>
  <c r="C89" i="23"/>
  <c r="C91" i="23"/>
  <c r="C93" i="23"/>
  <c r="C90" i="23"/>
  <c r="C92" i="23"/>
  <c r="C88" i="23"/>
  <c r="C76" i="23"/>
  <c r="E94" i="23"/>
  <c r="C33" i="23"/>
  <c r="F82" i="21"/>
  <c r="D82" i="21"/>
  <c r="D68" i="21"/>
  <c r="D66" i="21"/>
  <c r="E72" i="21"/>
  <c r="E75" i="21" s="1"/>
  <c r="F70" i="21"/>
  <c r="F205" i="21" s="1"/>
  <c r="F62" i="21"/>
  <c r="F204" i="21" s="1"/>
  <c r="F206" i="21" s="1"/>
  <c r="D62" i="21"/>
  <c r="D204" i="21" s="1"/>
  <c r="F59" i="21"/>
  <c r="D59" i="21"/>
  <c r="F55" i="21"/>
  <c r="F77" i="21" s="1"/>
  <c r="F47" i="21"/>
  <c r="D47" i="21"/>
  <c r="F41" i="21"/>
  <c r="F84" i="21" s="1"/>
  <c r="D41" i="21"/>
  <c r="D84" i="21" s="1"/>
  <c r="D20" i="21"/>
  <c r="D14" i="21"/>
  <c r="D6" i="21"/>
  <c r="G33" i="23" l="1"/>
  <c r="G95" i="23"/>
  <c r="D172" i="21"/>
  <c r="D121" i="21"/>
  <c r="D80" i="21"/>
  <c r="D115" i="21"/>
  <c r="D114" i="21"/>
  <c r="F83" i="21"/>
  <c r="F91" i="21" s="1"/>
  <c r="F80" i="21"/>
  <c r="F114" i="21"/>
  <c r="F115" i="21"/>
  <c r="F79" i="21"/>
  <c r="F89" i="21" s="1"/>
  <c r="F116" i="21"/>
  <c r="F117" i="21"/>
  <c r="F49" i="21"/>
  <c r="F78" i="21" s="1"/>
  <c r="F88" i="21" s="1"/>
  <c r="D49" i="21"/>
  <c r="F81" i="21"/>
  <c r="E33" i="23"/>
  <c r="E95" i="23"/>
  <c r="C37" i="23"/>
  <c r="C45" i="23"/>
  <c r="F72" i="21"/>
  <c r="D70" i="21"/>
  <c r="D205" i="21" s="1"/>
  <c r="D206" i="21" s="1"/>
  <c r="H201" i="21" s="1"/>
  <c r="G208" i="21" s="1"/>
  <c r="D15" i="21"/>
  <c r="D22" i="21" s="1"/>
  <c r="C31" i="16"/>
  <c r="E17" i="16"/>
  <c r="C19" i="16" s="1"/>
  <c r="C12" i="16"/>
  <c r="C11" i="16"/>
  <c r="F118" i="21" l="1"/>
  <c r="G37" i="23"/>
  <c r="G45" i="23"/>
  <c r="C13" i="16"/>
  <c r="C15" i="16" s="1"/>
  <c r="D116" i="21"/>
  <c r="D117" i="21"/>
  <c r="D136" i="21" s="1"/>
  <c r="F136" i="21"/>
  <c r="F133" i="21"/>
  <c r="D133" i="21"/>
  <c r="D122" i="21"/>
  <c r="D138" i="21" s="1"/>
  <c r="D140" i="21"/>
  <c r="D27" i="21"/>
  <c r="D32" i="21" s="1"/>
  <c r="D54" i="21" s="1"/>
  <c r="D55" i="21" s="1"/>
  <c r="D183" i="21" s="1"/>
  <c r="D168" i="21"/>
  <c r="D78" i="21"/>
  <c r="D176" i="21"/>
  <c r="F132" i="21"/>
  <c r="F135" i="21"/>
  <c r="D132" i="21"/>
  <c r="D118" i="21"/>
  <c r="D141" i="21" s="1"/>
  <c r="D181" i="21"/>
  <c r="F75" i="21"/>
  <c r="F92" i="21"/>
  <c r="F85" i="21"/>
  <c r="F90" i="21" s="1"/>
  <c r="D81" i="21"/>
  <c r="D79" i="21"/>
  <c r="D33" i="21"/>
  <c r="C54" i="23"/>
  <c r="C58" i="23" s="1"/>
  <c r="C47" i="23"/>
  <c r="E37" i="23"/>
  <c r="E45" i="23"/>
  <c r="C42" i="18"/>
  <c r="D42" i="18"/>
  <c r="D68" i="18" s="1"/>
  <c r="C40" i="18"/>
  <c r="D40" i="18"/>
  <c r="D66" i="18" s="1"/>
  <c r="C41" i="18"/>
  <c r="D41" i="18"/>
  <c r="C39" i="18"/>
  <c r="D39" i="18"/>
  <c r="D65" i="18" s="1"/>
  <c r="B42" i="18"/>
  <c r="B41" i="18"/>
  <c r="B40" i="18"/>
  <c r="B39" i="18"/>
  <c r="B65" i="18" s="1"/>
  <c r="C45" i="18"/>
  <c r="D43" i="18"/>
  <c r="D35" i="18"/>
  <c r="B35" i="18"/>
  <c r="D31" i="18"/>
  <c r="B31" i="18"/>
  <c r="C20" i="18"/>
  <c r="B18" i="18"/>
  <c r="D13" i="18"/>
  <c r="B13" i="18"/>
  <c r="D7" i="18"/>
  <c r="D14" i="18" s="1"/>
  <c r="D20" i="18" s="1"/>
  <c r="D25" i="18" s="1"/>
  <c r="B7" i="18"/>
  <c r="B14" i="18" s="1"/>
  <c r="B20" i="18" s="1"/>
  <c r="B25" i="18" s="1"/>
  <c r="B43" i="18" l="1"/>
  <c r="B66" i="18"/>
  <c r="B68" i="18"/>
  <c r="D135" i="21"/>
  <c r="G47" i="23"/>
  <c r="G54" i="23"/>
  <c r="G58" i="23" s="1"/>
  <c r="D34" i="18"/>
  <c r="D36" i="18" s="1"/>
  <c r="D47" i="18" s="1"/>
  <c r="B67" i="18"/>
  <c r="B34" i="18"/>
  <c r="D67" i="18"/>
  <c r="D48" i="18"/>
  <c r="D49" i="18" s="1"/>
  <c r="D50" i="18" s="1"/>
  <c r="D174" i="21"/>
  <c r="D185" i="21" s="1"/>
  <c r="D170" i="21"/>
  <c r="D92" i="21"/>
  <c r="D85" i="21"/>
  <c r="D90" i="21" s="1"/>
  <c r="D83" i="21"/>
  <c r="D91" i="21" s="1"/>
  <c r="D77" i="21"/>
  <c r="D72" i="21"/>
  <c r="D75" i="21" s="1"/>
  <c r="E47" i="23"/>
  <c r="E54" i="23"/>
  <c r="E58" i="23" s="1"/>
  <c r="C75" i="23"/>
  <c r="C51" i="23"/>
  <c r="H30" i="15"/>
  <c r="H31" i="15"/>
  <c r="H35" i="15"/>
  <c r="H36" i="15"/>
  <c r="H37" i="15"/>
  <c r="H29" i="15"/>
  <c r="F30" i="15"/>
  <c r="F31" i="15"/>
  <c r="F32" i="15"/>
  <c r="E41" i="15" s="1"/>
  <c r="F35" i="15"/>
  <c r="F36" i="15"/>
  <c r="F37" i="15"/>
  <c r="F29" i="15"/>
  <c r="D31" i="15"/>
  <c r="D32" i="15"/>
  <c r="C41" i="15" s="1"/>
  <c r="C43" i="15" s="1"/>
  <c r="C45" i="15" s="1"/>
  <c r="C46" i="15" s="1"/>
  <c r="D35" i="15"/>
  <c r="D36" i="15"/>
  <c r="D37" i="15"/>
  <c r="D38" i="15"/>
  <c r="D39" i="15"/>
  <c r="D30" i="15"/>
  <c r="D29" i="15"/>
  <c r="G38" i="15"/>
  <c r="H38" i="15" s="1"/>
  <c r="G32" i="15"/>
  <c r="E38" i="15"/>
  <c r="E43" i="15" s="1"/>
  <c r="E45" i="15" s="1"/>
  <c r="E46" i="15" s="1"/>
  <c r="E32" i="15"/>
  <c r="E19" i="15"/>
  <c r="C16" i="15"/>
  <c r="D16" i="15"/>
  <c r="E16" i="15"/>
  <c r="D10" i="15"/>
  <c r="D19" i="15" s="1"/>
  <c r="E10" i="15"/>
  <c r="C10" i="15"/>
  <c r="C19" i="15" s="1"/>
  <c r="B66" i="13"/>
  <c r="B67" i="13"/>
  <c r="B68" i="13"/>
  <c r="B69" i="13"/>
  <c r="B70" i="13"/>
  <c r="B75" i="13"/>
  <c r="B77" i="13"/>
  <c r="B64" i="13"/>
  <c r="C66" i="13"/>
  <c r="C67" i="13"/>
  <c r="C68" i="13"/>
  <c r="C69" i="13"/>
  <c r="C70" i="13"/>
  <c r="C75" i="13"/>
  <c r="C77" i="13"/>
  <c r="C64" i="13"/>
  <c r="D66" i="13"/>
  <c r="D67" i="13"/>
  <c r="D68" i="13"/>
  <c r="D69" i="13"/>
  <c r="D70" i="13"/>
  <c r="D75" i="13"/>
  <c r="D77" i="13"/>
  <c r="D64" i="13"/>
  <c r="D25" i="13"/>
  <c r="D26" i="13"/>
  <c r="D27" i="13"/>
  <c r="D28" i="13"/>
  <c r="D29" i="13"/>
  <c r="D34" i="13"/>
  <c r="D36" i="13"/>
  <c r="D23" i="13"/>
  <c r="C25" i="13"/>
  <c r="C26" i="13"/>
  <c r="C27" i="13"/>
  <c r="C28" i="13"/>
  <c r="C29" i="13"/>
  <c r="C34" i="13"/>
  <c r="C36" i="13"/>
  <c r="C23" i="13"/>
  <c r="B25" i="13"/>
  <c r="B26" i="13"/>
  <c r="B27" i="13"/>
  <c r="B28" i="13"/>
  <c r="B29" i="13"/>
  <c r="B34" i="13"/>
  <c r="B35" i="13"/>
  <c r="B36" i="13"/>
  <c r="B23" i="13"/>
  <c r="D17" i="15" l="1"/>
  <c r="D21" i="15"/>
  <c r="D23" i="15" s="1"/>
  <c r="D24" i="15" s="1"/>
  <c r="F38" i="15"/>
  <c r="E17" i="15"/>
  <c r="E39" i="15"/>
  <c r="F39" i="15" s="1"/>
  <c r="G39" i="15"/>
  <c r="H39" i="15" s="1"/>
  <c r="H32" i="15"/>
  <c r="G41" i="15" s="1"/>
  <c r="G43" i="15" s="1"/>
  <c r="G45" i="15" s="1"/>
  <c r="G46" i="15" s="1"/>
  <c r="G51" i="23"/>
  <c r="G75" i="23"/>
  <c r="B36" i="18"/>
  <c r="D45" i="18"/>
  <c r="D180" i="21"/>
  <c r="D178" i="21"/>
  <c r="D89" i="21"/>
  <c r="D88" i="21"/>
  <c r="E75" i="23"/>
  <c r="E51" i="23"/>
  <c r="C17" i="15"/>
  <c r="C21" i="15"/>
  <c r="C23" i="15" s="1"/>
  <c r="C24" i="15" s="1"/>
  <c r="E21" i="15"/>
  <c r="E23" i="15" s="1"/>
  <c r="E24" i="15" s="1"/>
  <c r="C18" i="13"/>
  <c r="D18" i="13"/>
  <c r="B18" i="13"/>
  <c r="C11" i="13"/>
  <c r="D11" i="13"/>
  <c r="B11" i="13"/>
  <c r="D13" i="13"/>
  <c r="D20" i="13" l="1"/>
  <c r="D32" i="13"/>
  <c r="D73" i="13"/>
  <c r="B71" i="13"/>
  <c r="B30" i="13"/>
  <c r="C71" i="13"/>
  <c r="C30" i="13"/>
  <c r="D78" i="13"/>
  <c r="D37" i="13"/>
  <c r="B13" i="13"/>
  <c r="C13" i="13"/>
  <c r="D71" i="13"/>
  <c r="D30" i="13"/>
  <c r="B37" i="13"/>
  <c r="B78" i="13"/>
  <c r="C78" i="13"/>
  <c r="C37" i="13"/>
  <c r="B47" i="18"/>
  <c r="B48" i="18" s="1"/>
  <c r="B49" i="18" s="1"/>
  <c r="B50" i="18" s="1"/>
  <c r="B45" i="18"/>
  <c r="E42" i="14"/>
  <c r="D40" i="14"/>
  <c r="E32" i="14"/>
  <c r="E28" i="14"/>
  <c r="E30" i="14"/>
  <c r="D17" i="14"/>
  <c r="D13" i="14"/>
  <c r="D7" i="14"/>
  <c r="C20" i="13" l="1"/>
  <c r="C73" i="13"/>
  <c r="C32" i="13"/>
  <c r="D80" i="13"/>
  <c r="D39" i="13"/>
  <c r="B20" i="13"/>
  <c r="B73" i="13"/>
  <c r="B32" i="13"/>
  <c r="D14" i="14"/>
  <c r="D19" i="14" s="1"/>
  <c r="D23" i="14" s="1"/>
  <c r="F109" i="10"/>
  <c r="D109" i="10"/>
  <c r="F70" i="10"/>
  <c r="D62" i="10"/>
  <c r="D61" i="10"/>
  <c r="D70" i="10" s="1"/>
  <c r="F58" i="10"/>
  <c r="F60" i="10" s="1"/>
  <c r="F72" i="10" s="1"/>
  <c r="D58" i="10"/>
  <c r="D60" i="10" s="1"/>
  <c r="F57" i="10"/>
  <c r="F71" i="10" s="1"/>
  <c r="E57" i="10"/>
  <c r="D57" i="10"/>
  <c r="F54" i="10"/>
  <c r="F69" i="10" s="1"/>
  <c r="D54" i="10"/>
  <c r="D69" i="10" s="1"/>
  <c r="F51" i="10"/>
  <c r="D51" i="10"/>
  <c r="D39" i="10"/>
  <c r="D108" i="10" s="1"/>
  <c r="D63" i="10"/>
  <c r="D72" i="10" s="1"/>
  <c r="F32" i="10"/>
  <c r="D32" i="10"/>
  <c r="F29" i="10"/>
  <c r="D29" i="10"/>
  <c r="D106" i="10" s="1"/>
  <c r="F25" i="10"/>
  <c r="F110" i="10" s="1"/>
  <c r="D25" i="10"/>
  <c r="D110" i="10" s="1"/>
  <c r="F17" i="10"/>
  <c r="F107" i="10" s="1"/>
  <c r="D17" i="10"/>
  <c r="D107" i="10" s="1"/>
  <c r="F10" i="10"/>
  <c r="F111" i="10" s="1"/>
  <c r="F118" i="10" s="1"/>
  <c r="D10" i="10"/>
  <c r="D111" i="10" s="1"/>
  <c r="D118" i="10" s="1"/>
  <c r="C80" i="13" l="1"/>
  <c r="C39" i="13"/>
  <c r="B80" i="13"/>
  <c r="B39" i="13"/>
  <c r="D71" i="10"/>
  <c r="D119" i="10"/>
  <c r="D112" i="10"/>
  <c r="D117" i="10" s="1"/>
  <c r="D19" i="10"/>
  <c r="D105" i="10" s="1"/>
  <c r="F19" i="10"/>
  <c r="F105" i="10" s="1"/>
  <c r="D41" i="10"/>
  <c r="D50" i="10"/>
  <c r="D52" i="10"/>
  <c r="D67" i="10" s="1"/>
  <c r="D104" i="10"/>
  <c r="F39" i="10"/>
  <c r="F41" i="10" s="1"/>
  <c r="F50" i="10"/>
  <c r="F104" i="10"/>
  <c r="F115" i="10" l="1"/>
  <c r="D115" i="10"/>
  <c r="D66" i="10"/>
  <c r="D53" i="10"/>
  <c r="D68" i="10" s="1"/>
  <c r="F108" i="10"/>
  <c r="F52" i="10"/>
  <c r="F67" i="10" s="1"/>
  <c r="F106" i="10"/>
  <c r="F116" i="10" s="1"/>
  <c r="D116" i="10"/>
  <c r="D65" i="8"/>
  <c r="D70" i="8"/>
  <c r="D71" i="8"/>
  <c r="B71" i="8"/>
  <c r="B70" i="8"/>
  <c r="B65" i="8"/>
  <c r="B51" i="8"/>
  <c r="B50" i="8"/>
  <c r="B49" i="8"/>
  <c r="B58" i="8" s="1"/>
  <c r="B46" i="8"/>
  <c r="B48" i="8" s="1"/>
  <c r="B60" i="8" s="1"/>
  <c r="B45" i="8"/>
  <c r="B44" i="8"/>
  <c r="D41" i="8"/>
  <c r="B41" i="8"/>
  <c r="B57" i="8" s="1"/>
  <c r="D37" i="8"/>
  <c r="B37" i="8"/>
  <c r="D24" i="8"/>
  <c r="D26" i="8" s="1"/>
  <c r="D66" i="8" s="1"/>
  <c r="B24" i="8"/>
  <c r="B26" i="8" s="1"/>
  <c r="B66" i="8" s="1"/>
  <c r="D12" i="8"/>
  <c r="D36" i="8" s="1"/>
  <c r="B12" i="8"/>
  <c r="B36" i="8" s="1"/>
  <c r="D7" i="8"/>
  <c r="D72" i="8" s="1"/>
  <c r="D79" i="8" s="1"/>
  <c r="B7" i="8"/>
  <c r="B72" i="8" s="1"/>
  <c r="B79" i="8" s="1"/>
  <c r="F26" i="7"/>
  <c r="B26" i="7"/>
  <c r="D24" i="7"/>
  <c r="F19" i="7"/>
  <c r="D67" i="8" l="1"/>
  <c r="D77" i="8" s="1"/>
  <c r="B59" i="8"/>
  <c r="D69" i="8"/>
  <c r="D76" i="8"/>
  <c r="B76" i="8"/>
  <c r="B38" i="8"/>
  <c r="B55" i="8" s="1"/>
  <c r="B68" i="8"/>
  <c r="B39" i="8"/>
  <c r="B67" i="8"/>
  <c r="B77" i="8" s="1"/>
  <c r="B69" i="8"/>
  <c r="D68" i="8"/>
  <c r="F119" i="10"/>
  <c r="F112" i="10"/>
  <c r="F117" i="10" s="1"/>
  <c r="F66" i="10"/>
  <c r="F53" i="10"/>
  <c r="F68" i="10" s="1"/>
  <c r="D39" i="8"/>
  <c r="D38" i="8"/>
  <c r="D40" i="8" s="1"/>
  <c r="B14" i="8"/>
  <c r="D14" i="8"/>
  <c r="F14" i="7"/>
  <c r="F12" i="7"/>
  <c r="F7" i="7"/>
  <c r="F5" i="7"/>
  <c r="F3" i="7"/>
  <c r="B54" i="8" l="1"/>
  <c r="B40" i="8"/>
  <c r="B56" i="8" s="1"/>
  <c r="D55" i="8"/>
  <c r="D80" i="8"/>
  <c r="D73" i="8"/>
  <c r="D78" i="8" s="1"/>
  <c r="B80" i="8"/>
  <c r="B73" i="8"/>
  <c r="B78" i="8" s="1"/>
  <c r="D54" i="8"/>
  <c r="C26" i="6"/>
  <c r="D31" i="6" s="1"/>
  <c r="C21" i="6"/>
  <c r="C18" i="6"/>
  <c r="C11" i="6"/>
  <c r="D30" i="6" s="1"/>
  <c r="C6" i="6"/>
  <c r="G25" i="3"/>
  <c r="C16" i="3"/>
  <c r="C21" i="3" s="1"/>
  <c r="C9" i="3"/>
  <c r="C11" i="3" s="1"/>
  <c r="G23" i="3" l="1"/>
  <c r="C13" i="6"/>
  <c r="C28" i="6"/>
  <c r="B37" i="2"/>
  <c r="B36" i="2"/>
  <c r="B35" i="2"/>
  <c r="H31" i="2"/>
  <c r="B29" i="2"/>
  <c r="B27" i="2"/>
  <c r="H27" i="2" s="1"/>
  <c r="I27" i="2" s="1"/>
  <c r="B28" i="2"/>
  <c r="H39" i="2"/>
  <c r="F39" i="2"/>
  <c r="D39" i="2"/>
  <c r="F31" i="2"/>
  <c r="D31" i="2"/>
  <c r="E36" i="5"/>
  <c r="I40" i="5"/>
  <c r="G40" i="5"/>
  <c r="E40" i="5"/>
  <c r="C38" i="5"/>
  <c r="C37" i="5"/>
  <c r="C36" i="5"/>
  <c r="G36" i="5" s="1"/>
  <c r="H36" i="5" s="1"/>
  <c r="G26" i="5"/>
  <c r="I30" i="5"/>
  <c r="G30" i="5"/>
  <c r="G27" i="5" s="1"/>
  <c r="G29" i="5" s="1"/>
  <c r="E30" i="5"/>
  <c r="C28" i="5"/>
  <c r="C27" i="5"/>
  <c r="C26" i="5"/>
  <c r="H26" i="5"/>
  <c r="D22" i="5"/>
  <c r="C22" i="5"/>
  <c r="D20" i="5"/>
  <c r="D21" i="5" s="1"/>
  <c r="C20" i="5"/>
  <c r="C21" i="5" s="1"/>
  <c r="D19" i="5"/>
  <c r="C19" i="5"/>
  <c r="D16" i="5"/>
  <c r="D18" i="5" s="1"/>
  <c r="C16" i="5"/>
  <c r="C18" i="5" s="1"/>
  <c r="E37" i="4"/>
  <c r="D37" i="4"/>
  <c r="E29" i="4"/>
  <c r="D29" i="4"/>
  <c r="E26" i="4"/>
  <c r="D26" i="4"/>
  <c r="E22" i="4"/>
  <c r="D22" i="4"/>
  <c r="E13" i="4"/>
  <c r="D13" i="4"/>
  <c r="E6" i="4"/>
  <c r="D6" i="4"/>
  <c r="G37" i="5" l="1"/>
  <c r="I37" i="5" s="1"/>
  <c r="I27" i="5"/>
  <c r="J27" i="5" s="1"/>
  <c r="E39" i="4"/>
  <c r="D39" i="4"/>
  <c r="E15" i="4"/>
  <c r="D15" i="4"/>
  <c r="E27" i="2"/>
  <c r="D35" i="2"/>
  <c r="E35" i="2" s="1"/>
  <c r="C39" i="5"/>
  <c r="F36" i="5"/>
  <c r="H37" i="5"/>
  <c r="H27" i="5"/>
  <c r="F26" i="5"/>
  <c r="C29" i="5"/>
  <c r="D13" i="5"/>
  <c r="D15" i="5" s="1"/>
  <c r="C13" i="5"/>
  <c r="C15" i="5" s="1"/>
  <c r="D7" i="5"/>
  <c r="C7" i="5"/>
  <c r="J37" i="5" l="1"/>
  <c r="I38" i="5"/>
  <c r="J38" i="5" s="1"/>
  <c r="I39" i="5"/>
  <c r="J39" i="5" s="1"/>
  <c r="I28" i="5"/>
  <c r="G27" i="2"/>
  <c r="F35" i="2"/>
  <c r="C40" i="5"/>
  <c r="J40" i="5"/>
  <c r="F40" i="5"/>
  <c r="H39" i="5"/>
  <c r="C30" i="5"/>
  <c r="H29" i="5"/>
  <c r="B22" i="2"/>
  <c r="B18" i="2"/>
  <c r="B23" i="2" s="1"/>
  <c r="D8" i="2"/>
  <c r="E8" i="2"/>
  <c r="C22" i="2"/>
  <c r="C18" i="2"/>
  <c r="C23" i="2" s="1"/>
  <c r="E7" i="2"/>
  <c r="C17" i="2"/>
  <c r="B16" i="2"/>
  <c r="B17" i="2"/>
  <c r="D10" i="2"/>
  <c r="E10" i="2"/>
  <c r="D40" i="5" l="1"/>
  <c r="D36" i="5"/>
  <c r="D38" i="5"/>
  <c r="D37" i="5"/>
  <c r="J28" i="5"/>
  <c r="I29" i="5"/>
  <c r="J29" i="5" s="1"/>
  <c r="D30" i="5"/>
  <c r="D28" i="5"/>
  <c r="D27" i="5"/>
  <c r="D26" i="5"/>
  <c r="H40" i="5"/>
  <c r="D39" i="5"/>
  <c r="D29" i="5"/>
  <c r="G35" i="2"/>
  <c r="F36" i="2"/>
  <c r="H28" i="2"/>
  <c r="F30" i="5"/>
  <c r="H30" i="5"/>
  <c r="J30" i="5"/>
  <c r="C16" i="2"/>
  <c r="D7" i="2"/>
  <c r="C20" i="2"/>
  <c r="C21" i="2" s="1"/>
  <c r="E6" i="2"/>
  <c r="D6" i="2"/>
  <c r="B20" i="2"/>
  <c r="B21" i="2" s="1"/>
  <c r="D11" i="2"/>
  <c r="D13" i="2"/>
  <c r="D12" i="2"/>
  <c r="E11" i="2"/>
  <c r="E13" i="2"/>
  <c r="E12" i="2"/>
  <c r="B30" i="2" l="1"/>
  <c r="B38" i="2"/>
  <c r="G36" i="2"/>
  <c r="H36" i="2"/>
  <c r="I29" i="2"/>
  <c r="I28" i="2"/>
  <c r="B39" i="2" l="1"/>
  <c r="B31" i="2"/>
  <c r="I36" i="2"/>
  <c r="H37" i="2"/>
  <c r="I37" i="2" s="1"/>
  <c r="H30" i="2"/>
  <c r="I30" i="2" s="1"/>
  <c r="C39" i="2" l="1"/>
  <c r="C36" i="2"/>
  <c r="C37" i="2"/>
  <c r="C35" i="2"/>
  <c r="C38" i="2"/>
  <c r="C27" i="2"/>
  <c r="G31" i="2"/>
  <c r="C31" i="2"/>
  <c r="I31" i="2"/>
  <c r="E31" i="2"/>
  <c r="C29" i="2"/>
  <c r="C28" i="2"/>
  <c r="C30" i="2"/>
  <c r="I39" i="2"/>
  <c r="E39" i="2"/>
  <c r="G39" i="2"/>
  <c r="H38" i="2"/>
  <c r="I38" i="2" s="1"/>
</calcChain>
</file>

<file path=xl/sharedStrings.xml><?xml version="1.0" encoding="utf-8"?>
<sst xmlns="http://schemas.openxmlformats.org/spreadsheetml/2006/main" count="1113" uniqueCount="552">
  <si>
    <t>Eiendeler</t>
  </si>
  <si>
    <t>Inventar og maskiner</t>
  </si>
  <si>
    <t>Varebeholdning</t>
  </si>
  <si>
    <t>Kundefordringer</t>
  </si>
  <si>
    <t>Bankinnskudd</t>
  </si>
  <si>
    <t>Sum anleggsmidler</t>
  </si>
  <si>
    <t>Sum eiendeler</t>
  </si>
  <si>
    <t>Egenkapital og gjeld</t>
  </si>
  <si>
    <t>Egenkapital</t>
  </si>
  <si>
    <t>Gjeld</t>
  </si>
  <si>
    <t>Langsiktig gjeld</t>
  </si>
  <si>
    <t>Leverandørgjeld</t>
  </si>
  <si>
    <t>Øvrige kortsiktig gjeld</t>
  </si>
  <si>
    <t>Sum kortsiktig gjeld</t>
  </si>
  <si>
    <t>Sum egenkapital og gjeld</t>
  </si>
  <si>
    <t>Sammenfatning</t>
  </si>
  <si>
    <t>Anleggsmidler</t>
  </si>
  <si>
    <t>Omløpsmidler</t>
  </si>
  <si>
    <t>Kortsiktig gjeld</t>
  </si>
  <si>
    <t>kr</t>
  </si>
  <si>
    <t>%</t>
  </si>
  <si>
    <t>Varelager</t>
  </si>
  <si>
    <t>Mest likvide oml.midler</t>
  </si>
  <si>
    <t>Sum omløpsmidler</t>
  </si>
  <si>
    <t>SUM</t>
  </si>
  <si>
    <t>Arbeidskapitalen må som et minstekrav være positiv, og den bør normalt dekke mesteparten av varebeholdningen. Her utgjør</t>
  </si>
  <si>
    <t>normalt anses som meget bra.</t>
  </si>
  <si>
    <t>Finansieringsgrad 1 bør være lavere enn 1, mens finansieringsgrad 2 bør være over 1, gjerne opp mot 2. Begge nøkkeltallene</t>
  </si>
  <si>
    <t>virker gode.</t>
  </si>
  <si>
    <t>Alt i alt ser det ut til at bedriften har en sunn og god finansiering.</t>
  </si>
  <si>
    <t>Ved vurderingen av soliditet legger vi størst vekt på egenkapitalandelen, og den virker helt i orden.</t>
  </si>
  <si>
    <t>Løsning oppgave 6.2</t>
  </si>
  <si>
    <t>20x2</t>
  </si>
  <si>
    <t>20x1</t>
  </si>
  <si>
    <t>Aksjekapital</t>
  </si>
  <si>
    <t>Annen egenkapital</t>
  </si>
  <si>
    <t>Utsatt skatt</t>
  </si>
  <si>
    <t>Kassekreditt</t>
  </si>
  <si>
    <t>Betalbar skatt</t>
  </si>
  <si>
    <t>Annen kortsiktig gjeld</t>
  </si>
  <si>
    <t>Egenkapitalprosent</t>
  </si>
  <si>
    <t>Gjeldsgrad</t>
  </si>
  <si>
    <t>Arbeidskapital</t>
  </si>
  <si>
    <t>Langsiktig finansiering</t>
  </si>
  <si>
    <t>Finansieringsgrad 1</t>
  </si>
  <si>
    <t>Finansieringsgrad 2</t>
  </si>
  <si>
    <t>Arbeidskapital i % av varer</t>
  </si>
  <si>
    <t>EIENDELER</t>
  </si>
  <si>
    <t>Varer</t>
  </si>
  <si>
    <t>SUM EIENDELER</t>
  </si>
  <si>
    <t>EGENKAPITAL OG GJELD</t>
  </si>
  <si>
    <t>Sum egenkapital</t>
  </si>
  <si>
    <t>Sum avsetning for forpliktelser</t>
  </si>
  <si>
    <t>Øvrig langsiktig gjeld</t>
  </si>
  <si>
    <t>Sum langsiktig gjeld</t>
  </si>
  <si>
    <t>Skyldige offentlige avgifter</t>
  </si>
  <si>
    <t>Utbytte</t>
  </si>
  <si>
    <t>SUM EGENKAPITAL OG GJELD</t>
  </si>
  <si>
    <t>31.12.20x2</t>
  </si>
  <si>
    <t>31.12.20x1</t>
  </si>
  <si>
    <t>Løsning oppgave 6.3</t>
  </si>
  <si>
    <t>Sammendrag av balansen 31.12.</t>
  </si>
  <si>
    <t>Egenkapitalandel</t>
  </si>
  <si>
    <t>Varebeholdninger</t>
  </si>
  <si>
    <t>Arbeidskapital i prosent av varelager</t>
  </si>
  <si>
    <t>a)</t>
  </si>
  <si>
    <r>
      <rPr>
        <i/>
        <sz val="12"/>
        <rFont val="Times New Roman"/>
        <family val="1"/>
      </rPr>
      <t>Momenter for vurdering av finansiering og soliditet:</t>
    </r>
    <r>
      <rPr>
        <sz val="12"/>
        <rFont val="Times New Roman"/>
        <family val="1"/>
      </rPr>
      <t xml:space="preserve"> I begynnelsen av 20x2 var egenkapitalandelen</t>
    </r>
  </si>
  <si>
    <t>på 33,9 %. Ved utgangen av året er den redusert til 29,8 %. Egenkapitalen er imidlertid fremdeles relativt solid.</t>
  </si>
  <si>
    <t>Det heter seg at arbeidskapitalen bør være på minst 50 % av varebeholdningen. Dette kravet var oppfylt i begynnelsen av</t>
  </si>
  <si>
    <t>året, mens den per 31.12.20x2 var redusert til 28 %. Gjeldsgraden har økt, men dette nøkkeltallet sier i prinsippet akkurat</t>
  </si>
  <si>
    <t>det samme som egenkapitalprosenten. Finansieringsgrad 1 skal være under 1 noe som er oppfylt, men dette nøkkeltallet</t>
  </si>
  <si>
    <t xml:space="preserve">har økt. Samtidig er finansieringsgrad 2 over 1. Et minimumskrav er at nøkkeltallet skal være over 1. Det bør imidlertid ligge </t>
  </si>
  <si>
    <t>nærmere 2.</t>
  </si>
  <si>
    <t>Den økonomiske stillingen er altså blitt betydelig forverret i løpet av 20x2.</t>
  </si>
  <si>
    <t>b)</t>
  </si>
  <si>
    <t>Vi ser at "Annen egenkapital" er redusert med 780 i løpet av 20x2. Dette kan skyldes at bedriften har gått med underskudd siste år –</t>
  </si>
  <si>
    <t>eller det kan skyldes at styret har foreslått en utbytteavsetning som overstiger årsoverskuddet. I tillegg ser vi at både varebeholdningene og</t>
  </si>
  <si>
    <t>kundefordringene har økt betydelig, varelagrene med over 36 %. Begge disse økningene må finansieres. Bankinnskudd og kontanter</t>
  </si>
  <si>
    <t>og leverandørgjeld).</t>
  </si>
  <si>
    <t xml:space="preserve">er redusert med 800, og resten av kapitalbehovet er dekket inn ved en sterk økning i kortsiktig gjeld (særlig kassekreditt </t>
  </si>
  <si>
    <t>Alle nøkkeltallene har hatt en positiv utvikling i løpet av året. Situasjonen per 31.12. i fjor var ikke helt tilfredsstillende.</t>
  </si>
  <si>
    <t>En egenkapitalandel på 26 % er i underkant. Arbeidskapitalen av negativ. Av anleggsmidlene på 6 550 var 210 finansiert</t>
  </si>
  <si>
    <t>med kortsiktig gjeld. Både finansieringsgrad 1 og 2 var dårligere enn normen.</t>
  </si>
  <si>
    <t>Egenkapitalen per 31.12.20x2 er på 34,5 % noe som må anses som tilfredsstillende. Vi ser at egenkapitalen har økt med</t>
  </si>
  <si>
    <t>4 010 – 2 900 = 1 110. En vesentlig del av denne økningen skyldes at bedriften har gjennomført en utvidelse av aksjekapitalen</t>
  </si>
  <si>
    <t>i 20x2. Denne emisjonen har gitt bedriften 900 i frisk kapital (jf. økning i aksjekapital og overkurs).</t>
  </si>
  <si>
    <t>Det betyr at bedriftens tilbakeholdte overskudd i 20x2 er på 210.</t>
  </si>
  <si>
    <t>Årsaken til den bedrede finansieringsstrukturen er åpenbart kapitalutvidelsen. Vi ser av begge finansieringsgradene</t>
  </si>
  <si>
    <t>per 31.12.20x2 tilfredsstiller minimumskravene. Arbeidskapitalen er nå positiv og utgjør 31,8 % av varebeholdningen.</t>
  </si>
  <si>
    <t>Dette nøkkeltallet kunne med fordel vært noe høyere.</t>
  </si>
  <si>
    <t>Bygninger</t>
  </si>
  <si>
    <t>Balanse per 31.12.</t>
  </si>
  <si>
    <t>Biler og inventar</t>
  </si>
  <si>
    <t>Kortsiktige aksjer</t>
  </si>
  <si>
    <t>Løsning oppgave 6.4</t>
  </si>
  <si>
    <t>Likviditetsgrad 1:</t>
  </si>
  <si>
    <t xml:space="preserve">   1 914 : 1 102 =</t>
  </si>
  <si>
    <t xml:space="preserve">Likviditetsgrad 2: </t>
  </si>
  <si>
    <t>1 140 : 1 102 =</t>
  </si>
  <si>
    <t>De tradisjonelle kravene er at likviditetsgrad 1 bør være på minst 2 og</t>
  </si>
  <si>
    <t>likviditetsgrad 2 på minst 1. Ut fra disse kravene ligger likviditetsgrad 1</t>
  </si>
  <si>
    <t>noe under "normen". Når likviditetsgrad 2 oppfyller kravet, skyldes det</t>
  </si>
  <si>
    <t>at en relativt stor andel av omløpsmidlene er bundet i kundefordringer</t>
  </si>
  <si>
    <t>og bankinnskudd.</t>
  </si>
  <si>
    <t>Likviditeten virker brukbar, men vi skal være forsiktig med å trekke</t>
  </si>
  <si>
    <t>bastante konklusjoner på grunnlag av en slik begrenset analyse.</t>
  </si>
  <si>
    <t>Maskiner</t>
  </si>
  <si>
    <t>Pantelån</t>
  </si>
  <si>
    <t>Likviditetsgrad 1: 3 516 : 3 465 =</t>
  </si>
  <si>
    <t>Likviditetsgrad 2: 1 784 : 3 465 =</t>
  </si>
  <si>
    <t xml:space="preserve"> (Krav: 2,0)</t>
  </si>
  <si>
    <t xml:space="preserve"> (Krav 1,0)</t>
  </si>
  <si>
    <t>Begge likviditetsgradene ligger betydelig under kravet, og dette tyder</t>
  </si>
  <si>
    <t>på at likviditeten er ganske svak.</t>
  </si>
  <si>
    <t>Løsning oppgave 6.5</t>
  </si>
  <si>
    <t>Løsning oppgave 6.6</t>
  </si>
  <si>
    <t>Gjennomsnittlig lagringstid:</t>
  </si>
  <si>
    <t xml:space="preserve"> dager</t>
  </si>
  <si>
    <t>Gjennomsnittlig lagringstid: 365 : 12 =</t>
  </si>
  <si>
    <t>c)</t>
  </si>
  <si>
    <t xml:space="preserve">Gjennomsnittlig lagringstid: </t>
  </si>
  <si>
    <t>Løsning oppgave 6.7</t>
  </si>
  <si>
    <t>Kredittid for varesalget:</t>
  </si>
  <si>
    <t>Løsning oppgave 6.8</t>
  </si>
  <si>
    <t>Kredittid for varekjøpet:</t>
  </si>
  <si>
    <t>Varekostnad</t>
  </si>
  <si>
    <t>Beholdningsøkning</t>
  </si>
  <si>
    <t>+</t>
  </si>
  <si>
    <t>=</t>
  </si>
  <si>
    <t>Varekjøp</t>
  </si>
  <si>
    <t>Bygning</t>
  </si>
  <si>
    <t>Biler, inventar etc.</t>
  </si>
  <si>
    <t>Kassekreditt (limit 1 500)</t>
  </si>
  <si>
    <t>Diverse kortsiktig gjeld</t>
  </si>
  <si>
    <t>Avgiftspliktig varesalg</t>
  </si>
  <si>
    <t>Gevinst ved salg av bygning</t>
  </si>
  <si>
    <t>Nøkkeltallene for likviditet og finansiering/soliditet:</t>
  </si>
  <si>
    <t>Likviditet</t>
  </si>
  <si>
    <t>31.12.x2</t>
  </si>
  <si>
    <t>31.12.x1</t>
  </si>
  <si>
    <t>Aktuelle regnskapstall:</t>
  </si>
  <si>
    <t>Mest likvide omløpsmidler</t>
  </si>
  <si>
    <t>Kortsiktig gjeld ekskl. kassekreditt</t>
  </si>
  <si>
    <t>Likviditetsreserve</t>
  </si>
  <si>
    <t>Omsetning inkl. mva</t>
  </si>
  <si>
    <t>Varekjøp inkl. mva.</t>
  </si>
  <si>
    <t>Varekjøp: 12 800 + 140 =</t>
  </si>
  <si>
    <t>(beholdningsøkningen er på 140)</t>
  </si>
  <si>
    <t>Gjennomsnittlig varebeholdning</t>
  </si>
  <si>
    <t>Gjennomsnittlig kundefordringer</t>
  </si>
  <si>
    <t>Gjennomsnittlig leverandørgjeld</t>
  </si>
  <si>
    <t>Nøkkeltall likviditet:</t>
  </si>
  <si>
    <t>Likviditetsgrad 1</t>
  </si>
  <si>
    <t>Likviditetsgrad 2</t>
  </si>
  <si>
    <t>Arbeidskapital/omsetning</t>
  </si>
  <si>
    <t>Likviditetsreserve/omsetning</t>
  </si>
  <si>
    <t>Gjennomsnittlig lagringstid</t>
  </si>
  <si>
    <t>Gjennomsnittlig kredittid kunder</t>
  </si>
  <si>
    <t>Gjennomsnittlig kredittid leverandører</t>
  </si>
  <si>
    <t>Finansiering/soliditet</t>
  </si>
  <si>
    <t>Totalkapital</t>
  </si>
  <si>
    <t>Sum gjeld</t>
  </si>
  <si>
    <t>Nøkkeltall finansiering og soliditet:</t>
  </si>
  <si>
    <t>Arbeidskapital/varebeholdning</t>
  </si>
  <si>
    <t>Samtlige forholdstall er kraftig forbedret i løpet av året. Likviditetsgrad 1</t>
  </si>
  <si>
    <t>er fremdeles litt under normen på 2. Nå skal det nok sies at dette kravet</t>
  </si>
  <si>
    <t>virker litt høyt. Vi ser at kredittiden til kunder er lavere enn kredittid</t>
  </si>
  <si>
    <t>leverandører. Dette er positivt. Ellers er det ikke mulig å vurdere</t>
  </si>
  <si>
    <t>om lagringstid på 51 dager er tilfredsstillende. Dette vil være helt avhengig</t>
  </si>
  <si>
    <t>av bransje.</t>
  </si>
  <si>
    <t>Nøkkeltallene for finansiering og solitet er meget sterke. En egenkapital-</t>
  </si>
  <si>
    <t>prosent på 58,6 er meget bra. Arbeidskapitalen er meget stor i forhold</t>
  </si>
  <si>
    <t>til varebeholdning. At halvparten av varene er finansiert langsiktig,</t>
  </si>
  <si>
    <t xml:space="preserve">vil normal anses som tilfredsstillende. </t>
  </si>
  <si>
    <t>Den markerte forbedringen må ses i sammenheng meg salget av</t>
  </si>
  <si>
    <t>bygningen. Salget har gitt en gevinst på kr 750 000, og når verdien</t>
  </si>
  <si>
    <t>per 1.1. var kr 3 240 000, betyr det at salgssummen har vært på</t>
  </si>
  <si>
    <t xml:space="preserve">rundt 4 000 000. Salgssummen er brukt til nedbetaling av langsiktig </t>
  </si>
  <si>
    <t>gjeld og kassekredittgjeld samt til økning av bankinnskuddet.</t>
  </si>
  <si>
    <t>Bygninger og fast eiendom</t>
  </si>
  <si>
    <t>Driftsløsøre, inventar og verktøy</t>
  </si>
  <si>
    <t>Andre fordringer</t>
  </si>
  <si>
    <t>Bankinnskudd, kontanter og lignende</t>
  </si>
  <si>
    <t>Avgiftpliktig omsetning</t>
  </si>
  <si>
    <t>Løsning oppgave 6.10</t>
  </si>
  <si>
    <t>Man regner vanligvis 10 % som meget bra.</t>
  </si>
  <si>
    <t>Gjeldsgraden forteller i prinsippet det samme som egenkapitalprosenten.</t>
  </si>
  <si>
    <t>Arbeidskapitalen er særdeles stor i forhold til varebeholdningen.</t>
  </si>
  <si>
    <t>Det heter seg at den bør være minst 50 %.</t>
  </si>
  <si>
    <t>Finansieringsgrad 2 tilsvarer likviditetsgrad 1, og dermed bør den ligge</t>
  </si>
  <si>
    <t>Maskiner, anlegg og biler</t>
  </si>
  <si>
    <t>Langsiktige fordringer</t>
  </si>
  <si>
    <t>14 % merverdiavgift på kjøp og salg av varer</t>
  </si>
  <si>
    <t>Varekjøp: 12 990 + 249 =</t>
  </si>
  <si>
    <t>(beholdningsøkningen er på 249)</t>
  </si>
  <si>
    <t>Likviditetsgrad 1 har bedret seg i løpet av 20x2, men ligger fremdeles langt under "normen".</t>
  </si>
  <si>
    <t>Det betyr at selskapet har svært høy kortsiktig gjeld i forhold til omløpsmidlene.</t>
  </si>
  <si>
    <t>Likviditetsgrad 2 ligger også klart under normen, men er relativt bedre enn likviditetsgrad 1</t>
  </si>
  <si>
    <t>Den har bedret seg noe.</t>
  </si>
  <si>
    <t>Arbeidskapitalen er negativ, noe som absolutt ikke er "etter læreboka".</t>
  </si>
  <si>
    <t>Det betyr at en del av anleggsmidlene er finansiert med kortsiktig gjeld.</t>
  </si>
  <si>
    <t xml:space="preserve">Likviditetsreserven i forhold til omsetningen er imidlertid relativt brukbar </t>
  </si>
  <si>
    <t>6,1 % betyr at selskapet kan selge varer i drøye tre uker uten å motta</t>
  </si>
  <si>
    <t>innbetalinger fra kundene (6,1 % av 52).</t>
  </si>
  <si>
    <t>Den har dessuten øke med 1 prosentpoeng.</t>
  </si>
  <si>
    <t>Gjennomsnittlig lagringstid på 44. I dette tilfellet skyldes det virkomhetens art.</t>
  </si>
  <si>
    <t>Det virker ganske høyt virksomhetens art tatt i betraktning. Bakervarer</t>
  </si>
  <si>
    <t>burde ligge relativt kort tid på lager. Sannsynligvis har bedriften</t>
  </si>
  <si>
    <t>en del råvarer på lager noe som trekker lagringstiden oppover.</t>
  </si>
  <si>
    <t>Positivt er det at lagringstiden er blitt 9 dager lavere.</t>
  </si>
  <si>
    <t>Kredittid kunder og leverandører virker ganske stabile, og positivt er</t>
  </si>
  <si>
    <t>det jo at kredittiden til kunder er lavere enn kredittid leverandører.</t>
  </si>
  <si>
    <t>Når vi ser på den kortsiktige gjelder, vil vi se at bedriften ikke betaler</t>
  </si>
  <si>
    <t>renter for denne gjelden. Den er gratis så lenge bedriften er i stand</t>
  </si>
  <si>
    <t>til å betale gjelden etter hvert som den forfaller. Det er først når man</t>
  </si>
  <si>
    <t>ikke er i stand til å betale ved forfall at leverandørgjeld, skattegjeld,</t>
  </si>
  <si>
    <t>skyldig merverdiavgift etc. blir kostbar i form av rentekostnader,</t>
  </si>
  <si>
    <t>inkassosalærer og -gebyrer med mer.</t>
  </si>
  <si>
    <t>Vi ser at egenkapitalandelen er på snaue 20 %. Det er i underkant.</t>
  </si>
  <si>
    <t>Men den har hatt en markert økning siden 31.12. i fjor da den var</t>
  </si>
  <si>
    <t>ganske svak. Vi legger merke til at selskapet har avsatt 2 millioner</t>
  </si>
  <si>
    <t>i utbytte både i 20x2 og 20x1.</t>
  </si>
  <si>
    <t>Det betyr at årsoverskuddet i 20x2 har vært 2 000 + 504 = 2 504,</t>
  </si>
  <si>
    <t>altså over 2,5 millioner. I fjor brukte selskapet nesten hele overskuddet</t>
  </si>
  <si>
    <t>til utbytte, og det virker vel som om at selskapet fører en svært</t>
  </si>
  <si>
    <t>aksjonærvennlig utbyttepolitikk. Kanskje burde styret for framtiden</t>
  </si>
  <si>
    <t>redusere utbytteavsetningen for å styrke egenkapitalen ytterligere.</t>
  </si>
  <si>
    <t>Verken finansieringsgrad 1 eller 2 oppfyller kravene, noe de aldri vil</t>
  </si>
  <si>
    <t>gjøre når arbeidskapitalen er negativ.</t>
  </si>
  <si>
    <t>bortimot 2. 0,97 er med andre ord alt for lavt.</t>
  </si>
  <si>
    <t>Siste år</t>
  </si>
  <si>
    <t>Salgsinntekt</t>
  </si>
  <si>
    <t>Sum driftsinntekter</t>
  </si>
  <si>
    <t>Avskrivning</t>
  </si>
  <si>
    <t>Annen driftskostnad</t>
  </si>
  <si>
    <t>Sum driftskostnader</t>
  </si>
  <si>
    <t>Driftsresultat</t>
  </si>
  <si>
    <t>Netto finansposter</t>
  </si>
  <si>
    <t>Resultat før skattekostnad</t>
  </si>
  <si>
    <t xml:space="preserve">Skattekostnad </t>
  </si>
  <si>
    <t>Årsresultat</t>
  </si>
  <si>
    <t>Resultatregnskap</t>
  </si>
  <si>
    <t>Gevinst ved salg av bil</t>
  </si>
  <si>
    <t>Lønn og sosiale kostnader</t>
  </si>
  <si>
    <t>Rentekostnader</t>
  </si>
  <si>
    <t xml:space="preserve">Totalrentabilitet: </t>
  </si>
  <si>
    <t xml:space="preserve">Egenkapitalrentabilitet før skatt: </t>
  </si>
  <si>
    <t xml:space="preserve">Resultatgrad: </t>
  </si>
  <si>
    <t xml:space="preserve">Kapitalens omløpshastighet: </t>
  </si>
  <si>
    <t>d)</t>
  </si>
  <si>
    <t>Resultatgraden forteller hvor mange prosent avkastningen utgjør av</t>
  </si>
  <si>
    <t>de totale driftsinntektene. En resultatgrad på 16,8 % betyr at</t>
  </si>
  <si>
    <t>bedriften "tjener" kr 16,80 av hver 100 driftsinntekt.</t>
  </si>
  <si>
    <t>e)</t>
  </si>
  <si>
    <t>Gjennomsnittlig totalkapital</t>
  </si>
  <si>
    <t>Gjennomsnittlig egenkapital</t>
  </si>
  <si>
    <t>–</t>
  </si>
  <si>
    <t>Gjennomsnittlig gjeld</t>
  </si>
  <si>
    <t xml:space="preserve">Gjennomsnittlig lånerente: </t>
  </si>
  <si>
    <t>Løsning oppgave 6.13</t>
  </si>
  <si>
    <t>20x3</t>
  </si>
  <si>
    <t>Driftsinntekter</t>
  </si>
  <si>
    <t>Varekostnader</t>
  </si>
  <si>
    <t>Avskrivninger</t>
  </si>
  <si>
    <t>Diverse kostnader</t>
  </si>
  <si>
    <t>Tap på fordringer</t>
  </si>
  <si>
    <t>Renteinntekter</t>
  </si>
  <si>
    <t>Verdiøkning aksjer</t>
  </si>
  <si>
    <t>Resultat før skatt</t>
  </si>
  <si>
    <t>Vertikal analyse</t>
  </si>
  <si>
    <t>Horisontal analyse (20x1 settes til 100 %)</t>
  </si>
  <si>
    <r>
      <t>Verdiøkning aksjer</t>
    </r>
    <r>
      <rPr>
        <vertAlign val="superscript"/>
        <sz val="11"/>
        <color theme="1"/>
        <rFont val="Times New Roman"/>
        <family val="1"/>
      </rPr>
      <t>1</t>
    </r>
  </si>
  <si>
    <t>Økt svinn</t>
  </si>
  <si>
    <t>En endring i produktsammensetningen i retning av salg av varer med lavere</t>
  </si>
  <si>
    <t>bruttofortjeneste</t>
  </si>
  <si>
    <t>En økning i innkjøpsprisene uten at selskapet har kunnet øke salgsprisene tilsvarende</t>
  </si>
  <si>
    <t>Lavere salgspriser, noe som gjør at varekostnadene øker i forhold til salgsinntektene.</t>
  </si>
  <si>
    <t>Ut fra økningen i omsetningen er det ikke mye som tyder på lavere salgspriser</t>
  </si>
  <si>
    <t>Løsning 6.14</t>
  </si>
  <si>
    <t>Handelsbedriften Hus og Hytte AS har presentert regnskapet for de siste</t>
  </si>
  <si>
    <t>Omsetning</t>
  </si>
  <si>
    <t>tre årene slik (alle beløp i hele tusen kroner):</t>
  </si>
  <si>
    <t>Vareforbruk</t>
  </si>
  <si>
    <t>Variabel lønn</t>
  </si>
  <si>
    <t>Dekningsbidrag</t>
  </si>
  <si>
    <t>Faste kostnader</t>
  </si>
  <si>
    <t>Diverse administrasjonskostnader</t>
  </si>
  <si>
    <t>Sum faste kostnader</t>
  </si>
  <si>
    <t>Resultat</t>
  </si>
  <si>
    <t>Dekningsgrad</t>
  </si>
  <si>
    <t>Nullpunktomsetning</t>
  </si>
  <si>
    <t>Sikkerhetsmargin</t>
  </si>
  <si>
    <t>Sikkerhetsmargin i prosent</t>
  </si>
  <si>
    <t>Annen driftsinntekt</t>
  </si>
  <si>
    <t>Finansinntekter</t>
  </si>
  <si>
    <t xml:space="preserve">Styrets forslag til disponering av </t>
  </si>
  <si>
    <t>årsresultatet:</t>
  </si>
  <si>
    <t>Avsatt utbytte</t>
  </si>
  <si>
    <t>Overføres til/fra annen egenkapital</t>
  </si>
  <si>
    <t>Variable kostnader</t>
  </si>
  <si>
    <t>Dekningsbidrag = bruttofortjeneste</t>
  </si>
  <si>
    <t>Vi merker oss at dekningsgraden har økt i forhold til 20x1. Det kan skyldes økning i</t>
  </si>
  <si>
    <t>utsalgsprisene eller reduserte innkjøpspriser. Grunnen kan også være at man i 20x2</t>
  </si>
  <si>
    <t>har solgt mer varer med høyere margin (dekningsbidrag per enhet).</t>
  </si>
  <si>
    <t xml:space="preserve">Omsetningen har økt med 640 000 kroner eller 0,9 %. Hvis vi forutsetter at </t>
  </si>
  <si>
    <t>prisstigningen i bransjer tilsvarer den generelle prisstigningen, betyr det at</t>
  </si>
  <si>
    <t>omsetningen i volum ikke har økt. Likevel ser vi at resultatet har hatt en</t>
  </si>
  <si>
    <t>brukbar økning.</t>
  </si>
  <si>
    <t>De faste kostnadene har økt med 149 000 kroner eller 0,8 %, altså litt mindre</t>
  </si>
  <si>
    <t>en omsetningsøkningen i prosent. Hvis vi setter 20x1 til 100 %, ser vi følgende</t>
  </si>
  <si>
    <t>utvikling i de faste kostnadene.</t>
  </si>
  <si>
    <t>Vi ser at lønn og sosiale kostnader har økt med relativt mer enn omsetningen, mens</t>
  </si>
  <si>
    <t>avskrivninger og andre driftskostnader har hatt en lavere relativ økning.</t>
  </si>
  <si>
    <t>Løsning oppgave 6.16</t>
  </si>
  <si>
    <t>Løsning oppgave 6.15</t>
  </si>
  <si>
    <t>Løsning oppgave 6.17</t>
  </si>
  <si>
    <t>Gjennomsnittlige eiendeler</t>
  </si>
  <si>
    <t>Salgsinntekter ekskl. mva.</t>
  </si>
  <si>
    <t>Årsoverskudd</t>
  </si>
  <si>
    <t>Totalkapitalens avkastning</t>
  </si>
  <si>
    <t>Totalkapitalens rentabilitet</t>
  </si>
  <si>
    <t>Gjennomsnittlig egenkapital: 12 000 – 7 500 =</t>
  </si>
  <si>
    <t>Egenkapitalens rentabilitet</t>
  </si>
  <si>
    <t>Gjennomsnittlig lånerente</t>
  </si>
  <si>
    <t>Når lånerenten er lavere enn totalkapitalrentabiliteten, vil dette føre til</t>
  </si>
  <si>
    <r>
      <t>at egenkapitalrentabiliteten er høyere enn R</t>
    </r>
    <r>
      <rPr>
        <vertAlign val="subscript"/>
        <sz val="11"/>
        <color theme="1"/>
        <rFont val="Times New Roman"/>
        <family val="1"/>
      </rPr>
      <t>TK</t>
    </r>
    <r>
      <rPr>
        <sz val="11"/>
        <color theme="1"/>
        <rFont val="Times New Roman"/>
        <family val="1"/>
      </rPr>
      <t>.</t>
    </r>
  </si>
  <si>
    <t>De midlene som lånes, koster oss i snitt 2 %. I bedriften vår gir de i snitt</t>
  </si>
  <si>
    <t>12,3 % avkastning. Det betyr at vi tjener drøye 10 % på de lånte midlene.</t>
  </si>
  <si>
    <t>Denne "fortjenesten" tilfaller eierne.</t>
  </si>
  <si>
    <t>Dersom gjennomsnittlig lånerente øker, vil det ikke automatisk føre</t>
  </si>
  <si>
    <t>til lavere totalkapitalrentabilitet. Hvis rentene øker fra 150 til 200,</t>
  </si>
  <si>
    <t>vil det redusere resultatet før skatt med 50 til 1 270. Totalkapitalens</t>
  </si>
  <si>
    <t>avkastning vil nemlig fremdeles bli 1 470.</t>
  </si>
  <si>
    <t>Samtidig kan det nok hende at en generell økning i rentenivået vil</t>
  </si>
  <si>
    <t>føre til en generell økning i kostnadsnivået i samfunnet. Da vil det</t>
  </si>
  <si>
    <t>på litt sikt ofte føre til økning i driftskostnadene (lønn, husleie, strøm etc.)</t>
  </si>
  <si>
    <t>Egenkapitalens rentabilitet vil imidlertid bli redusert fordi långiverne</t>
  </si>
  <si>
    <t>vil motta en større del av bedriftens verdiskapning (overskudd).</t>
  </si>
  <si>
    <t>Totalkapitalrentabiliteten er på det jevne. Avkastningen er høyere enn markedsrenten.</t>
  </si>
  <si>
    <t>Den er også høyere enn den lånerenten bedriften betaler i gjennomsnitt. Se</t>
  </si>
  <si>
    <t>spørsmål b. Når vi vurderer totalrentabiliteten, må vi dessuten ta hensyn til risikoen</t>
  </si>
  <si>
    <t>ved å drive næringsvirksomhet. Om 12,3 % er bra eller mindre bra, vil blant annet</t>
  </si>
  <si>
    <t>avhenge av den bransjen selskapet opererer i.</t>
  </si>
  <si>
    <t>Egenkapitalrentabiliteten forteller hvor mange prosent avkastning eierne oppnår på</t>
  </si>
  <si>
    <t>Løsning oppgave 6.18</t>
  </si>
  <si>
    <t>Beholdningsnedgang ferdige varer</t>
  </si>
  <si>
    <t>Råvarekostnad</t>
  </si>
  <si>
    <t>Lønnskostnad</t>
  </si>
  <si>
    <t>Nedskrivning</t>
  </si>
  <si>
    <t xml:space="preserve">Bygninger </t>
  </si>
  <si>
    <t xml:space="preserve">Maskiner </t>
  </si>
  <si>
    <t xml:space="preserve"> sjekke tekst</t>
  </si>
  <si>
    <t>Sammendrag av balanse per 31.12.</t>
  </si>
  <si>
    <t>20x0</t>
  </si>
  <si>
    <t>Totalkapitalrentabilitet</t>
  </si>
  <si>
    <t>Egenkapitalrentabilitet</t>
  </si>
  <si>
    <t>Egenkapitalens avkastning = resultat</t>
  </si>
  <si>
    <t>før skatt</t>
  </si>
  <si>
    <t>Selv om omsetningen har falt noe, ser vi at det ikke er noe å utsette på lønnsomheten.</t>
  </si>
  <si>
    <t>Totalkapitalens rentabilitet i 20x3 er på over 40 %, og det må sies å være veldig bra.</t>
  </si>
  <si>
    <t>Egenkapitalens rentabilitet virker nesten uvirkelig god. Regnskapstallene er</t>
  </si>
  <si>
    <t>imidlertid basert på reelle tall fra bransjen.</t>
  </si>
  <si>
    <t>La oss splitte totalrentabiliteten i</t>
  </si>
  <si>
    <t>1. resultatgrad og</t>
  </si>
  <si>
    <t>2. kapitalens omløpshastighet.</t>
  </si>
  <si>
    <t>På den måten kan vi si noe mer om utviklingen i lønnsomhet.</t>
  </si>
  <si>
    <t>Resultatgrad</t>
  </si>
  <si>
    <t>Kapitalens omløpshastighet</t>
  </si>
  <si>
    <t>Resultatgraden forteller at virksomheten i 20x3 sitter igjen med kr 8,70</t>
  </si>
  <si>
    <t>av hver 100 krone omsetning. I 20x2 var tallet kr 6,60. Dette betyr at</t>
  </si>
  <si>
    <t>marginen har økt fra 20x2.</t>
  </si>
  <si>
    <t>Fallet i kapitalens omløpshastighet skyldes svikt i omsetningen. Kapitalbindingen</t>
  </si>
  <si>
    <t>har i noen grad motvirket dette.</t>
  </si>
  <si>
    <t>En vertikal analyse vil si noe mer om årsaken til økning i resultatgrad</t>
  </si>
  <si>
    <t>lavere innkjøpspriser, bedre utnyttelse av råvarene, skifte av leverandør med mer.</t>
  </si>
  <si>
    <t>Vi ser videre at avskrivningene har falt både i kroner og relativt. Hva årsaken</t>
  </si>
  <si>
    <t>til dette er, er vanskelig å ha noen formening om. En mulig årsak er at driftsmidler</t>
  </si>
  <si>
    <t>er skiftet ut med driftsmidler med lengre levetid. Det kan skyldes at enkelte</t>
  </si>
  <si>
    <t>driftsmidler er avskrevet fullt ut per 31.12.20x2.</t>
  </si>
  <si>
    <t>Andre driftskostnader er en meget sammensatt størrelse. Vi ser at også denne</t>
  </si>
  <si>
    <t>er redusert relativt sett.</t>
  </si>
  <si>
    <t>Det er ganske bemerkelsesverdig at bedriften nesten ikke har rentekostnader.</t>
  </si>
  <si>
    <t>Som nevnt i oppgave 6.10 er dette en bevisst politikk fra ledelsens side.</t>
  </si>
  <si>
    <t>Bedriften har ikke banklån, men har valgt kortsiktig gjeld som finansieringskilde</t>
  </si>
  <si>
    <t>fordi denne finansieringsformen er gratis.</t>
  </si>
  <si>
    <t>Råvarekjøp inkl. mva.</t>
  </si>
  <si>
    <t xml:space="preserve">Salgsinntekter </t>
  </si>
  <si>
    <t>Salgsinntekter inkl. mva.</t>
  </si>
  <si>
    <t>Gjennomsnittlig råvarelager</t>
  </si>
  <si>
    <t>Likviditetsreserve:</t>
  </si>
  <si>
    <t>Ubenyttet kassekreditt</t>
  </si>
  <si>
    <t>Nøkkeltall likviditet</t>
  </si>
  <si>
    <t xml:space="preserve">Likviditetsgrad 1 </t>
  </si>
  <si>
    <t>Kortsiktig gjeld uten kassekreditt:</t>
  </si>
  <si>
    <t>Lagringstid råvarer</t>
  </si>
  <si>
    <t>Kredittid kunder</t>
  </si>
  <si>
    <t>Kredittid leverandører</t>
  </si>
  <si>
    <t>Likviditetsreserve i prosent av salg</t>
  </si>
  <si>
    <t>Arbeidskapital i prosent av salg</t>
  </si>
  <si>
    <t>Lønnsomhet</t>
  </si>
  <si>
    <t>Aktuelle regnskapstall</t>
  </si>
  <si>
    <t>Totalkapitalavkastning</t>
  </si>
  <si>
    <t>Egenkapitalavkastning</t>
  </si>
  <si>
    <t>som deles i:</t>
  </si>
  <si>
    <t>Salgsinntekter</t>
  </si>
  <si>
    <t>Totalkapitalens avkastning i kroner: 20 % av kr 15 000 000 =</t>
  </si>
  <si>
    <t>Totalkapitalens avkastning = resultat før skatt + rentekostnader</t>
  </si>
  <si>
    <t>Resultat før skatt: 3 000 000 – 180 000 =</t>
  </si>
  <si>
    <t>Egenkapitalrentabilitet: 2 820 000 i prosent av 6 000 000 =</t>
  </si>
  <si>
    <t>Egenkapital: 40 % av kr 15 000 000 =</t>
  </si>
  <si>
    <t>Løsning oppgave 6.20</t>
  </si>
  <si>
    <t>Løsning oppgave 6.19</t>
  </si>
  <si>
    <t>Rentekostnad</t>
  </si>
  <si>
    <t>Rentekostnadene har en klar økning, men i kroner betyr disse ganske lite.</t>
  </si>
  <si>
    <t>Vi ser at varekostnadene har falt fra 34,1 % i 20x1 til 31,8 % i 20x3. Dette kan skyldes</t>
  </si>
  <si>
    <t>Lønn og sosiale kostnader falt klart fra 20x1 til 20x2.</t>
  </si>
  <si>
    <t>Løsning oppgave 6.12</t>
  </si>
  <si>
    <t>Vi legger merke til at Rosanes Consulting AS har et overskudd før skatt på</t>
  </si>
  <si>
    <t>Kontantstrøm fra operasjonelle aktiviteter</t>
  </si>
  <si>
    <t>Kontantstrøm fra investeringsaktiviteter</t>
  </si>
  <si>
    <t>Kontantstrøm fra finansieringsaktiviteter</t>
  </si>
  <si>
    <t>Sammenfatning av oppstillingen:</t>
  </si>
  <si>
    <t>på kr 1 295 000. Kontanttilskuddet fra de operasjonelle aktivitetene er</t>
  </si>
  <si>
    <t>likevel bare kr 310 000.</t>
  </si>
  <si>
    <t>Den viktigste årsaken til dette er økning i varelager og kundefordringer</t>
  </si>
  <si>
    <t>på til sammen kr 1 000 000. I tillegg er leverandørgjelden redusert med</t>
  </si>
  <si>
    <t>netto kr 140 000.</t>
  </si>
  <si>
    <t>Selvfølgelig vil skatt påvirke kontantstrømmene negativt, her med kr 586 000.</t>
  </si>
  <si>
    <t>Avskrivninger på kr 900 000 er trukket fra ved beregningen av overskuddet</t>
  </si>
  <si>
    <t>på kr 1 295 000. Fordi avskrivninger ikke medfører utbetalinger, er disse</t>
  </si>
  <si>
    <t>lagt til.</t>
  </si>
  <si>
    <t>Bedriften har foretatt investeringer med i alt kr 2 330 000. Samtidig er det</t>
  </si>
  <si>
    <t>solgt driftsmidler for i alt kr 430 000. Netto betyr dette en netto utbetaling</t>
  </si>
  <si>
    <t>på kr 1 900 000. Dette er den viktigste grunnen til av vi har en netto</t>
  </si>
  <si>
    <t>nedgang i kontanter på kr 925 000.</t>
  </si>
  <si>
    <t>Bedriften har skaffet til veie kr 665 000 via finansieringsaktivitetene.</t>
  </si>
  <si>
    <t>Dette skyldes hovedsakelig opptak av ny langsiktig gjeld. Dette</t>
  </si>
  <si>
    <t>har etter all sannsynlighet sammenheng med investeringene som</t>
  </si>
  <si>
    <t>selskapet har foretatt i år.</t>
  </si>
  <si>
    <t>Løsning oppgave 6.11</t>
  </si>
  <si>
    <t>Netto endring i kontanter/bankinnskudd</t>
  </si>
  <si>
    <t>Overskudd før skatt er på kr 64 000. Når kontantstrømmen fra de</t>
  </si>
  <si>
    <t>operasjonelle aktivitetene er på kr 324 000, skyldes det blant annet en økning</t>
  </si>
  <si>
    <t>i leverandørgjelden på kr 199 000. Årets avskrivninger er på kr 375 000.</t>
  </si>
  <si>
    <t>Avskrivninger er en kostnad som i motsetning til øvrige kostnader, ikke</t>
  </si>
  <si>
    <t>fører til noen utbetaling. Dermed er disse lagt til i oppstillingen.</t>
  </si>
  <si>
    <t>Utbetaling av skatt samt økning i varelager og kundefordringer på</t>
  </si>
  <si>
    <t>i alt kr 316 000, har påvirket kontantstrømmene negativt.</t>
  </si>
  <si>
    <t>Heddas Marked AS har investert i alt kr 225 000 siste år. Kr 43 000</t>
  </si>
  <si>
    <t>av dette er dekket inn ved salg av driftsmidler. Det betyr at investeringene</t>
  </si>
  <si>
    <t>netto har medført en netto utbetaling med kr 182 000.</t>
  </si>
  <si>
    <t>Vi legger merke til at de operasjonelle aktivitetene er høyere. Det er bra.</t>
  </si>
  <si>
    <t>Også finansieringsaktivitetene bidrar positivt i år. Årsaken er ganske entydig;</t>
  </si>
  <si>
    <t xml:space="preserve">nemlig at selskapet har foretatt en kontantemisjon (utvidelse av </t>
  </si>
  <si>
    <t>aksjekapitalen ved kontant innbetaling) på kr 400 000. På den måten</t>
  </si>
  <si>
    <t>tilføres selskapet friske penger og ny egenkapital.</t>
  </si>
  <si>
    <t>På denne måten har bedriften styrket likviditetsreserven med</t>
  </si>
  <si>
    <t>over en kvart million kroner siste år.</t>
  </si>
  <si>
    <t>Løsning oppgave 6.1</t>
  </si>
  <si>
    <t>Overkurs</t>
  </si>
  <si>
    <t xml:space="preserve">Løsning oppgave 6.9 </t>
  </si>
  <si>
    <t>Dekningsgraden steg litt fra 20x1 til 20x2, men falt ganske klart i 20x3. Grunnen</t>
  </si>
  <si>
    <t>til disse endringene er varekostnaden. Dette kan skyldes økte innkjøpspriser,</t>
  </si>
  <si>
    <t xml:space="preserve">økt svinn, mer ukurans etc. </t>
  </si>
  <si>
    <t>Når dekningsgraden faller kan det skyldes at sammensetningen av salget har</t>
  </si>
  <si>
    <t>gått i retning av varer med lavere marginer (avanse).</t>
  </si>
  <si>
    <t>Når lønnsomheten likevel har bedret seg, må dette skyldes de faste kostnadene.</t>
  </si>
  <si>
    <t>I dette tilfellet ser vi at administrasjonskostnadene har falt relativt sett. I 20x1</t>
  </si>
  <si>
    <t>kr 34,20 av hver 100 krone salg.</t>
  </si>
  <si>
    <t>utgjorde de 38 kroner av hver 100 krone salg, men de 2 år senere bare utgjør</t>
  </si>
  <si>
    <t>For å komme videre må vi kjenne til sammensetningen av adminitrasjonskostnadene.</t>
  </si>
  <si>
    <t>Siden det dreier seg om en handelsbedrift, er det grunn til å anta at lønn og sosiale</t>
  </si>
  <si>
    <t xml:space="preserve">kostnader utgjør en betydelig del av administrasjonskostnadene. </t>
  </si>
  <si>
    <t>Vi legger til slutt merke til at avskrivningene har økt relativt sett. Det tyder på</t>
  </si>
  <si>
    <t>at bedriften har foretatt investeringer i varige driftsmidler.</t>
  </si>
  <si>
    <t>29,3 % før skatt på sine kapitalinnskudd.</t>
  </si>
  <si>
    <t>den kapitalen de har skutt inn i selskapet. Det betyr at i vår bedrift "tjener" eierne</t>
  </si>
  <si>
    <t>Egenkapitalen har økt fra 29,4 % til 33,2 % i 20x2. Egenkapitalen har økt</t>
  </si>
  <si>
    <t>med 550. Dette skyldes at bedriften har gått med overskudd siste år.</t>
  </si>
  <si>
    <t>En egenkapitalandel på 33 % er tilfredsstillende, men heller ikke mer.</t>
  </si>
  <si>
    <t>Vi ser videre at arbeidskapitalen var negativ ved inngangen til 20x2. Det</t>
  </si>
  <si>
    <t>betyr at en del av anleggsmidlene var finansiert med kortsiktig gjeld. Dette er</t>
  </si>
  <si>
    <t>ikke bra. Arbeidskapitalen ved årets utgang er positiv. Men en arbeidskapital</t>
  </si>
  <si>
    <t>Det går an å sette et spørsmålstegn ved avsetningen av utbytte på 1 000 000.</t>
  </si>
  <si>
    <t>på 35 000 kroner virker ikke betryggende. Vi ser da også at arbeidskapitalen</t>
  </si>
  <si>
    <t>utgjør bare 1,9 % av varebeholdningene. Det heter seg at minst 50 % av</t>
  </si>
  <si>
    <t>varebeholdningene burde vært finansiert med langsiktig kapital.</t>
  </si>
  <si>
    <t>Både finansieringsgrad 1 og 2 har bedret seg, men oppfyller så vidt "normene".</t>
  </si>
  <si>
    <t>Alle bedriftermed positiv arbeidskapital vil oppfylle minstekravene.</t>
  </si>
  <si>
    <t>Likviditetsgrad 1 skal være minst 2 heter det seg. Dette er nok et krav som</t>
  </si>
  <si>
    <t>er i overkant av hva man kan forvente. 1,01 er imidlertid meget lavt. Det virker som</t>
  </si>
  <si>
    <t>bedriften har finansiert med for mye kortsiktig gjeld. En del av den kortsiktige</t>
  </si>
  <si>
    <t>gjelder består av kassekreditt, en kredittform som i praksis ofte vil være av</t>
  </si>
  <si>
    <t>mer langsiktig karakter. Dersom vi holder kassekreditt utenom den kortsiktige</t>
  </si>
  <si>
    <t>gjelden, ser vi at likviditetsgrad 1 er på 1,13 og likviditetsgrad 2 er 0,75.</t>
  </si>
  <si>
    <t>Arbeidskapitalen bør ligge på bortimot 10 % av omsetningen. Her ligger den</t>
  </si>
  <si>
    <t>på 0,12 %, noe som er meget lavt.</t>
  </si>
  <si>
    <t>Likviditetsreserven utgjør 6,9 % av salget. 2 % regnes i praksis som svakt, mens</t>
  </si>
  <si>
    <t>10 % regnes som meget godt. Vi kan nok da si at dette nøkkeltallet virker</t>
  </si>
  <si>
    <r>
      <t xml:space="preserve">ganske brukbart. Det betyr at bedriften kan klare seg i 3 </t>
    </r>
    <r>
      <rPr>
        <sz val="12"/>
        <rFont val="Calibri"/>
        <family val="2"/>
      </rPr>
      <t>½</t>
    </r>
    <r>
      <rPr>
        <sz val="12"/>
        <rFont val="Times New Roman"/>
        <family val="1"/>
      </rPr>
      <t xml:space="preserve"> uke uten å motta</t>
    </r>
  </si>
  <si>
    <t>innbetalinger fra kundene. Grunnen til at dette nøkkeltallet blir så pass</t>
  </si>
  <si>
    <t>positivt, er at selskapet har en ubenyttet kassekreditt på over 900 000 kroner.</t>
  </si>
  <si>
    <t>Lagringstiden for råvarene har gått ned. Det er postivt for likviditeten.</t>
  </si>
  <si>
    <t>Det er imidlertid negativt for likviditeten at gjennomsnittlig kredittid til</t>
  </si>
  <si>
    <t>kundene har økt fra 21 til 25. Det er også negativt at kredittiden til</t>
  </si>
  <si>
    <t>leverandørene har falt med 2 dager. For likviditeten ville det vært en fordel</t>
  </si>
  <si>
    <t>dersom kredittiden til kundene hadde vært kortere enn kredittiden til</t>
  </si>
  <si>
    <t>leverandørene.</t>
  </si>
  <si>
    <t>En totalrentabiliteten på 15,8 % forteller oss at bedriften har oppnådd kr 15,80</t>
  </si>
  <si>
    <t>i avkastning på hver 100 krone som er investert i virksomheten.</t>
  </si>
  <si>
    <t>Dette nøkkeltallet må vurderes ut fra en risikofri rente og risikoen ved</t>
  </si>
  <si>
    <t>å drive næringsvirksomhet sammenliget med å ha pengene på et trygt sted,</t>
  </si>
  <si>
    <t>for eksempel i banken eller i obligasjoner. Dessuten vil risikoen være avhengig</t>
  </si>
  <si>
    <t>av bransjen. Dette vet vi ikke noe om. 15,8 % virker imidlertid som en</t>
  </si>
  <si>
    <t>grei avkastning.</t>
  </si>
  <si>
    <t>Får å si noe mer om lønnsomheten ville det vært en stor fordel om vi fikk se</t>
  </si>
  <si>
    <t>regnskapene for de siste årene.</t>
  </si>
  <si>
    <t>At egenkapitalrentabiliteten ligger så høyt som 45,1 % skyldes at rentekostnadene</t>
  </si>
  <si>
    <t>ligger på et ganske beskjedent nivå.</t>
  </si>
  <si>
    <t>Gjennomsnittlig gjeld kan beregnes slik: (11 630 + 12 580) : 2 =</t>
  </si>
  <si>
    <t>Rentekostnader i prosent: 300 i prosent av 12 105 =</t>
  </si>
  <si>
    <t>Dette er vesentlig lavere enn totalkapitalens rentabilitet, og derfor blir</t>
  </si>
  <si>
    <t>egenkapitalrentabiliteten ganske høy sammenlignet med 15,8 %.</t>
  </si>
  <si>
    <t>Dersom avskrivningene reduseres med 100 vil avkastningen øke tilsvarende.</t>
  </si>
  <si>
    <t>Hvis ferdigvarebeholdningen skal vurderes 150 høyere, vil avkastningen</t>
  </si>
  <si>
    <t>øke med det samme beløpet. Det betyr at totalkapitalavkastningen vil øke</t>
  </si>
  <si>
    <t>fra 2 790 til 3 040.</t>
  </si>
  <si>
    <t>Samtidig vil gjennomsnittlig totalkapital øke med 250 : 2 = 125 til</t>
  </si>
  <si>
    <t xml:space="preserve">17 745. </t>
  </si>
  <si>
    <t>Totalkapitalens rentabilitet vil øke til litt over 17 %.</t>
  </si>
  <si>
    <t>Det er tilstrekkelig at man bare forklarer dette med ord.</t>
  </si>
  <si>
    <t>i hele tusen kroner</t>
  </si>
  <si>
    <t>i prosent</t>
  </si>
  <si>
    <t>Mer utfyllende kommentarer</t>
  </si>
  <si>
    <t>Overføres til annen egenkapital</t>
  </si>
  <si>
    <t>Da kan vi regne ut resultat før skatt slik:</t>
  </si>
  <si>
    <t>Vi starter nederst i denne oppstillingen, altså med resultat før skatt på</t>
  </si>
  <si>
    <t>kr 2 820 000. Så regner vi oss oppover ved å sette inn finansinntekter</t>
  </si>
  <si>
    <t>og rentekostnader. Netto finansposter er minus 170 000 kroner.</t>
  </si>
  <si>
    <t>Da må driftsresultatet bli 2 820 000 + 170 000 = 2 990 000.</t>
  </si>
  <si>
    <t>Styrets forslag til disponering av årsresultatet:</t>
  </si>
  <si>
    <r>
      <t xml:space="preserve">Arbeidskapital = omløpsmidler – kortsiktig gjeld = 4 800 – 3 400 = </t>
    </r>
    <r>
      <rPr>
        <u/>
        <sz val="12"/>
        <color theme="1"/>
        <rFont val="Times New Roman"/>
        <family val="1"/>
      </rPr>
      <t>1 400</t>
    </r>
  </si>
  <si>
    <t>I prosent av varebeholdningen: 1 400 i prosent av 1 600 = 87,5 %</t>
  </si>
  <si>
    <t>Finansieringsgrad 1 = Anleggsmidler : Langsiktig kapital =3 200 : (2 800 + 1 800) =</t>
  </si>
  <si>
    <t>Finansieringsgrad 2 = Omløpsmidler : Kortsiktig gjeld = 4 800 : 3 400 =</t>
  </si>
  <si>
    <t>Gjeldsgrad = Gjeld : Egenkapital = (1 800 + 3 400) : 2 800 =</t>
  </si>
  <si>
    <t>Egenkapitalen utgjør 35 % av totalkapitalen. Dette virker tilfredsstillende.</t>
  </si>
  <si>
    <t>arbeidskapitalen87,5 % av varebeholdningen. Det betyr at 87,5 % av varebeholdningen er finansiert med langsiktig kapital noe som</t>
  </si>
  <si>
    <t>Gjeldsgraden forteller at bedriften skylder kr 1,86 for hver krone egenkapital. Dette nøkkeltallen forteller det samme som</t>
  </si>
  <si>
    <t>egenkapitalprosenten. Enhver bedrift som har en egenkapitalandel på 35 %, vil ha en gjeldsgrad på 1,86.</t>
  </si>
  <si>
    <t>Prosentbalanse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</si>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</sst>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name val="Arial"/>
      <family val="2"/>
    </font>
    <font>
      <sz val="12"/>
      <name val="Times New Roman"/>
      <family val="1"/>
    </font>
    <font>
      <u/>
      <sz val="12"/>
      <color theme="1"/>
      <name val="Times New Roman"/>
      <family val="1"/>
    </font>
    <font>
      <sz val="5"/>
      <color theme="1"/>
      <name val="Times New Roman"/>
      <family val="1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sz val="16"/>
      <name val="Times New Roman"/>
      <family val="1"/>
    </font>
    <font>
      <sz val="5"/>
      <name val="Times New Roman"/>
      <family val="1"/>
    </font>
    <font>
      <sz val="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6"/>
      <name val="Arial"/>
      <family val="2"/>
    </font>
    <font>
      <sz val="8"/>
      <name val="Times New Roman"/>
      <family val="1"/>
    </font>
    <font>
      <sz val="11"/>
      <name val="Arial"/>
      <family val="2"/>
    </font>
    <font>
      <b/>
      <i/>
      <sz val="5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i/>
      <sz val="12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vertAlign val="superscript"/>
      <sz val="11"/>
      <color theme="1"/>
      <name val="Times New Roman"/>
      <family val="1"/>
    </font>
    <font>
      <i/>
      <sz val="11"/>
      <color theme="1"/>
      <name val="Times New Roman"/>
      <family val="1"/>
    </font>
    <font>
      <i/>
      <sz val="11"/>
      <name val="Times New Roman"/>
      <family val="1"/>
    </font>
    <font>
      <vertAlign val="subscript"/>
      <sz val="11"/>
      <color theme="1"/>
      <name val="Times New Roman"/>
      <family val="1"/>
    </font>
    <font>
      <sz val="18"/>
      <name val="Times New Roman"/>
      <family val="1"/>
    </font>
    <font>
      <sz val="4"/>
      <name val="Times New Roman"/>
      <family val="1"/>
    </font>
    <font>
      <sz val="4"/>
      <name val="Arial"/>
      <family val="2"/>
    </font>
    <font>
      <b/>
      <i/>
      <sz val="12"/>
      <name val="Times New Roman"/>
      <family val="1"/>
    </font>
    <font>
      <sz val="11"/>
      <color theme="0"/>
      <name val="Times New Roman"/>
      <family val="1"/>
    </font>
    <font>
      <sz val="12"/>
      <name val="Calibri"/>
      <family val="2"/>
    </font>
    <font>
      <sz val="12"/>
      <color rgb="FFFF0000"/>
      <name val="Times New Roman"/>
      <family val="1"/>
    </font>
    <font>
      <b/>
      <sz val="11"/>
      <color rgb="FFFF0000"/>
      <name val="Times New Roman"/>
      <family val="1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3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9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99FF66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6" fillId="0" borderId="0"/>
    <xf numFmtId="9" fontId="6" fillId="0" borderId="0" applyFont="0" applyFill="0" applyBorder="0" applyAlignment="0" applyProtection="0"/>
  </cellStyleXfs>
  <cellXfs count="234">
    <xf numFmtId="0" fontId="0" fillId="0" borderId="0" xfId="0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3" fontId="3" fillId="0" borderId="1" xfId="0" applyNumberFormat="1" applyFont="1" applyBorder="1"/>
    <xf numFmtId="0" fontId="4" fillId="0" borderId="0" xfId="0" applyFont="1"/>
    <xf numFmtId="3" fontId="3" fillId="0" borderId="2" xfId="0" applyNumberFormat="1" applyFont="1" applyBorder="1"/>
    <xf numFmtId="0" fontId="5" fillId="0" borderId="0" xfId="0" applyFont="1"/>
    <xf numFmtId="164" fontId="3" fillId="0" borderId="0" xfId="1" applyNumberFormat="1" applyFont="1"/>
    <xf numFmtId="164" fontId="3" fillId="0" borderId="2" xfId="1" applyNumberFormat="1" applyFont="1" applyBorder="1"/>
    <xf numFmtId="0" fontId="7" fillId="0" borderId="3" xfId="2" applyFont="1" applyBorder="1"/>
    <xf numFmtId="0" fontId="7" fillId="0" borderId="5" xfId="2" applyFont="1" applyBorder="1"/>
    <xf numFmtId="3" fontId="7" fillId="0" borderId="4" xfId="2" applyNumberFormat="1" applyFont="1" applyFill="1" applyBorder="1" applyAlignment="1">
      <alignment horizontal="center"/>
    </xf>
    <xf numFmtId="3" fontId="7" fillId="0" borderId="4" xfId="2" applyNumberFormat="1" applyFont="1" applyBorder="1"/>
    <xf numFmtId="3" fontId="7" fillId="0" borderId="4" xfId="2" applyNumberFormat="1" applyFont="1" applyFill="1" applyBorder="1"/>
    <xf numFmtId="164" fontId="7" fillId="0" borderId="4" xfId="3" applyNumberFormat="1" applyFont="1" applyFill="1" applyBorder="1"/>
    <xf numFmtId="3" fontId="7" fillId="0" borderId="7" xfId="2" applyNumberFormat="1" applyFont="1" applyBorder="1"/>
    <xf numFmtId="3" fontId="7" fillId="0" borderId="3" xfId="2" applyNumberFormat="1" applyFont="1" applyBorder="1"/>
    <xf numFmtId="3" fontId="7" fillId="0" borderId="8" xfId="2" applyNumberFormat="1" applyFont="1" applyFill="1" applyBorder="1"/>
    <xf numFmtId="164" fontId="7" fillId="0" borderId="8" xfId="3" applyNumberFormat="1" applyFont="1" applyFill="1" applyBorder="1"/>
    <xf numFmtId="3" fontId="7" fillId="0" borderId="9" xfId="2" applyNumberFormat="1" applyFont="1" applyBorder="1"/>
    <xf numFmtId="3" fontId="7" fillId="0" borderId="9" xfId="2" applyNumberFormat="1" applyFont="1" applyFill="1" applyBorder="1"/>
    <xf numFmtId="164" fontId="7" fillId="0" borderId="9" xfId="3" applyNumberFormat="1" applyFont="1" applyFill="1" applyBorder="1"/>
    <xf numFmtId="2" fontId="3" fillId="0" borderId="1" xfId="0" applyNumberFormat="1" applyFont="1" applyBorder="1"/>
    <xf numFmtId="0" fontId="9" fillId="0" borderId="0" xfId="0" applyFont="1"/>
    <xf numFmtId="3" fontId="9" fillId="0" borderId="0" xfId="0" applyNumberFormat="1" applyFont="1"/>
    <xf numFmtId="0" fontId="10" fillId="0" borderId="0" xfId="0" applyFont="1"/>
    <xf numFmtId="3" fontId="10" fillId="0" borderId="0" xfId="0" applyNumberFormat="1" applyFont="1"/>
    <xf numFmtId="0" fontId="11" fillId="0" borderId="0" xfId="0" applyFont="1"/>
    <xf numFmtId="3" fontId="11" fillId="0" borderId="0" xfId="0" applyNumberFormat="1" applyFont="1"/>
    <xf numFmtId="4" fontId="3" fillId="0" borderId="0" xfId="0" applyNumberFormat="1" applyFont="1"/>
    <xf numFmtId="0" fontId="12" fillId="0" borderId="0" xfId="2" applyFont="1"/>
    <xf numFmtId="0" fontId="12" fillId="0" borderId="0" xfId="2" applyFont="1" applyBorder="1"/>
    <xf numFmtId="0" fontId="6" fillId="0" borderId="0" xfId="2"/>
    <xf numFmtId="0" fontId="13" fillId="0" borderId="0" xfId="2" applyFont="1" applyBorder="1"/>
    <xf numFmtId="3" fontId="13" fillId="0" borderId="0" xfId="2" applyNumberFormat="1" applyFont="1" applyBorder="1"/>
    <xf numFmtId="0" fontId="14" fillId="0" borderId="0" xfId="2" applyFont="1"/>
    <xf numFmtId="0" fontId="15" fillId="0" borderId="0" xfId="2" applyFont="1" applyBorder="1"/>
    <xf numFmtId="0" fontId="16" fillId="0" borderId="0" xfId="2" applyFont="1" applyBorder="1"/>
    <xf numFmtId="3" fontId="15" fillId="0" borderId="0" xfId="2" applyNumberFormat="1" applyFont="1" applyBorder="1"/>
    <xf numFmtId="3" fontId="15" fillId="0" borderId="10" xfId="2" applyNumberFormat="1" applyFont="1" applyBorder="1"/>
    <xf numFmtId="0" fontId="17" fillId="0" borderId="0" xfId="2" applyFont="1" applyBorder="1"/>
    <xf numFmtId="3" fontId="15" fillId="0" borderId="2" xfId="2" applyNumberFormat="1" applyFont="1" applyBorder="1"/>
    <xf numFmtId="0" fontId="18" fillId="0" borderId="0" xfId="2" applyFont="1"/>
    <xf numFmtId="0" fontId="19" fillId="0" borderId="0" xfId="2" applyFont="1" applyBorder="1"/>
    <xf numFmtId="3" fontId="19" fillId="0" borderId="0" xfId="2" applyNumberFormat="1" applyFont="1" applyBorder="1"/>
    <xf numFmtId="0" fontId="20" fillId="0" borderId="0" xfId="2" applyFont="1"/>
    <xf numFmtId="0" fontId="21" fillId="0" borderId="0" xfId="2" applyFont="1" applyBorder="1"/>
    <xf numFmtId="3" fontId="13" fillId="0" borderId="11" xfId="2" applyNumberFormat="1" applyFont="1" applyBorder="1"/>
    <xf numFmtId="0" fontId="15" fillId="0" borderId="0" xfId="2" applyFont="1"/>
    <xf numFmtId="0" fontId="7" fillId="0" borderId="0" xfId="2" applyFont="1"/>
    <xf numFmtId="0" fontId="7" fillId="0" borderId="0" xfId="2" applyFont="1" applyBorder="1"/>
    <xf numFmtId="3" fontId="7" fillId="0" borderId="0" xfId="2" applyNumberFormat="1" applyFont="1" applyBorder="1"/>
    <xf numFmtId="0" fontId="22" fillId="0" borderId="0" xfId="2" applyFont="1"/>
    <xf numFmtId="0" fontId="23" fillId="0" borderId="0" xfId="2" applyFont="1"/>
    <xf numFmtId="0" fontId="24" fillId="0" borderId="0" xfId="2" applyFont="1"/>
    <xf numFmtId="0" fontId="23" fillId="0" borderId="0" xfId="2" applyFont="1" applyAlignment="1">
      <alignment horizontal="left"/>
    </xf>
    <xf numFmtId="3" fontId="23" fillId="0" borderId="0" xfId="2" applyNumberFormat="1" applyFont="1" applyBorder="1" applyAlignment="1">
      <alignment horizontal="center"/>
    </xf>
    <xf numFmtId="3" fontId="7" fillId="0" borderId="1" xfId="2" applyNumberFormat="1" applyFont="1" applyBorder="1"/>
    <xf numFmtId="164" fontId="7" fillId="0" borderId="0" xfId="1" applyNumberFormat="1" applyFont="1"/>
    <xf numFmtId="3" fontId="7" fillId="0" borderId="0" xfId="2" applyNumberFormat="1" applyFont="1"/>
    <xf numFmtId="2" fontId="7" fillId="0" borderId="0" xfId="2" applyNumberFormat="1" applyFont="1"/>
    <xf numFmtId="0" fontId="23" fillId="0" borderId="5" xfId="2" applyFont="1" applyBorder="1"/>
    <xf numFmtId="0" fontId="23" fillId="0" borderId="0" xfId="2" applyFont="1" applyBorder="1"/>
    <xf numFmtId="3" fontId="15" fillId="0" borderId="1" xfId="2" applyNumberFormat="1" applyFont="1" applyBorder="1"/>
    <xf numFmtId="3" fontId="3" fillId="0" borderId="11" xfId="0" applyNumberFormat="1" applyFont="1" applyBorder="1"/>
    <xf numFmtId="2" fontId="3" fillId="0" borderId="2" xfId="0" applyNumberFormat="1" applyFont="1" applyBorder="1"/>
    <xf numFmtId="1" fontId="3" fillId="0" borderId="1" xfId="0" applyNumberFormat="1" applyFont="1" applyBorder="1"/>
    <xf numFmtId="0" fontId="3" fillId="0" borderId="1" xfId="0" applyFont="1" applyBorder="1"/>
    <xf numFmtId="0" fontId="3" fillId="0" borderId="0" xfId="0" quotePrefix="1" applyFont="1" applyAlignment="1">
      <alignment horizontal="right"/>
    </xf>
    <xf numFmtId="3" fontId="5" fillId="0" borderId="0" xfId="0" applyNumberFormat="1" applyFont="1" applyAlignment="1">
      <alignment horizontal="center"/>
    </xf>
    <xf numFmtId="3" fontId="15" fillId="0" borderId="12" xfId="2" applyNumberFormat="1" applyFont="1" applyBorder="1"/>
    <xf numFmtId="3" fontId="15" fillId="0" borderId="0" xfId="2" applyNumberFormat="1" applyFont="1"/>
    <xf numFmtId="0" fontId="6" fillId="0" borderId="0" xfId="2" applyBorder="1"/>
    <xf numFmtId="0" fontId="16" fillId="0" borderId="0" xfId="2" applyFont="1"/>
    <xf numFmtId="0" fontId="16" fillId="0" borderId="0" xfId="2" applyFont="1" applyAlignment="1">
      <alignment horizontal="center"/>
    </xf>
    <xf numFmtId="0" fontId="16" fillId="0" borderId="0" xfId="2" applyFont="1" applyBorder="1" applyAlignment="1">
      <alignment horizontal="center"/>
    </xf>
    <xf numFmtId="0" fontId="16" fillId="0" borderId="0" xfId="2" applyFont="1" applyAlignment="1"/>
    <xf numFmtId="0" fontId="16" fillId="0" borderId="0" xfId="2" applyFont="1" applyBorder="1" applyAlignment="1"/>
    <xf numFmtId="3" fontId="6" fillId="0" borderId="0" xfId="2" applyNumberFormat="1"/>
    <xf numFmtId="164" fontId="15" fillId="0" borderId="0" xfId="1" applyNumberFormat="1" applyFont="1"/>
    <xf numFmtId="2" fontId="15" fillId="0" borderId="0" xfId="2" applyNumberFormat="1" applyFont="1"/>
    <xf numFmtId="1" fontId="15" fillId="0" borderId="0" xfId="2" applyNumberFormat="1" applyFont="1"/>
    <xf numFmtId="0" fontId="26" fillId="0" borderId="0" xfId="0" applyFont="1"/>
    <xf numFmtId="3" fontId="0" fillId="0" borderId="0" xfId="0" applyNumberFormat="1" applyAlignment="1">
      <alignment vertical="center" wrapText="1"/>
    </xf>
    <xf numFmtId="3" fontId="15" fillId="0" borderId="0" xfId="2" applyNumberFormat="1" applyFont="1" applyFill="1" applyBorder="1"/>
    <xf numFmtId="1" fontId="15" fillId="0" borderId="0" xfId="2" applyNumberFormat="1" applyFont="1" applyFill="1"/>
    <xf numFmtId="3" fontId="15" fillId="0" borderId="0" xfId="2" applyNumberFormat="1" applyFont="1" applyBorder="1" applyAlignment="1">
      <alignment horizontal="center"/>
    </xf>
    <xf numFmtId="0" fontId="19" fillId="0" borderId="0" xfId="2" applyFont="1"/>
    <xf numFmtId="0" fontId="13" fillId="0" borderId="0" xfId="2" applyFont="1"/>
    <xf numFmtId="3" fontId="16" fillId="0" borderId="0" xfId="2" applyNumberFormat="1" applyFont="1" applyBorder="1" applyAlignment="1">
      <alignment horizontal="center"/>
    </xf>
    <xf numFmtId="3" fontId="23" fillId="0" borderId="0" xfId="2" applyNumberFormat="1" applyFont="1"/>
    <xf numFmtId="3" fontId="19" fillId="0" borderId="11" xfId="2" applyNumberFormat="1" applyFont="1" applyBorder="1"/>
    <xf numFmtId="10" fontId="15" fillId="0" borderId="0" xfId="1" applyNumberFormat="1" applyFont="1"/>
    <xf numFmtId="164" fontId="15" fillId="0" borderId="1" xfId="1" applyNumberFormat="1" applyFont="1" applyBorder="1"/>
    <xf numFmtId="2" fontId="15" fillId="0" borderId="1" xfId="2" applyNumberFormat="1" applyFont="1" applyBorder="1"/>
    <xf numFmtId="0" fontId="15" fillId="0" borderId="0" xfId="2" quotePrefix="1" applyFont="1" applyAlignment="1">
      <alignment horizontal="right"/>
    </xf>
    <xf numFmtId="0" fontId="15" fillId="0" borderId="0" xfId="2" applyFont="1" applyAlignment="1">
      <alignment horizontal="right"/>
    </xf>
    <xf numFmtId="9" fontId="15" fillId="0" borderId="1" xfId="1" applyNumberFormat="1" applyFont="1" applyBorder="1"/>
    <xf numFmtId="0" fontId="27" fillId="0" borderId="0" xfId="0" applyFont="1"/>
    <xf numFmtId="3" fontId="26" fillId="0" borderId="0" xfId="0" applyNumberFormat="1" applyFont="1"/>
    <xf numFmtId="3" fontId="27" fillId="0" borderId="0" xfId="0" applyNumberFormat="1" applyFont="1" applyAlignment="1">
      <alignment horizontal="center"/>
    </xf>
    <xf numFmtId="3" fontId="26" fillId="0" borderId="1" xfId="0" applyNumberFormat="1" applyFont="1" applyBorder="1"/>
    <xf numFmtId="164" fontId="26" fillId="0" borderId="0" xfId="1" applyNumberFormat="1" applyFont="1"/>
    <xf numFmtId="3" fontId="26" fillId="0" borderId="2" xfId="0" applyNumberFormat="1" applyFont="1" applyBorder="1"/>
    <xf numFmtId="10" fontId="26" fillId="0" borderId="0" xfId="1" applyNumberFormat="1" applyFont="1"/>
    <xf numFmtId="164" fontId="26" fillId="0" borderId="2" xfId="1" applyNumberFormat="1" applyFont="1" applyBorder="1"/>
    <xf numFmtId="10" fontId="26" fillId="0" borderId="2" xfId="1" applyNumberFormat="1" applyFont="1" applyBorder="1"/>
    <xf numFmtId="164" fontId="26" fillId="0" borderId="1" xfId="1" applyNumberFormat="1" applyFont="1" applyBorder="1"/>
    <xf numFmtId="164" fontId="26" fillId="0" borderId="0" xfId="1" applyNumberFormat="1" applyFont="1" applyBorder="1"/>
    <xf numFmtId="0" fontId="26" fillId="0" borderId="0" xfId="0" applyFont="1" applyAlignment="1">
      <alignment horizontal="right"/>
    </xf>
    <xf numFmtId="0" fontId="26" fillId="0" borderId="0" xfId="0" quotePrefix="1" applyFont="1" applyAlignment="1">
      <alignment horizontal="right"/>
    </xf>
    <xf numFmtId="0" fontId="29" fillId="0" borderId="0" xfId="0" applyFont="1"/>
    <xf numFmtId="3" fontId="27" fillId="0" borderId="0" xfId="0" applyNumberFormat="1" applyFont="1"/>
    <xf numFmtId="3" fontId="27" fillId="0" borderId="4" xfId="0" applyNumberFormat="1" applyFont="1" applyBorder="1" applyAlignment="1">
      <alignment horizontal="center"/>
    </xf>
    <xf numFmtId="0" fontId="26" fillId="0" borderId="3" xfId="0" applyFont="1" applyBorder="1"/>
    <xf numFmtId="0" fontId="26" fillId="0" borderId="5" xfId="0" applyFont="1" applyBorder="1"/>
    <xf numFmtId="0" fontId="26" fillId="0" borderId="11" xfId="0" applyFont="1" applyBorder="1"/>
    <xf numFmtId="0" fontId="26" fillId="0" borderId="1" xfId="0" applyFont="1" applyBorder="1"/>
    <xf numFmtId="0" fontId="26" fillId="0" borderId="13" xfId="0" applyFont="1" applyBorder="1" applyAlignment="1">
      <alignment horizontal="right"/>
    </xf>
    <xf numFmtId="0" fontId="26" fillId="0" borderId="0" xfId="0" applyFont="1" applyBorder="1"/>
    <xf numFmtId="0" fontId="26" fillId="0" borderId="13" xfId="0" quotePrefix="1" applyFont="1" applyBorder="1" applyAlignment="1">
      <alignment horizontal="right"/>
    </xf>
    <xf numFmtId="0" fontId="26" fillId="0" borderId="13" xfId="0" applyFont="1" applyBorder="1"/>
    <xf numFmtId="0" fontId="29" fillId="0" borderId="0" xfId="0" applyFont="1" applyBorder="1"/>
    <xf numFmtId="3" fontId="26" fillId="0" borderId="14" xfId="0" applyNumberFormat="1" applyFont="1" applyBorder="1"/>
    <xf numFmtId="164" fontId="26" fillId="0" borderId="14" xfId="1" applyNumberFormat="1" applyFont="1" applyBorder="1"/>
    <xf numFmtId="3" fontId="26" fillId="0" borderId="4" xfId="0" applyNumberFormat="1" applyFont="1" applyBorder="1"/>
    <xf numFmtId="164" fontId="26" fillId="0" borderId="4" xfId="1" applyNumberFormat="1" applyFont="1" applyBorder="1"/>
    <xf numFmtId="3" fontId="15" fillId="0" borderId="15" xfId="2" applyNumberFormat="1" applyFont="1" applyBorder="1"/>
    <xf numFmtId="3" fontId="15" fillId="0" borderId="16" xfId="2" applyNumberFormat="1" applyFont="1" applyBorder="1"/>
    <xf numFmtId="0" fontId="30" fillId="0" borderId="0" xfId="2" applyFont="1"/>
    <xf numFmtId="9" fontId="26" fillId="0" borderId="0" xfId="1" applyFont="1"/>
    <xf numFmtId="0" fontId="32" fillId="0" borderId="0" xfId="2" applyFont="1"/>
    <xf numFmtId="0" fontId="23" fillId="0" borderId="0" xfId="2" applyFont="1" applyAlignment="1">
      <alignment horizontal="center"/>
    </xf>
    <xf numFmtId="0" fontId="22" fillId="0" borderId="0" xfId="2" applyFont="1" applyBorder="1"/>
    <xf numFmtId="3" fontId="7" fillId="0" borderId="2" xfId="2" applyNumberFormat="1" applyFont="1" applyBorder="1"/>
    <xf numFmtId="3" fontId="22" fillId="0" borderId="0" xfId="2" applyNumberFormat="1" applyFont="1"/>
    <xf numFmtId="0" fontId="20" fillId="0" borderId="0" xfId="2" applyFont="1" applyBorder="1"/>
    <xf numFmtId="0" fontId="33" fillId="0" borderId="0" xfId="2" applyFont="1"/>
    <xf numFmtId="0" fontId="33" fillId="0" borderId="0" xfId="2" applyFont="1" applyBorder="1"/>
    <xf numFmtId="3" fontId="33" fillId="0" borderId="0" xfId="2" applyNumberFormat="1" applyFont="1" applyBorder="1" applyAlignment="1">
      <alignment horizontal="center"/>
    </xf>
    <xf numFmtId="3" fontId="33" fillId="0" borderId="0" xfId="2" applyNumberFormat="1" applyFont="1"/>
    <xf numFmtId="0" fontId="34" fillId="0" borderId="0" xfId="2" applyFont="1"/>
    <xf numFmtId="3" fontId="7" fillId="0" borderId="10" xfId="2" applyNumberFormat="1" applyFont="1" applyBorder="1"/>
    <xf numFmtId="0" fontId="35" fillId="0" borderId="0" xfId="2" applyFont="1" applyBorder="1"/>
    <xf numFmtId="1" fontId="7" fillId="0" borderId="0" xfId="2" applyNumberFormat="1" applyFont="1"/>
    <xf numFmtId="164" fontId="7" fillId="0" borderId="1" xfId="1" applyNumberFormat="1" applyFont="1" applyBorder="1"/>
    <xf numFmtId="164" fontId="7" fillId="0" borderId="2" xfId="1" applyNumberFormat="1" applyFont="1" applyBorder="1"/>
    <xf numFmtId="4" fontId="7" fillId="0" borderId="0" xfId="2" applyNumberFormat="1" applyFont="1"/>
    <xf numFmtId="3" fontId="7" fillId="0" borderId="16" xfId="2" applyNumberFormat="1" applyFont="1" applyBorder="1"/>
    <xf numFmtId="3" fontId="7" fillId="0" borderId="17" xfId="2" applyNumberFormat="1" applyFont="1" applyBorder="1"/>
    <xf numFmtId="0" fontId="25" fillId="0" borderId="0" xfId="2" applyFont="1"/>
    <xf numFmtId="10" fontId="7" fillId="0" borderId="0" xfId="1" applyNumberFormat="1" applyFont="1"/>
    <xf numFmtId="164" fontId="3" fillId="0" borderId="1" xfId="1" applyNumberFormat="1" applyFont="1" applyBorder="1"/>
    <xf numFmtId="3" fontId="3" fillId="0" borderId="0" xfId="0" applyNumberFormat="1" applyFont="1" applyBorder="1"/>
    <xf numFmtId="3" fontId="5" fillId="0" borderId="0" xfId="0" applyNumberFormat="1" applyFont="1" applyBorder="1" applyAlignment="1">
      <alignment horizontal="center"/>
    </xf>
    <xf numFmtId="4" fontId="3" fillId="0" borderId="0" xfId="0" applyNumberFormat="1" applyFont="1" applyBorder="1"/>
    <xf numFmtId="164" fontId="3" fillId="0" borderId="0" xfId="1" applyNumberFormat="1" applyFont="1" applyBorder="1"/>
    <xf numFmtId="16" fontId="7" fillId="0" borderId="0" xfId="2" quotePrefix="1" applyNumberFormat="1" applyFont="1" applyFill="1" applyAlignment="1">
      <alignment horizontal="center"/>
    </xf>
    <xf numFmtId="0" fontId="3" fillId="0" borderId="0" xfId="0" applyFont="1" applyFill="1"/>
    <xf numFmtId="0" fontId="15" fillId="0" borderId="0" xfId="2" applyFont="1" applyFill="1"/>
    <xf numFmtId="3" fontId="15" fillId="0" borderId="0" xfId="2" applyNumberFormat="1" applyFont="1" applyFill="1"/>
    <xf numFmtId="3" fontId="36" fillId="0" borderId="0" xfId="2" applyNumberFormat="1" applyFont="1" applyFill="1"/>
    <xf numFmtId="0" fontId="36" fillId="0" borderId="0" xfId="2" applyFont="1" applyFill="1"/>
    <xf numFmtId="3" fontId="36" fillId="0" borderId="0" xfId="2" applyNumberFormat="1" applyFont="1"/>
    <xf numFmtId="0" fontId="36" fillId="0" borderId="0" xfId="2" applyFont="1"/>
    <xf numFmtId="0" fontId="7" fillId="0" borderId="0" xfId="2" applyFont="1" applyFill="1"/>
    <xf numFmtId="164" fontId="7" fillId="0" borderId="0" xfId="1" applyNumberFormat="1" applyFont="1" applyBorder="1"/>
    <xf numFmtId="164" fontId="7" fillId="0" borderId="0" xfId="1" applyNumberFormat="1" applyFont="1" applyAlignment="1">
      <alignment horizontal="left"/>
    </xf>
    <xf numFmtId="3" fontId="7" fillId="0" borderId="0" xfId="2" applyNumberFormat="1" applyFont="1" applyAlignment="1">
      <alignment horizontal="left"/>
    </xf>
    <xf numFmtId="3" fontId="5" fillId="0" borderId="0" xfId="0" applyNumberFormat="1" applyFont="1" applyAlignment="1">
      <alignment horizontal="right"/>
    </xf>
    <xf numFmtId="0" fontId="38" fillId="0" borderId="0" xfId="2" applyFont="1"/>
    <xf numFmtId="0" fontId="39" fillId="0" borderId="0" xfId="0" applyFont="1"/>
    <xf numFmtId="3" fontId="33" fillId="0" borderId="0" xfId="2" applyNumberFormat="1" applyFont="1" applyBorder="1"/>
    <xf numFmtId="3" fontId="10" fillId="0" borderId="0" xfId="0" applyNumberFormat="1" applyFont="1" applyBorder="1"/>
    <xf numFmtId="3" fontId="9" fillId="0" borderId="0" xfId="0" applyNumberFormat="1" applyFont="1" applyBorder="1"/>
    <xf numFmtId="0" fontId="40" fillId="0" borderId="0" xfId="0" applyFont="1"/>
    <xf numFmtId="0" fontId="41" fillId="0" borderId="0" xfId="0" applyFont="1"/>
    <xf numFmtId="0" fontId="42" fillId="0" borderId="0" xfId="0" applyFont="1"/>
    <xf numFmtId="0" fontId="42" fillId="0" borderId="19" xfId="0" applyFont="1" applyBorder="1"/>
    <xf numFmtId="0" fontId="42" fillId="0" borderId="0" xfId="0" applyFont="1" applyBorder="1"/>
    <xf numFmtId="3" fontId="11" fillId="0" borderId="0" xfId="0" applyNumberFormat="1" applyFont="1" applyBorder="1"/>
    <xf numFmtId="0" fontId="3" fillId="0" borderId="12" xfId="0" applyFont="1" applyBorder="1"/>
    <xf numFmtId="0" fontId="42" fillId="2" borderId="21" xfId="0" applyFont="1" applyFill="1" applyBorder="1"/>
    <xf numFmtId="0" fontId="42" fillId="2" borderId="0" xfId="0" applyFont="1" applyFill="1"/>
    <xf numFmtId="0" fontId="42" fillId="2" borderId="13" xfId="0" applyFont="1" applyFill="1" applyBorder="1"/>
    <xf numFmtId="0" fontId="42" fillId="2" borderId="0" xfId="0" applyFont="1" applyFill="1" applyBorder="1"/>
    <xf numFmtId="0" fontId="42" fillId="2" borderId="23" xfId="0" applyFont="1" applyFill="1" applyBorder="1"/>
    <xf numFmtId="0" fontId="42" fillId="2" borderId="5" xfId="0" applyFont="1" applyFill="1" applyBorder="1"/>
    <xf numFmtId="0" fontId="42" fillId="2" borderId="1" xfId="0" applyFont="1" applyFill="1" applyBorder="1"/>
    <xf numFmtId="0" fontId="42" fillId="2" borderId="20" xfId="0" applyFont="1" applyFill="1" applyBorder="1"/>
    <xf numFmtId="0" fontId="42" fillId="3" borderId="13" xfId="0" applyFont="1" applyFill="1" applyBorder="1"/>
    <xf numFmtId="0" fontId="42" fillId="3" borderId="0" xfId="0" applyFont="1" applyFill="1" applyBorder="1"/>
    <xf numFmtId="0" fontId="42" fillId="3" borderId="23" xfId="0" applyFont="1" applyFill="1" applyBorder="1"/>
    <xf numFmtId="0" fontId="42" fillId="3" borderId="5" xfId="0" applyFont="1" applyFill="1" applyBorder="1"/>
    <xf numFmtId="0" fontId="42" fillId="3" borderId="1" xfId="0" applyFont="1" applyFill="1" applyBorder="1"/>
    <xf numFmtId="0" fontId="42" fillId="3" borderId="20" xfId="0" applyFont="1" applyFill="1" applyBorder="1"/>
    <xf numFmtId="0" fontId="42" fillId="4" borderId="18" xfId="0" applyFont="1" applyFill="1" applyBorder="1"/>
    <xf numFmtId="0" fontId="42" fillId="4" borderId="24" xfId="0" applyFont="1" applyFill="1" applyBorder="1"/>
    <xf numFmtId="0" fontId="42" fillId="4" borderId="26" xfId="0" applyFont="1" applyFill="1" applyBorder="1"/>
    <xf numFmtId="0" fontId="42" fillId="4" borderId="19" xfId="0" applyFont="1" applyFill="1" applyBorder="1"/>
    <xf numFmtId="0" fontId="42" fillId="4" borderId="0" xfId="0" applyFont="1" applyFill="1" applyBorder="1"/>
    <xf numFmtId="0" fontId="42" fillId="4" borderId="27" xfId="0" applyFont="1" applyFill="1" applyBorder="1"/>
    <xf numFmtId="0" fontId="42" fillId="4" borderId="25" xfId="0" applyFont="1" applyFill="1" applyBorder="1"/>
    <xf numFmtId="0" fontId="42" fillId="4" borderId="1" xfId="0" applyFont="1" applyFill="1" applyBorder="1"/>
    <xf numFmtId="0" fontId="42" fillId="4" borderId="28" xfId="0" applyFont="1" applyFill="1" applyBorder="1"/>
    <xf numFmtId="0" fontId="42" fillId="5" borderId="29" xfId="0" applyFont="1" applyFill="1" applyBorder="1"/>
    <xf numFmtId="0" fontId="42" fillId="5" borderId="11" xfId="0" applyFont="1" applyFill="1" applyBorder="1"/>
    <xf numFmtId="0" fontId="42" fillId="5" borderId="30" xfId="0" applyFont="1" applyFill="1" applyBorder="1"/>
    <xf numFmtId="0" fontId="42" fillId="5" borderId="19" xfId="0" applyFont="1" applyFill="1" applyBorder="1"/>
    <xf numFmtId="0" fontId="42" fillId="5" borderId="0" xfId="0" applyFont="1" applyFill="1" applyBorder="1"/>
    <xf numFmtId="0" fontId="42" fillId="5" borderId="27" xfId="0" applyFont="1" applyFill="1" applyBorder="1"/>
    <xf numFmtId="0" fontId="42" fillId="5" borderId="25" xfId="0" applyFont="1" applyFill="1" applyBorder="1"/>
    <xf numFmtId="0" fontId="42" fillId="5" borderId="1" xfId="0" applyFont="1" applyFill="1" applyBorder="1"/>
    <xf numFmtId="0" fontId="42" fillId="5" borderId="28" xfId="0" applyFont="1" applyFill="1" applyBorder="1"/>
    <xf numFmtId="0" fontId="42" fillId="6" borderId="19" xfId="0" applyFont="1" applyFill="1" applyBorder="1"/>
    <xf numFmtId="0" fontId="42" fillId="6" borderId="0" xfId="0" applyFont="1" applyFill="1" applyBorder="1"/>
    <xf numFmtId="0" fontId="42" fillId="6" borderId="27" xfId="0" applyFont="1" applyFill="1" applyBorder="1"/>
    <xf numFmtId="0" fontId="42" fillId="6" borderId="25" xfId="0" applyFont="1" applyFill="1" applyBorder="1"/>
    <xf numFmtId="0" fontId="42" fillId="6" borderId="1" xfId="0" applyFont="1" applyFill="1" applyBorder="1"/>
    <xf numFmtId="0" fontId="42" fillId="6" borderId="28" xfId="0" applyFont="1" applyFill="1" applyBorder="1"/>
    <xf numFmtId="0" fontId="42" fillId="3" borderId="3" xfId="0" applyFont="1" applyFill="1" applyBorder="1"/>
    <xf numFmtId="0" fontId="42" fillId="3" borderId="11" xfId="0" applyFont="1" applyFill="1" applyBorder="1"/>
    <xf numFmtId="0" fontId="42" fillId="3" borderId="22" xfId="0" applyFont="1" applyFill="1" applyBorder="1"/>
    <xf numFmtId="0" fontId="42" fillId="3" borderId="31" xfId="0" applyFont="1" applyFill="1" applyBorder="1"/>
    <xf numFmtId="0" fontId="42" fillId="3" borderId="32" xfId="0" applyFont="1" applyFill="1" applyBorder="1"/>
    <xf numFmtId="0" fontId="42" fillId="3" borderId="33" xfId="0" applyFont="1" applyFill="1" applyBorder="1"/>
    <xf numFmtId="0" fontId="7" fillId="0" borderId="7" xfId="2" applyFont="1" applyFill="1" applyBorder="1" applyAlignment="1">
      <alignment horizontal="center"/>
    </xf>
    <xf numFmtId="0" fontId="7" fillId="0" borderId="6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3" fontId="27" fillId="0" borderId="4" xfId="0" applyNumberFormat="1" applyFont="1" applyBorder="1" applyAlignment="1">
      <alignment horizontal="center"/>
    </xf>
  </cellXfs>
  <cellStyles count="4">
    <cellStyle name="Normal" xfId="0" builtinId="0"/>
    <cellStyle name="Normal 2" xfId="2"/>
    <cellStyle name="Prosent" xfId="1" builtinId="5"/>
    <cellStyle name="Prosent 2" xfId="3"/>
  </cellStyles>
  <dxfs count="0"/>
  <tableStyles count="0" defaultTableStyle="TableStyleMedium2" defaultPivotStyle="PivotStyleMedium9"/>
  <colors>
    <mruColors>
      <color rgb="FF99FF66"/>
      <color rgb="FFFFFF99"/>
      <color rgb="FFFFCCCC"/>
      <color rgb="FFCCE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171450</xdr:colOff>
      <xdr:row>16</xdr:row>
      <xdr:rowOff>9525</xdr:rowOff>
    </xdr:from>
    <xdr:to>
      <xdr:col>4</xdr:col>
      <xdr:colOff>333375</xdr:colOff>
      <xdr:row>21</xdr:row>
      <xdr:rowOff>57150</xdr:rowOff>
    </xdr:to>
    <xdr:sp macro="" textlink="">
      <xdr:nvSpPr>
        <xdr:cNvPr id="2" name="TekstSylinder 1"/>
        <xdr:cNvSpPr txBox="1"/>
      </xdr:nvSpPr>
      <xdr:spPr>
        <a:xfrm>
          <a:off x="752475" y="2838450"/>
          <a:ext cx="1323975" cy="4286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200"/>
            <a:t>Anleggsmidler</a:t>
          </a:r>
        </a:p>
      </xdr:txBody>
    </xdr:sp>
    <xdr:clientData/>
  </xdr:twoCellAnchor>
  <xdr:twoCellAnchor>
    <xdr:from>
      <xdr:col>2</xdr:col>
      <xdr:colOff>171450</xdr:colOff>
      <xdr:row>50</xdr:row>
      <xdr:rowOff>0</xdr:rowOff>
    </xdr:from>
    <xdr:to>
      <xdr:col>4</xdr:col>
      <xdr:colOff>266700</xdr:colOff>
      <xdr:row>56</xdr:row>
      <xdr:rowOff>28575</xdr:rowOff>
    </xdr:to>
    <xdr:sp macro="" textlink="">
      <xdr:nvSpPr>
        <xdr:cNvPr id="3" name="TekstSylinder 2"/>
        <xdr:cNvSpPr txBox="1"/>
      </xdr:nvSpPr>
      <xdr:spPr>
        <a:xfrm>
          <a:off x="752475" y="5419725"/>
          <a:ext cx="1257300" cy="4857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200"/>
            <a:t>Omløpsmidler</a:t>
          </a:r>
        </a:p>
      </xdr:txBody>
    </xdr:sp>
    <xdr:clientData/>
  </xdr:twoCellAnchor>
  <xdr:twoCellAnchor>
    <xdr:from>
      <xdr:col>5</xdr:col>
      <xdr:colOff>171450</xdr:colOff>
      <xdr:row>16</xdr:row>
      <xdr:rowOff>28575</xdr:rowOff>
    </xdr:from>
    <xdr:to>
      <xdr:col>7</xdr:col>
      <xdr:colOff>276225</xdr:colOff>
      <xdr:row>21</xdr:row>
      <xdr:rowOff>38100</xdr:rowOff>
    </xdr:to>
    <xdr:sp macro="" textlink="">
      <xdr:nvSpPr>
        <xdr:cNvPr id="4" name="TekstSylinder 3"/>
        <xdr:cNvSpPr txBox="1"/>
      </xdr:nvSpPr>
      <xdr:spPr>
        <a:xfrm>
          <a:off x="2495550" y="2857500"/>
          <a:ext cx="1266825" cy="3905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nb-NO" sz="1200"/>
            <a:t>Egenkapital</a:t>
          </a:r>
        </a:p>
      </xdr:txBody>
    </xdr:sp>
    <xdr:clientData/>
  </xdr:twoCellAnchor>
  <xdr:twoCellAnchor>
    <xdr:from>
      <xdr:col>5</xdr:col>
      <xdr:colOff>304801</xdr:colOff>
      <xdr:row>29</xdr:row>
      <xdr:rowOff>19050</xdr:rowOff>
    </xdr:from>
    <xdr:to>
      <xdr:col>7</xdr:col>
      <xdr:colOff>285751</xdr:colOff>
      <xdr:row>34</xdr:row>
      <xdr:rowOff>28575</xdr:rowOff>
    </xdr:to>
    <xdr:sp macro="" textlink="">
      <xdr:nvSpPr>
        <xdr:cNvPr id="5" name="TekstSylinder 4"/>
        <xdr:cNvSpPr txBox="1"/>
      </xdr:nvSpPr>
      <xdr:spPr>
        <a:xfrm>
          <a:off x="2628901" y="3838575"/>
          <a:ext cx="1143000" cy="3905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/>
            <a:t>Langsiktig gjeld</a:t>
          </a:r>
        </a:p>
      </xdr:txBody>
    </xdr:sp>
    <xdr:clientData/>
  </xdr:twoCellAnchor>
  <xdr:twoCellAnchor>
    <xdr:from>
      <xdr:col>5</xdr:col>
      <xdr:colOff>285749</xdr:colOff>
      <xdr:row>44</xdr:row>
      <xdr:rowOff>19050</xdr:rowOff>
    </xdr:from>
    <xdr:to>
      <xdr:col>7</xdr:col>
      <xdr:colOff>285750</xdr:colOff>
      <xdr:row>49</xdr:row>
      <xdr:rowOff>47625</xdr:rowOff>
    </xdr:to>
    <xdr:sp macro="" textlink="">
      <xdr:nvSpPr>
        <xdr:cNvPr id="6" name="TekstSylinder 5"/>
        <xdr:cNvSpPr txBox="1"/>
      </xdr:nvSpPr>
      <xdr:spPr>
        <a:xfrm>
          <a:off x="2609849" y="4981575"/>
          <a:ext cx="1162051" cy="4095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/>
            <a:t>Kortsiktig gjeld</a:t>
          </a:r>
        </a:p>
      </xdr:txBody>
    </xdr:sp>
    <xdr:clientData/>
  </xdr:twoCellAnchor>
  <xdr:twoCellAnchor>
    <xdr:from>
      <xdr:col>2</xdr:col>
      <xdr:colOff>238124</xdr:colOff>
      <xdr:row>38</xdr:row>
      <xdr:rowOff>0</xdr:rowOff>
    </xdr:from>
    <xdr:to>
      <xdr:col>4</xdr:col>
      <xdr:colOff>285749</xdr:colOff>
      <xdr:row>42</xdr:row>
      <xdr:rowOff>47625</xdr:rowOff>
    </xdr:to>
    <xdr:sp macro="" textlink="">
      <xdr:nvSpPr>
        <xdr:cNvPr id="7" name="TekstSylinder 6"/>
        <xdr:cNvSpPr txBox="1"/>
      </xdr:nvSpPr>
      <xdr:spPr>
        <a:xfrm>
          <a:off x="819149" y="4505325"/>
          <a:ext cx="1209675" cy="35242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200"/>
            <a:t>Varebeholdning</a:t>
          </a:r>
        </a:p>
      </xdr:txBody>
    </xdr:sp>
    <xdr:clientData/>
  </xdr:twoCellAnchor>
  <xdr:twoCellAnchor>
    <xdr:from>
      <xdr:col>8</xdr:col>
      <xdr:colOff>28575</xdr:colOff>
      <xdr:row>12</xdr:row>
      <xdr:rowOff>0</xdr:rowOff>
    </xdr:from>
    <xdr:to>
      <xdr:col>8</xdr:col>
      <xdr:colOff>180975</xdr:colOff>
      <xdr:row>37</xdr:row>
      <xdr:rowOff>66675</xdr:rowOff>
    </xdr:to>
    <xdr:sp macro="" textlink="">
      <xdr:nvSpPr>
        <xdr:cNvPr id="8" name="Høyre klammeparentes 7"/>
        <xdr:cNvSpPr/>
      </xdr:nvSpPr>
      <xdr:spPr>
        <a:xfrm>
          <a:off x="4095750" y="2524125"/>
          <a:ext cx="152400" cy="1971675"/>
        </a:xfrm>
        <a:prstGeom prst="righ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8</xdr:col>
      <xdr:colOff>304800</xdr:colOff>
      <xdr:row>22</xdr:row>
      <xdr:rowOff>38100</xdr:rowOff>
    </xdr:from>
    <xdr:to>
      <xdr:col>9</xdr:col>
      <xdr:colOff>695325</xdr:colOff>
      <xdr:row>30</xdr:row>
      <xdr:rowOff>38100</xdr:rowOff>
    </xdr:to>
    <xdr:sp macro="" textlink="">
      <xdr:nvSpPr>
        <xdr:cNvPr id="9" name="TekstSylinder 8"/>
        <xdr:cNvSpPr txBox="1"/>
      </xdr:nvSpPr>
      <xdr:spPr>
        <a:xfrm>
          <a:off x="4371975" y="3324225"/>
          <a:ext cx="971550" cy="609600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Langsiktig finansiering</a:t>
          </a:r>
        </a:p>
      </xdr:txBody>
    </xdr:sp>
    <xdr:clientData/>
  </xdr:twoCellAnchor>
  <xdr:twoCellAnchor>
    <xdr:from>
      <xdr:col>4</xdr:col>
      <xdr:colOff>506731</xdr:colOff>
      <xdr:row>32</xdr:row>
      <xdr:rowOff>0</xdr:rowOff>
    </xdr:from>
    <xdr:to>
      <xdr:col>4</xdr:col>
      <xdr:colOff>552450</xdr:colOff>
      <xdr:row>38</xdr:row>
      <xdr:rowOff>0</xdr:rowOff>
    </xdr:to>
    <xdr:sp macro="" textlink="">
      <xdr:nvSpPr>
        <xdr:cNvPr id="10" name="Venstre klammeparentes 9"/>
        <xdr:cNvSpPr/>
      </xdr:nvSpPr>
      <xdr:spPr>
        <a:xfrm>
          <a:off x="2249806" y="4048125"/>
          <a:ext cx="45719" cy="457200"/>
        </a:xfrm>
        <a:prstGeom prst="leftBrac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nb-NO" sz="1100"/>
        </a:p>
      </xdr:txBody>
    </xdr:sp>
    <xdr:clientData/>
  </xdr:twoCellAnchor>
  <xdr:twoCellAnchor>
    <xdr:from>
      <xdr:col>0</xdr:col>
      <xdr:colOff>66675</xdr:colOff>
      <xdr:row>29</xdr:row>
      <xdr:rowOff>28575</xdr:rowOff>
    </xdr:from>
    <xdr:to>
      <xdr:col>1</xdr:col>
      <xdr:colOff>381000</xdr:colOff>
      <xdr:row>35</xdr:row>
      <xdr:rowOff>57150</xdr:rowOff>
    </xdr:to>
    <xdr:sp macro="" textlink="">
      <xdr:nvSpPr>
        <xdr:cNvPr id="11" name="TekstSylinder 10"/>
        <xdr:cNvSpPr txBox="1"/>
      </xdr:nvSpPr>
      <xdr:spPr>
        <a:xfrm>
          <a:off x="66675" y="3848100"/>
          <a:ext cx="733425" cy="485775"/>
        </a:xfrm>
        <a:prstGeom prst="rect">
          <a:avLst/>
        </a:prstGeom>
        <a:solidFill>
          <a:schemeClr val="lt1">
            <a:alpha val="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nb-NO" sz="1100"/>
            <a:t>Arbeids-kapital</a:t>
          </a:r>
        </a:p>
      </xdr:txBody>
    </xdr:sp>
    <xdr:clientData/>
  </xdr:twoCellAnchor>
  <xdr:twoCellAnchor>
    <xdr:from>
      <xdr:col>1</xdr:col>
      <xdr:colOff>314325</xdr:colOff>
      <xdr:row>32</xdr:row>
      <xdr:rowOff>33338</xdr:rowOff>
    </xdr:from>
    <xdr:to>
      <xdr:col>4</xdr:col>
      <xdr:colOff>440056</xdr:colOff>
      <xdr:row>34</xdr:row>
      <xdr:rowOff>66675</xdr:rowOff>
    </xdr:to>
    <xdr:cxnSp macro="">
      <xdr:nvCxnSpPr>
        <xdr:cNvPr id="13" name="Rett pil 12"/>
        <xdr:cNvCxnSpPr/>
      </xdr:nvCxnSpPr>
      <xdr:spPr>
        <a:xfrm>
          <a:off x="733425" y="4081463"/>
          <a:ext cx="1868806" cy="185737"/>
        </a:xfrm>
        <a:prstGeom prst="straightConnector1">
          <a:avLst/>
        </a:prstGeom>
        <a:ln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1114425</xdr:colOff>
      <xdr:row>21</xdr:row>
      <xdr:rowOff>90487</xdr:rowOff>
    </xdr:from>
    <xdr:ext cx="1257300" cy="38209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Sylinder 1"/>
            <xdr:cNvSpPr txBox="1"/>
          </xdr:nvSpPr>
          <xdr:spPr>
            <a:xfrm>
              <a:off x="1504950" y="4405312"/>
              <a:ext cx="1257300" cy="382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200" i="1">
                          <a:latin typeface="Cambria Math"/>
                        </a:rPr>
                      </m:ctrlPr>
                    </m:fPr>
                    <m:num>
                      <m:r>
                        <a:rPr lang="nb-NO" sz="1200" b="0" i="1">
                          <a:latin typeface="Cambria Math"/>
                        </a:rPr>
                        <m:t>𝑂𝑚𝑙</m:t>
                      </m:r>
                      <m:r>
                        <a:rPr lang="nb-NO" sz="1200" b="0" i="1">
                          <a:latin typeface="Cambria Math"/>
                        </a:rPr>
                        <m:t>ø</m:t>
                      </m:r>
                      <m:r>
                        <a:rPr lang="nb-NO" sz="1200" b="0" i="1">
                          <a:latin typeface="Cambria Math"/>
                        </a:rPr>
                        <m:t>𝑝𝑠𝑚𝑖𝑑𝑙𝑒𝑟</m:t>
                      </m:r>
                    </m:num>
                    <m:den>
                      <m:r>
                        <a:rPr lang="nb-NO" sz="1200" b="0" i="1">
                          <a:latin typeface="Cambria Math"/>
                        </a:rPr>
                        <m:t>𝐾𝑜𝑟𝑡𝑠𝑖𝑘𝑡𝑖𝑔</m:t>
                      </m:r>
                      <m:r>
                        <a:rPr lang="nb-NO" sz="1200" b="0" i="1">
                          <a:latin typeface="Cambria Math"/>
                        </a:rPr>
                        <m:t> </m:t>
                      </m:r>
                      <m:r>
                        <a:rPr lang="nb-NO" sz="1200" b="0" i="1">
                          <a:latin typeface="Cambria Math"/>
                        </a:rPr>
                        <m:t>𝑔𝑗𝑒𝑙𝑑</m:t>
                      </m:r>
                    </m:den>
                  </m:f>
                </m:oMath>
              </a14:m>
              <a:r>
                <a:rPr lang="nb-NO" sz="1100"/>
                <a:t> = </a:t>
              </a:r>
            </a:p>
          </xdr:txBody>
        </xdr:sp>
      </mc:Choice>
      <mc:Fallback xmlns="">
        <xdr:sp macro="" textlink="">
          <xdr:nvSpPr>
            <xdr:cNvPr id="2" name="TekstSylinder 1"/>
            <xdr:cNvSpPr txBox="1"/>
          </xdr:nvSpPr>
          <xdr:spPr>
            <a:xfrm>
              <a:off x="1504950" y="4405312"/>
              <a:ext cx="1257300" cy="38209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200" b="0" i="0">
                  <a:latin typeface="Cambria Math"/>
                </a:rPr>
                <a:t>𝑂𝑚𝑙ø𝑝𝑠𝑚𝑖𝑑𝑙𝑒𝑟/(𝐾𝑜𝑟𝑡𝑠𝑖𝑘𝑡𝑖𝑔 𝑔𝑗𝑒𝑙𝑑)</a:t>
              </a:r>
              <a:r>
                <a:rPr lang="nb-NO" sz="1100"/>
                <a:t> = </a:t>
              </a:r>
            </a:p>
          </xdr:txBody>
        </xdr:sp>
      </mc:Fallback>
    </mc:AlternateContent>
    <xdr:clientData/>
  </xdr:oneCellAnchor>
  <xdr:oneCellAnchor>
    <xdr:from>
      <xdr:col>1</xdr:col>
      <xdr:colOff>1152524</xdr:colOff>
      <xdr:row>23</xdr:row>
      <xdr:rowOff>147637</xdr:rowOff>
    </xdr:from>
    <xdr:ext cx="1800226" cy="35785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Sylinder 2"/>
            <xdr:cNvSpPr txBox="1"/>
          </xdr:nvSpPr>
          <xdr:spPr>
            <a:xfrm>
              <a:off x="1543049" y="4862512"/>
              <a:ext cx="1800226" cy="3578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/>
                        </a:rPr>
                        <m:t>𝑀𝑒𝑠𝑡</m:t>
                      </m:r>
                      <m:r>
                        <a:rPr lang="nb-NO" sz="1100" b="0" i="1">
                          <a:latin typeface="Cambria Math"/>
                        </a:rPr>
                        <m:t> </m:t>
                      </m:r>
                      <m:r>
                        <a:rPr lang="nb-NO" sz="1100" b="0" i="1">
                          <a:latin typeface="Cambria Math"/>
                        </a:rPr>
                        <m:t>𝑙𝑖𝑘𝑣𝑖𝑑𝑒</m:t>
                      </m:r>
                      <m:r>
                        <a:rPr lang="nb-NO" sz="1100" b="0" i="1">
                          <a:latin typeface="Cambria Math"/>
                        </a:rPr>
                        <m:t> </m:t>
                      </m:r>
                      <m:r>
                        <a:rPr lang="nb-NO" sz="1100" b="0" i="1">
                          <a:latin typeface="Cambria Math"/>
                        </a:rPr>
                        <m:t>𝑜𝑚𝑙</m:t>
                      </m:r>
                      <m:r>
                        <a:rPr lang="nb-NO" sz="1100" b="0" i="1">
                          <a:latin typeface="Cambria Math"/>
                        </a:rPr>
                        <m:t>ø</m:t>
                      </m:r>
                      <m:r>
                        <a:rPr lang="nb-NO" sz="1100" b="0" i="1">
                          <a:latin typeface="Cambria Math"/>
                        </a:rPr>
                        <m:t>𝑝𝑠𝑚𝑖𝑑𝑙𝑒𝑟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𝐾𝑜𝑟𝑡𝑠𝑖𝑘𝑡𝑖𝑔</m:t>
                      </m:r>
                      <m:r>
                        <a:rPr lang="nb-NO" sz="1100" b="0" i="1">
                          <a:latin typeface="Cambria Math"/>
                        </a:rPr>
                        <m:t> </m:t>
                      </m:r>
                      <m:r>
                        <a:rPr lang="nb-NO" sz="1100" b="0" i="1">
                          <a:latin typeface="Cambria Math"/>
                        </a:rPr>
                        <m:t>𝑔𝑗𝑒𝑙𝑑</m:t>
                      </m:r>
                    </m:den>
                  </m:f>
                </m:oMath>
              </a14:m>
              <a:r>
                <a:rPr lang="nb-NO" sz="1100"/>
                <a:t> =</a:t>
              </a:r>
            </a:p>
          </xdr:txBody>
        </xdr:sp>
      </mc:Choice>
      <mc:Fallback xmlns="">
        <xdr:sp macro="" textlink="">
          <xdr:nvSpPr>
            <xdr:cNvPr id="3" name="TekstSylinder 2"/>
            <xdr:cNvSpPr txBox="1"/>
          </xdr:nvSpPr>
          <xdr:spPr>
            <a:xfrm>
              <a:off x="1543049" y="4862512"/>
              <a:ext cx="1800226" cy="35785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/>
                </a:rPr>
                <a:t>(</a:t>
              </a:r>
              <a:r>
                <a:rPr lang="nb-NO" sz="1100" b="0" i="0">
                  <a:latin typeface="Cambria Math"/>
                </a:rPr>
                <a:t>𝑀𝑒𝑠𝑡 𝑙𝑖𝑘𝑣𝑖𝑑𝑒 𝑜𝑚𝑙ø𝑝𝑠𝑚𝑖𝑑𝑙𝑒𝑟)/(𝐾𝑜𝑟𝑡𝑠𝑖𝑘𝑡𝑖𝑔 𝑔𝑗𝑒𝑙𝑑)</a:t>
              </a:r>
              <a:r>
                <a:rPr lang="nb-NO" sz="1100"/>
                <a:t> =</a:t>
              </a:r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114300</xdr:colOff>
      <xdr:row>1</xdr:row>
      <xdr:rowOff>157162</xdr:rowOff>
    </xdr:from>
    <xdr:ext cx="1343025" cy="33631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Sylinder 1"/>
            <xdr:cNvSpPr txBox="1"/>
          </xdr:nvSpPr>
          <xdr:spPr>
            <a:xfrm>
              <a:off x="2009775" y="357187"/>
              <a:ext cx="1343025" cy="336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/>
                        </a:rPr>
                        <m:t>365 </m:t>
                      </m:r>
                      <m:r>
                        <a:rPr lang="nb-NO" sz="1100" b="0" i="1">
                          <a:latin typeface="Cambria Math"/>
                        </a:rPr>
                        <m:t>𝑑𝑎𝑔𝑒𝑟</m:t>
                      </m:r>
                      <m:r>
                        <a:rPr lang="nb-NO" sz="1100" b="0" i="1">
                          <a:latin typeface="Cambria Math"/>
                        </a:rPr>
                        <m:t> ∙ 750 000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8 000 000</m:t>
                      </m:r>
                    </m:den>
                  </m:f>
                </m:oMath>
              </a14:m>
              <a:r>
                <a:rPr lang="nb-NO" sz="1100"/>
                <a:t> =</a:t>
              </a:r>
            </a:p>
          </xdr:txBody>
        </xdr:sp>
      </mc:Choice>
      <mc:Fallback xmlns="">
        <xdr:sp macro="" textlink="">
          <xdr:nvSpPr>
            <xdr:cNvPr id="2" name="TekstSylinder 1"/>
            <xdr:cNvSpPr txBox="1"/>
          </xdr:nvSpPr>
          <xdr:spPr>
            <a:xfrm>
              <a:off x="2009775" y="357187"/>
              <a:ext cx="1343025" cy="33631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 panose="02040503050406030204" pitchFamily="18" charset="0"/>
                </a:rPr>
                <a:t>(</a:t>
              </a:r>
              <a:r>
                <a:rPr lang="nb-NO" sz="1100" b="0" i="0">
                  <a:latin typeface="Cambria Math"/>
                </a:rPr>
                <a:t>365 𝑑𝑎𝑔𝑒𝑟 ∙</a:t>
              </a:r>
              <a:r>
                <a:rPr lang="nb-NO" sz="1100" b="0" i="0">
                  <a:latin typeface="Cambria Math" panose="02040503050406030204" pitchFamily="18" charset="0"/>
                </a:rPr>
                <a:t> </a:t>
              </a:r>
              <a:r>
                <a:rPr lang="nb-NO" sz="1100" b="0" i="0">
                  <a:latin typeface="Cambria Math"/>
                </a:rPr>
                <a:t>750 000</a:t>
              </a:r>
              <a:r>
                <a:rPr lang="nb-NO" sz="1100" b="0" i="0">
                  <a:latin typeface="Cambria Math" panose="02040503050406030204" pitchFamily="18" charset="0"/>
                </a:rPr>
                <a:t>)/(</a:t>
              </a:r>
              <a:r>
                <a:rPr lang="nb-NO" sz="1100" b="0" i="0">
                  <a:latin typeface="Cambria Math"/>
                </a:rPr>
                <a:t>8 000 000</a:t>
              </a:r>
              <a:r>
                <a:rPr lang="nb-NO" sz="1100" b="0" i="0">
                  <a:latin typeface="Cambria Math" panose="02040503050406030204" pitchFamily="18" charset="0"/>
                </a:rPr>
                <a:t>)</a:t>
              </a:r>
              <a:r>
                <a:rPr lang="nb-NO" sz="1100"/>
                <a:t> =</a:t>
              </a:r>
            </a:p>
          </xdr:txBody>
        </xdr:sp>
      </mc:Fallback>
    </mc:AlternateContent>
    <xdr:clientData/>
  </xdr:oneCellAnchor>
  <xdr:oneCellAnchor>
    <xdr:from>
      <xdr:col>3</xdr:col>
      <xdr:colOff>142875</xdr:colOff>
      <xdr:row>5</xdr:row>
      <xdr:rowOff>128587</xdr:rowOff>
    </xdr:from>
    <xdr:ext cx="1304925" cy="3361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Sylinder 2"/>
            <xdr:cNvSpPr txBox="1"/>
          </xdr:nvSpPr>
          <xdr:spPr>
            <a:xfrm>
              <a:off x="2038350" y="1328737"/>
              <a:ext cx="1304925" cy="336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/>
                        </a:rPr>
                        <m:t>365 </m:t>
                      </m:r>
                      <m:r>
                        <a:rPr lang="nb-NO" sz="1100" b="0" i="1">
                          <a:latin typeface="Cambria Math"/>
                        </a:rPr>
                        <m:t>𝑑𝑎𝑔𝑒𝑟</m:t>
                      </m:r>
                      <m:r>
                        <a:rPr lang="nb-NO" sz="1100" b="0" i="1">
                          <a:latin typeface="Cambria Math"/>
                        </a:rPr>
                        <m:t> ∙ 400 000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3 600 000</m:t>
                      </m:r>
                    </m:den>
                  </m:f>
                  <m:r>
                    <a:rPr lang="nb-NO" sz="1100" i="1">
                      <a:latin typeface="Cambria Math"/>
                    </a:rPr>
                    <m:t> </m:t>
                  </m:r>
                </m:oMath>
              </a14:m>
              <a:r>
                <a:rPr lang="nb-NO" sz="1100"/>
                <a:t>=</a:t>
              </a:r>
            </a:p>
          </xdr:txBody>
        </xdr:sp>
      </mc:Choice>
      <mc:Fallback xmlns="">
        <xdr:sp macro="" textlink="">
          <xdr:nvSpPr>
            <xdr:cNvPr id="3" name="TekstSylinder 2"/>
            <xdr:cNvSpPr txBox="1"/>
          </xdr:nvSpPr>
          <xdr:spPr>
            <a:xfrm>
              <a:off x="2038350" y="1328737"/>
              <a:ext cx="1304925" cy="3361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 panose="02040503050406030204" pitchFamily="18" charset="0"/>
                </a:rPr>
                <a:t>(</a:t>
              </a:r>
              <a:r>
                <a:rPr lang="nb-NO" sz="1100" b="0" i="0">
                  <a:latin typeface="Cambria Math"/>
                </a:rPr>
                <a:t>365 𝑑𝑎𝑔𝑒𝑟 ∙</a:t>
              </a:r>
              <a:r>
                <a:rPr lang="nb-NO" sz="1100" b="0" i="0">
                  <a:latin typeface="Cambria Math" panose="02040503050406030204" pitchFamily="18" charset="0"/>
                </a:rPr>
                <a:t> </a:t>
              </a:r>
              <a:r>
                <a:rPr lang="nb-NO" sz="1100" b="0" i="0">
                  <a:latin typeface="Cambria Math"/>
                </a:rPr>
                <a:t>400 000</a:t>
              </a:r>
              <a:r>
                <a:rPr lang="nb-NO" sz="1100" b="0" i="0">
                  <a:latin typeface="Cambria Math" panose="02040503050406030204" pitchFamily="18" charset="0"/>
                </a:rPr>
                <a:t>)/(</a:t>
              </a:r>
              <a:r>
                <a:rPr lang="nb-NO" sz="1100" b="0" i="0">
                  <a:latin typeface="Cambria Math"/>
                </a:rPr>
                <a:t>3 600 000</a:t>
              </a:r>
              <a:r>
                <a:rPr lang="nb-NO" sz="1100" b="0" i="0">
                  <a:latin typeface="Cambria Math" panose="02040503050406030204" pitchFamily="18" charset="0"/>
                </a:rPr>
                <a:t>)</a:t>
              </a:r>
              <a:r>
                <a:rPr lang="nb-NO" sz="1100" b="0" i="0">
                  <a:latin typeface="Cambria Math"/>
                </a:rPr>
                <a:t> </a:t>
              </a:r>
              <a:r>
                <a:rPr lang="nb-NO" sz="1100" i="0">
                  <a:latin typeface="Cambria Math"/>
                </a:rPr>
                <a:t> </a:t>
              </a:r>
              <a:r>
                <a:rPr lang="nb-NO" sz="1100"/>
                <a:t>=</a:t>
              </a:r>
            </a:p>
          </xdr:txBody>
        </xdr:sp>
      </mc:Fallback>
    </mc:AlternateContent>
    <xdr:clientData/>
  </xdr:oneCellAnchor>
  <xdr:oneCellAnchor>
    <xdr:from>
      <xdr:col>3</xdr:col>
      <xdr:colOff>9525</xdr:colOff>
      <xdr:row>10</xdr:row>
      <xdr:rowOff>157162</xdr:rowOff>
    </xdr:from>
    <xdr:ext cx="1352550" cy="349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kstSylinder 3"/>
            <xdr:cNvSpPr txBox="1"/>
          </xdr:nvSpPr>
          <xdr:spPr>
            <a:xfrm>
              <a:off x="1905000" y="2157412"/>
              <a:ext cx="1352550" cy="349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/>
                        </a:rPr>
                        <m:t>365 </m:t>
                      </m:r>
                      <m:r>
                        <a:rPr lang="nb-NO" sz="1100" b="0" i="1">
                          <a:latin typeface="Cambria Math"/>
                        </a:rPr>
                        <m:t>𝑑𝑎𝑔𝑒𝑟</m:t>
                      </m:r>
                      <m:r>
                        <a:rPr lang="nb-NO" sz="1100" b="0" i="1">
                          <a:latin typeface="Cambria Math"/>
                        </a:rPr>
                        <m:t> ∙ 750 000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8 000 000 </m:t>
                      </m:r>
                      <m:r>
                        <a:rPr lang="nb-NO" sz="1100" b="0" i="1">
                          <a:latin typeface="Cambria Math"/>
                          <a:ea typeface="Cambria Math"/>
                        </a:rPr>
                        <m:t>∙1,25</m:t>
                      </m:r>
                    </m:den>
                  </m:f>
                </m:oMath>
              </a14:m>
              <a:r>
                <a:rPr lang="nb-NO" sz="1100"/>
                <a:t> =</a:t>
              </a:r>
            </a:p>
          </xdr:txBody>
        </xdr:sp>
      </mc:Choice>
      <mc:Fallback xmlns="">
        <xdr:sp macro="" textlink="">
          <xdr:nvSpPr>
            <xdr:cNvPr id="4" name="TekstSylinder 3"/>
            <xdr:cNvSpPr txBox="1"/>
          </xdr:nvSpPr>
          <xdr:spPr>
            <a:xfrm>
              <a:off x="1905000" y="2157412"/>
              <a:ext cx="1352550" cy="349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 panose="02040503050406030204" pitchFamily="18" charset="0"/>
                </a:rPr>
                <a:t>(</a:t>
              </a:r>
              <a:r>
                <a:rPr lang="nb-NO" sz="1100" b="0" i="0">
                  <a:latin typeface="Cambria Math"/>
                </a:rPr>
                <a:t>365 𝑑𝑎𝑔𝑒𝑟 ∙</a:t>
              </a:r>
              <a:r>
                <a:rPr lang="nb-NO" sz="1100" b="0" i="0">
                  <a:latin typeface="Cambria Math" panose="02040503050406030204" pitchFamily="18" charset="0"/>
                </a:rPr>
                <a:t> </a:t>
              </a:r>
              <a:r>
                <a:rPr lang="nb-NO" sz="1100" b="0" i="0">
                  <a:latin typeface="Cambria Math"/>
                </a:rPr>
                <a:t>750 000</a:t>
              </a:r>
              <a:r>
                <a:rPr lang="nb-NO" sz="1100" b="0" i="0">
                  <a:latin typeface="Cambria Math" panose="02040503050406030204" pitchFamily="18" charset="0"/>
                </a:rPr>
                <a:t>)/(</a:t>
              </a:r>
              <a:r>
                <a:rPr lang="nb-NO" sz="1100" b="0" i="0">
                  <a:latin typeface="Cambria Math"/>
                </a:rPr>
                <a:t>8 000 000 </a:t>
              </a:r>
              <a:r>
                <a:rPr lang="nb-NO" sz="1100" b="0" i="0">
                  <a:latin typeface="Cambria Math"/>
                  <a:ea typeface="Cambria Math"/>
                </a:rPr>
                <a:t>∙1,25</a:t>
              </a:r>
              <a:r>
                <a:rPr lang="nb-NO" sz="11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nb-NO" sz="1100"/>
                <a:t> =</a:t>
              </a:r>
            </a:p>
          </xdr:txBody>
        </xdr:sp>
      </mc:Fallback>
    </mc:AlternateContent>
    <xdr:clientData/>
  </xdr:oneCellAnchor>
  <xdr:oneCellAnchor>
    <xdr:from>
      <xdr:col>3</xdr:col>
      <xdr:colOff>9525</xdr:colOff>
      <xdr:row>12</xdr:row>
      <xdr:rowOff>185737</xdr:rowOff>
    </xdr:from>
    <xdr:ext cx="1476376" cy="349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kstSylinder 4"/>
            <xdr:cNvSpPr txBox="1"/>
          </xdr:nvSpPr>
          <xdr:spPr>
            <a:xfrm>
              <a:off x="1905000" y="2586037"/>
              <a:ext cx="1476376" cy="349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/>
                        </a:rPr>
                        <m:t>365 </m:t>
                      </m:r>
                      <m:r>
                        <a:rPr lang="nb-NO" sz="1100" b="0" i="1">
                          <a:latin typeface="Cambria Math"/>
                        </a:rPr>
                        <m:t>𝑑𝑎𝑔𝑒𝑟</m:t>
                      </m:r>
                      <m:r>
                        <a:rPr lang="nb-NO" sz="1100" b="0" i="1">
                          <a:latin typeface="Cambria Math"/>
                        </a:rPr>
                        <m:t> ∙ 200 000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2 400 000 </m:t>
                      </m:r>
                      <m:r>
                        <a:rPr lang="nb-NO" sz="1100" b="0" i="1">
                          <a:latin typeface="Cambria Math"/>
                          <a:ea typeface="Cambria Math"/>
                        </a:rPr>
                        <m:t>∙1,25</m:t>
                      </m:r>
                    </m:den>
                  </m:f>
                </m:oMath>
              </a14:m>
              <a:r>
                <a:rPr lang="nb-NO" sz="1100"/>
                <a:t> =</a:t>
              </a:r>
            </a:p>
          </xdr:txBody>
        </xdr:sp>
      </mc:Choice>
      <mc:Fallback xmlns="">
        <xdr:sp macro="" textlink="">
          <xdr:nvSpPr>
            <xdr:cNvPr id="5" name="TekstSylinder 4"/>
            <xdr:cNvSpPr txBox="1"/>
          </xdr:nvSpPr>
          <xdr:spPr>
            <a:xfrm>
              <a:off x="1905000" y="2586037"/>
              <a:ext cx="1476376" cy="349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 panose="02040503050406030204" pitchFamily="18" charset="0"/>
                </a:rPr>
                <a:t>(</a:t>
              </a:r>
              <a:r>
                <a:rPr lang="nb-NO" sz="1100" b="0" i="0">
                  <a:latin typeface="Cambria Math"/>
                </a:rPr>
                <a:t>365 𝑑𝑎𝑔𝑒𝑟 ∙</a:t>
              </a:r>
              <a:r>
                <a:rPr lang="nb-NO" sz="1100" b="0" i="0">
                  <a:latin typeface="Cambria Math" panose="02040503050406030204" pitchFamily="18" charset="0"/>
                </a:rPr>
                <a:t> </a:t>
              </a:r>
              <a:r>
                <a:rPr lang="nb-NO" sz="1100" b="0" i="0">
                  <a:latin typeface="Cambria Math"/>
                </a:rPr>
                <a:t>200 000</a:t>
              </a:r>
              <a:r>
                <a:rPr lang="nb-NO" sz="1100" b="0" i="0">
                  <a:latin typeface="Cambria Math" panose="02040503050406030204" pitchFamily="18" charset="0"/>
                </a:rPr>
                <a:t>)/(</a:t>
              </a:r>
              <a:r>
                <a:rPr lang="nb-NO" sz="1100" b="0" i="0">
                  <a:latin typeface="Cambria Math"/>
                </a:rPr>
                <a:t>2 400 000 </a:t>
              </a:r>
              <a:r>
                <a:rPr lang="nb-NO" sz="1100" b="0" i="0">
                  <a:latin typeface="Cambria Math"/>
                  <a:ea typeface="Cambria Math"/>
                </a:rPr>
                <a:t>∙1,25</a:t>
              </a:r>
              <a:r>
                <a:rPr lang="nb-NO" sz="11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nb-NO" sz="1100"/>
                <a:t> =</a:t>
              </a:r>
            </a:p>
          </xdr:txBody>
        </xdr:sp>
      </mc:Fallback>
    </mc:AlternateContent>
    <xdr:clientData/>
  </xdr:oneCellAnchor>
  <xdr:oneCellAnchor>
    <xdr:from>
      <xdr:col>3</xdr:col>
      <xdr:colOff>61911</xdr:colOff>
      <xdr:row>17</xdr:row>
      <xdr:rowOff>128587</xdr:rowOff>
    </xdr:from>
    <xdr:ext cx="1357313" cy="349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kstSylinder 5"/>
            <xdr:cNvSpPr txBox="1"/>
          </xdr:nvSpPr>
          <xdr:spPr>
            <a:xfrm>
              <a:off x="1957386" y="3529012"/>
              <a:ext cx="1357313" cy="349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/>
                        </a:rPr>
                        <m:t>365 </m:t>
                      </m:r>
                      <m:r>
                        <a:rPr lang="nb-NO" sz="1100" b="0" i="1">
                          <a:latin typeface="Cambria Math"/>
                        </a:rPr>
                        <m:t>𝑑𝑎𝑔𝑒𝑟</m:t>
                      </m:r>
                      <m:r>
                        <a:rPr lang="nb-NO" sz="1100" b="0" i="1">
                          <a:latin typeface="Cambria Math"/>
                        </a:rPr>
                        <m:t> ∙ 280 000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4 000 000 </m:t>
                      </m:r>
                      <m:r>
                        <a:rPr lang="nb-NO" sz="1100" b="0" i="1">
                          <a:latin typeface="Cambria Math"/>
                          <a:ea typeface="Cambria Math"/>
                        </a:rPr>
                        <m:t>∙1,25</m:t>
                      </m:r>
                    </m:den>
                  </m:f>
                </m:oMath>
              </a14:m>
              <a:r>
                <a:rPr lang="nb-NO" sz="1100"/>
                <a:t> =</a:t>
              </a:r>
            </a:p>
          </xdr:txBody>
        </xdr:sp>
      </mc:Choice>
      <mc:Fallback xmlns="">
        <xdr:sp macro="" textlink="">
          <xdr:nvSpPr>
            <xdr:cNvPr id="6" name="TekstSylinder 5"/>
            <xdr:cNvSpPr txBox="1"/>
          </xdr:nvSpPr>
          <xdr:spPr>
            <a:xfrm>
              <a:off x="1957386" y="3529012"/>
              <a:ext cx="1357313" cy="349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 panose="02040503050406030204" pitchFamily="18" charset="0"/>
                </a:rPr>
                <a:t>(</a:t>
              </a:r>
              <a:r>
                <a:rPr lang="nb-NO" sz="1100" b="0" i="0">
                  <a:latin typeface="Cambria Math"/>
                </a:rPr>
                <a:t>365 𝑑𝑎𝑔𝑒𝑟 ∙</a:t>
              </a:r>
              <a:r>
                <a:rPr lang="nb-NO" sz="1100" b="0" i="0">
                  <a:latin typeface="Cambria Math" panose="02040503050406030204" pitchFamily="18" charset="0"/>
                </a:rPr>
                <a:t> </a:t>
              </a:r>
              <a:r>
                <a:rPr lang="nb-NO" sz="1100" b="0" i="0">
                  <a:latin typeface="Cambria Math"/>
                </a:rPr>
                <a:t>280 000</a:t>
              </a:r>
              <a:r>
                <a:rPr lang="nb-NO" sz="1100" b="0" i="0">
                  <a:latin typeface="Cambria Math" panose="02040503050406030204" pitchFamily="18" charset="0"/>
                </a:rPr>
                <a:t>)/(</a:t>
              </a:r>
              <a:r>
                <a:rPr lang="nb-NO" sz="1100" b="0" i="0">
                  <a:latin typeface="Cambria Math"/>
                </a:rPr>
                <a:t>4 000 000 </a:t>
              </a:r>
              <a:r>
                <a:rPr lang="nb-NO" sz="1100" b="0" i="0">
                  <a:latin typeface="Cambria Math"/>
                  <a:ea typeface="Cambria Math"/>
                </a:rPr>
                <a:t>∙1,25</a:t>
              </a:r>
              <a:r>
                <a:rPr lang="nb-NO" sz="11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nb-NO" sz="1100"/>
                <a:t> =</a:t>
              </a:r>
            </a:p>
          </xdr:txBody>
        </xdr:sp>
      </mc:Fallback>
    </mc:AlternateContent>
    <xdr:clientData/>
  </xdr:oneCellAnchor>
  <xdr:oneCellAnchor>
    <xdr:from>
      <xdr:col>3</xdr:col>
      <xdr:colOff>23811</xdr:colOff>
      <xdr:row>24</xdr:row>
      <xdr:rowOff>128587</xdr:rowOff>
    </xdr:from>
    <xdr:ext cx="1433513" cy="3490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kstSylinder 6"/>
            <xdr:cNvSpPr txBox="1"/>
          </xdr:nvSpPr>
          <xdr:spPr>
            <a:xfrm>
              <a:off x="1919286" y="4986337"/>
              <a:ext cx="1433513" cy="349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/>
                        </a:rPr>
                        <m:t>365 </m:t>
                      </m:r>
                      <m:r>
                        <a:rPr lang="nb-NO" sz="1100" b="0" i="1">
                          <a:latin typeface="Cambria Math"/>
                        </a:rPr>
                        <m:t>𝑑𝑎𝑔𝑒𝑟</m:t>
                      </m:r>
                      <m:r>
                        <a:rPr lang="nb-NO" sz="1100" b="0" i="1">
                          <a:latin typeface="Cambria Math"/>
                        </a:rPr>
                        <m:t> ∙ 500 000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6 400 000 </m:t>
                      </m:r>
                      <m:r>
                        <a:rPr lang="nb-NO" sz="1100" b="0" i="1">
                          <a:latin typeface="Cambria Math"/>
                          <a:ea typeface="Cambria Math"/>
                        </a:rPr>
                        <m:t>∙1,25</m:t>
                      </m:r>
                    </m:den>
                  </m:f>
                </m:oMath>
              </a14:m>
              <a:r>
                <a:rPr lang="nb-NO" sz="1100"/>
                <a:t> =</a:t>
              </a:r>
            </a:p>
          </xdr:txBody>
        </xdr:sp>
      </mc:Choice>
      <mc:Fallback xmlns="">
        <xdr:sp macro="" textlink="">
          <xdr:nvSpPr>
            <xdr:cNvPr id="7" name="TekstSylinder 6"/>
            <xdr:cNvSpPr txBox="1"/>
          </xdr:nvSpPr>
          <xdr:spPr>
            <a:xfrm>
              <a:off x="1919286" y="4986337"/>
              <a:ext cx="1433513" cy="3490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 panose="02040503050406030204" pitchFamily="18" charset="0"/>
                </a:rPr>
                <a:t>(</a:t>
              </a:r>
              <a:r>
                <a:rPr lang="nb-NO" sz="1100" b="0" i="0">
                  <a:latin typeface="Cambria Math"/>
                </a:rPr>
                <a:t>365 𝑑𝑎𝑔𝑒𝑟 ∙</a:t>
              </a:r>
              <a:r>
                <a:rPr lang="nb-NO" sz="1100" b="0" i="0">
                  <a:latin typeface="Cambria Math" panose="02040503050406030204" pitchFamily="18" charset="0"/>
                </a:rPr>
                <a:t> </a:t>
              </a:r>
              <a:r>
                <a:rPr lang="nb-NO" sz="1100" b="0" i="0">
                  <a:latin typeface="Cambria Math"/>
                </a:rPr>
                <a:t>500 000</a:t>
              </a:r>
              <a:r>
                <a:rPr lang="nb-NO" sz="1100" b="0" i="0">
                  <a:latin typeface="Cambria Math" panose="02040503050406030204" pitchFamily="18" charset="0"/>
                </a:rPr>
                <a:t>)/(</a:t>
              </a:r>
              <a:r>
                <a:rPr lang="nb-NO" sz="1100" b="0" i="0">
                  <a:latin typeface="Cambria Math"/>
                </a:rPr>
                <a:t>6 400 000 </a:t>
              </a:r>
              <a:r>
                <a:rPr lang="nb-NO" sz="1100" b="0" i="0">
                  <a:latin typeface="Cambria Math"/>
                  <a:ea typeface="Cambria Math"/>
                </a:rPr>
                <a:t>∙1,25</a:t>
              </a:r>
              <a:r>
                <a:rPr lang="nb-NO" sz="1100" b="0" i="0">
                  <a:latin typeface="Cambria Math" panose="02040503050406030204" pitchFamily="18" charset="0"/>
                  <a:ea typeface="Cambria Math"/>
                </a:rPr>
                <a:t>)</a:t>
              </a:r>
              <a:r>
                <a:rPr lang="nb-NO" sz="1100"/>
                <a:t> =</a:t>
              </a: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538161</xdr:colOff>
      <xdr:row>24</xdr:row>
      <xdr:rowOff>61912</xdr:rowOff>
    </xdr:from>
    <xdr:ext cx="2528889" cy="36375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kstSylinder 1"/>
            <xdr:cNvSpPr txBox="1"/>
          </xdr:nvSpPr>
          <xdr:spPr>
            <a:xfrm>
              <a:off x="1309686" y="5795962"/>
              <a:ext cx="2528889" cy="3637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d>
                        <m:dPr>
                          <m:ctrlPr>
                            <a:rPr lang="nb-NO" sz="11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nb-NO" sz="1100" b="0" i="1">
                              <a:latin typeface="Cambria Math"/>
                            </a:rPr>
                            <m:t>𝑅𝑒𝑠𝑢𝑙𝑡𝑎𝑡</m:t>
                          </m:r>
                          <m:r>
                            <a:rPr lang="nb-NO" sz="1100" b="0" i="1">
                              <a:latin typeface="Cambria Math"/>
                            </a:rPr>
                            <m:t> </m:t>
                          </m:r>
                          <m:r>
                            <a:rPr lang="nb-NO" sz="1100" b="0" i="1">
                              <a:latin typeface="Cambria Math"/>
                            </a:rPr>
                            <m:t>𝑓</m:t>
                          </m:r>
                          <m:r>
                            <a:rPr lang="nb-NO" sz="1100" b="0" i="1">
                              <a:latin typeface="Cambria Math"/>
                            </a:rPr>
                            <m:t>ø</m:t>
                          </m:r>
                          <m:r>
                            <a:rPr lang="nb-NO" sz="1100" b="0" i="1">
                              <a:latin typeface="Cambria Math"/>
                            </a:rPr>
                            <m:t>𝑟</m:t>
                          </m:r>
                          <m:r>
                            <a:rPr lang="nb-NO" sz="1100" b="0" i="1">
                              <a:latin typeface="Cambria Math"/>
                            </a:rPr>
                            <m:t> </m:t>
                          </m:r>
                          <m:r>
                            <a:rPr lang="nb-NO" sz="1100" b="0" i="1">
                              <a:latin typeface="Cambria Math"/>
                            </a:rPr>
                            <m:t>𝑠𝑘𝑎𝑡𝑡</m:t>
                          </m:r>
                          <m:r>
                            <a:rPr lang="nb-NO" sz="1100" b="0" i="1">
                              <a:latin typeface="Cambria Math"/>
                            </a:rPr>
                            <m:t>+</m:t>
                          </m:r>
                          <m:r>
                            <a:rPr lang="nb-NO" sz="1100" b="0" i="1">
                              <a:latin typeface="Cambria Math"/>
                            </a:rPr>
                            <m:t>𝑟𝑒𝑛𝑡𝑒𝑘𝑜𝑠𝑡𝑛𝑎𝑑𝑒𝑟</m:t>
                          </m:r>
                        </m:e>
                      </m:d>
                      <m:r>
                        <a:rPr lang="nb-NO" sz="1100" b="0" i="1">
                          <a:latin typeface="Cambria Math"/>
                        </a:rPr>
                        <m:t> </m:t>
                      </m:r>
                      <m:r>
                        <a:rPr lang="nb-NO" sz="1100" b="0" i="1">
                          <a:latin typeface="Cambria Math"/>
                          <a:ea typeface="Cambria Math"/>
                        </a:rPr>
                        <m:t>∙100 %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𝐺𝑗𝑒𝑛𝑛𝑜𝑚𝑠𝑛𝑖𝑡𝑡𝑙𝑖𝑔</m:t>
                      </m:r>
                      <m:r>
                        <a:rPr lang="nb-NO" sz="1100" b="0" i="1">
                          <a:latin typeface="Cambria Math"/>
                        </a:rPr>
                        <m:t> </m:t>
                      </m:r>
                      <m:r>
                        <a:rPr lang="nb-NO" sz="1100" b="0" i="1">
                          <a:latin typeface="Cambria Math"/>
                        </a:rPr>
                        <m:t>𝑡𝑜𝑡𝑎𝑙𝑘𝑎𝑝𝑖𝑡𝑎𝑙</m:t>
                      </m:r>
                    </m:den>
                  </m:f>
                </m:oMath>
              </a14:m>
              <a:r>
                <a:rPr lang="nb-NO" sz="1100"/>
                <a:t> =</a:t>
              </a:r>
            </a:p>
          </xdr:txBody>
        </xdr:sp>
      </mc:Choice>
      <mc:Fallback xmlns="">
        <xdr:sp macro="" textlink="">
          <xdr:nvSpPr>
            <xdr:cNvPr id="2" name="TekstSylinder 1"/>
            <xdr:cNvSpPr txBox="1"/>
          </xdr:nvSpPr>
          <xdr:spPr>
            <a:xfrm>
              <a:off x="1309686" y="5795962"/>
              <a:ext cx="2528889" cy="36375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/>
                </a:rPr>
                <a:t>(</a:t>
              </a:r>
              <a:r>
                <a:rPr lang="nb-NO" sz="1100" b="0" i="0">
                  <a:latin typeface="Cambria Math"/>
                </a:rPr>
                <a:t>(𝑅𝑒𝑠𝑢𝑙𝑡𝑎𝑡 𝑓ø𝑟 𝑠𝑘𝑎𝑡𝑡+𝑟𝑒𝑛𝑡𝑒𝑘𝑜𝑠𝑡𝑛𝑎𝑑𝑒𝑟)  </a:t>
              </a:r>
              <a:r>
                <a:rPr lang="nb-NO" sz="1100" b="0" i="0">
                  <a:latin typeface="Cambria Math"/>
                  <a:ea typeface="Cambria Math"/>
                </a:rPr>
                <a:t>∙100 %)/(</a:t>
              </a:r>
              <a:r>
                <a:rPr lang="nb-NO" sz="1100" b="0" i="0">
                  <a:latin typeface="Cambria Math"/>
                </a:rPr>
                <a:t>𝐺𝑗𝑒𝑛𝑛𝑜𝑚𝑠𝑛𝑖𝑡𝑡𝑙𝑖𝑔 𝑡𝑜𝑡𝑎𝑙𝑘𝑎𝑝𝑖𝑡𝑎𝑙)</a:t>
              </a:r>
              <a:r>
                <a:rPr lang="nb-NO" sz="1100"/>
                <a:t> =</a:t>
              </a:r>
            </a:p>
          </xdr:txBody>
        </xdr:sp>
      </mc:Fallback>
    </mc:AlternateContent>
    <xdr:clientData/>
  </xdr:oneCellAnchor>
  <xdr:oneCellAnchor>
    <xdr:from>
      <xdr:col>4</xdr:col>
      <xdr:colOff>700086</xdr:colOff>
      <xdr:row>24</xdr:row>
      <xdr:rowOff>80962</xdr:rowOff>
    </xdr:from>
    <xdr:ext cx="1462089" cy="34464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kstSylinder 2"/>
            <xdr:cNvSpPr txBox="1"/>
          </xdr:nvSpPr>
          <xdr:spPr>
            <a:xfrm>
              <a:off x="3795711" y="5815012"/>
              <a:ext cx="1462089" cy="3446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d>
                        <m:dPr>
                          <m:ctrlPr>
                            <a:rPr lang="nb-NO" sz="1100" b="0" i="1">
                              <a:latin typeface="Cambria Math"/>
                            </a:rPr>
                          </m:ctrlPr>
                        </m:dPr>
                        <m:e>
                          <m:r>
                            <a:rPr lang="nb-NO" sz="1100" b="0" i="1">
                              <a:latin typeface="Cambria Math"/>
                            </a:rPr>
                            <m:t>1 200+75</m:t>
                          </m:r>
                        </m:e>
                      </m:d>
                      <m:r>
                        <a:rPr lang="nb-NO" sz="1100" b="0" i="1">
                          <a:latin typeface="Cambria Math"/>
                          <a:ea typeface="Cambria Math"/>
                        </a:rPr>
                        <m:t>∙100 %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3 750</m:t>
                      </m:r>
                    </m:den>
                  </m:f>
                </m:oMath>
              </a14:m>
              <a:r>
                <a:rPr lang="nb-NO" sz="1100"/>
                <a:t> = 34 %</a:t>
              </a:r>
            </a:p>
          </xdr:txBody>
        </xdr:sp>
      </mc:Choice>
      <mc:Fallback xmlns="">
        <xdr:sp macro="" textlink="">
          <xdr:nvSpPr>
            <xdr:cNvPr id="3" name="TekstSylinder 2"/>
            <xdr:cNvSpPr txBox="1"/>
          </xdr:nvSpPr>
          <xdr:spPr>
            <a:xfrm>
              <a:off x="3795711" y="5815012"/>
              <a:ext cx="1462089" cy="34464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/>
                </a:rPr>
                <a:t>(</a:t>
              </a:r>
              <a:r>
                <a:rPr lang="nb-NO" sz="1100" b="0" i="0">
                  <a:latin typeface="Cambria Math"/>
                </a:rPr>
                <a:t>(1 200+75)</a:t>
              </a:r>
              <a:r>
                <a:rPr lang="nb-NO" sz="1100" b="0" i="0">
                  <a:latin typeface="Cambria Math"/>
                  <a:ea typeface="Cambria Math"/>
                </a:rPr>
                <a:t>∙100 %)/(</a:t>
              </a:r>
              <a:r>
                <a:rPr lang="nb-NO" sz="1100" b="0" i="0">
                  <a:latin typeface="Cambria Math"/>
                </a:rPr>
                <a:t>3 750)</a:t>
              </a:r>
              <a:r>
                <a:rPr lang="nb-NO" sz="1100"/>
                <a:t> = 34 %</a:t>
              </a:r>
            </a:p>
          </xdr:txBody>
        </xdr:sp>
      </mc:Fallback>
    </mc:AlternateContent>
    <xdr:clientData/>
  </xdr:oneCellAnchor>
  <xdr:oneCellAnchor>
    <xdr:from>
      <xdr:col>2</xdr:col>
      <xdr:colOff>1490661</xdr:colOff>
      <xdr:row>26</xdr:row>
      <xdr:rowOff>109537</xdr:rowOff>
    </xdr:from>
    <xdr:ext cx="985839" cy="3370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kstSylinder 3"/>
            <xdr:cNvSpPr txBox="1"/>
          </xdr:nvSpPr>
          <xdr:spPr>
            <a:xfrm>
              <a:off x="2262186" y="6224587"/>
              <a:ext cx="985839" cy="3370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/>
                        </a:rPr>
                        <m:t>1 200 </m:t>
                      </m:r>
                      <m:r>
                        <a:rPr lang="nb-NO" sz="1100" b="0" i="1">
                          <a:latin typeface="Cambria Math"/>
                          <a:ea typeface="Cambria Math"/>
                        </a:rPr>
                        <m:t>∙100 %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2 250</m:t>
                      </m:r>
                    </m:den>
                  </m:f>
                </m:oMath>
              </a14:m>
              <a:r>
                <a:rPr lang="nb-NO" sz="1100"/>
                <a:t> = </a:t>
              </a:r>
            </a:p>
          </xdr:txBody>
        </xdr:sp>
      </mc:Choice>
      <mc:Fallback xmlns="">
        <xdr:sp macro="" textlink="">
          <xdr:nvSpPr>
            <xdr:cNvPr id="4" name="TekstSylinder 3"/>
            <xdr:cNvSpPr txBox="1"/>
          </xdr:nvSpPr>
          <xdr:spPr>
            <a:xfrm>
              <a:off x="2262186" y="6224587"/>
              <a:ext cx="985839" cy="3370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/>
                </a:rPr>
                <a:t>(</a:t>
              </a:r>
              <a:r>
                <a:rPr lang="nb-NO" sz="1100" b="0" i="0">
                  <a:latin typeface="Cambria Math"/>
                </a:rPr>
                <a:t>1 200 </a:t>
              </a:r>
              <a:r>
                <a:rPr lang="nb-NO" sz="1100" b="0" i="0">
                  <a:latin typeface="Cambria Math"/>
                  <a:ea typeface="Cambria Math"/>
                </a:rPr>
                <a:t>∙100 %)/(</a:t>
              </a:r>
              <a:r>
                <a:rPr lang="nb-NO" sz="1100" b="0" i="0">
                  <a:latin typeface="Cambria Math"/>
                </a:rPr>
                <a:t>2 250)</a:t>
              </a:r>
              <a:r>
                <a:rPr lang="nb-NO" sz="1100"/>
                <a:t> = </a:t>
              </a:r>
            </a:p>
          </xdr:txBody>
        </xdr:sp>
      </mc:Fallback>
    </mc:AlternateContent>
    <xdr:clientData/>
  </xdr:oneCellAnchor>
  <xdr:oneCellAnchor>
    <xdr:from>
      <xdr:col>2</xdr:col>
      <xdr:colOff>404811</xdr:colOff>
      <xdr:row>28</xdr:row>
      <xdr:rowOff>157162</xdr:rowOff>
    </xdr:from>
    <xdr:ext cx="909639" cy="3370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kstSylinder 4"/>
            <xdr:cNvSpPr txBox="1"/>
          </xdr:nvSpPr>
          <xdr:spPr>
            <a:xfrm>
              <a:off x="1176336" y="6653212"/>
              <a:ext cx="909639" cy="3370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/>
                        </a:rPr>
                        <m:t>1 275 </m:t>
                      </m:r>
                      <m:r>
                        <a:rPr lang="nb-NO" sz="1100" b="0" i="1">
                          <a:latin typeface="Cambria Math"/>
                          <a:ea typeface="Cambria Math"/>
                        </a:rPr>
                        <m:t>∙100 %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7 605</m:t>
                      </m:r>
                    </m:den>
                  </m:f>
                </m:oMath>
              </a14:m>
              <a:r>
                <a:rPr lang="nb-NO" sz="1100"/>
                <a:t> =</a:t>
              </a:r>
            </a:p>
          </xdr:txBody>
        </xdr:sp>
      </mc:Choice>
      <mc:Fallback xmlns="">
        <xdr:sp macro="" textlink="">
          <xdr:nvSpPr>
            <xdr:cNvPr id="5" name="TekstSylinder 4"/>
            <xdr:cNvSpPr txBox="1"/>
          </xdr:nvSpPr>
          <xdr:spPr>
            <a:xfrm>
              <a:off x="1176336" y="6653212"/>
              <a:ext cx="909639" cy="3370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/>
                </a:rPr>
                <a:t>(</a:t>
              </a:r>
              <a:r>
                <a:rPr lang="nb-NO" sz="1100" b="0" i="0">
                  <a:latin typeface="Cambria Math"/>
                </a:rPr>
                <a:t>1 275 </a:t>
              </a:r>
              <a:r>
                <a:rPr lang="nb-NO" sz="1100" b="0" i="0">
                  <a:latin typeface="Cambria Math"/>
                  <a:ea typeface="Cambria Math"/>
                </a:rPr>
                <a:t>∙100 %)/(</a:t>
              </a:r>
              <a:r>
                <a:rPr lang="nb-NO" sz="1100" b="0" i="0">
                  <a:latin typeface="Cambria Math"/>
                </a:rPr>
                <a:t>7 605)</a:t>
              </a:r>
              <a:r>
                <a:rPr lang="nb-NO" sz="1100"/>
                <a:t> =</a:t>
              </a:r>
            </a:p>
          </xdr:txBody>
        </xdr:sp>
      </mc:Fallback>
    </mc:AlternateContent>
    <xdr:clientData/>
  </xdr:oneCellAnchor>
  <xdr:oneCellAnchor>
    <xdr:from>
      <xdr:col>2</xdr:col>
      <xdr:colOff>1157287</xdr:colOff>
      <xdr:row>30</xdr:row>
      <xdr:rowOff>147637</xdr:rowOff>
    </xdr:from>
    <xdr:ext cx="652463" cy="33515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kstSylinder 5"/>
            <xdr:cNvSpPr txBox="1"/>
          </xdr:nvSpPr>
          <xdr:spPr>
            <a:xfrm>
              <a:off x="1928812" y="7024687"/>
              <a:ext cx="652463" cy="335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/>
                        </a:rPr>
                        <m:t>7 605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3 750</m:t>
                      </m:r>
                    </m:den>
                  </m:f>
                </m:oMath>
              </a14:m>
              <a:r>
                <a:rPr lang="nb-NO" sz="1100"/>
                <a:t> =</a:t>
              </a:r>
            </a:p>
          </xdr:txBody>
        </xdr:sp>
      </mc:Choice>
      <mc:Fallback xmlns="">
        <xdr:sp macro="" textlink="">
          <xdr:nvSpPr>
            <xdr:cNvPr id="6" name="TekstSylinder 5"/>
            <xdr:cNvSpPr txBox="1"/>
          </xdr:nvSpPr>
          <xdr:spPr>
            <a:xfrm>
              <a:off x="1928812" y="7024687"/>
              <a:ext cx="652463" cy="33515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rtlCol="0" anchor="t">
              <a:spAutoFit/>
            </a:bodyPr>
            <a:lstStyle/>
            <a:p>
              <a:r>
                <a:rPr lang="nb-NO" sz="1100" i="0">
                  <a:latin typeface="Cambria Math"/>
                </a:rPr>
                <a:t>(</a:t>
              </a:r>
              <a:r>
                <a:rPr lang="nb-NO" sz="1100" b="0" i="0">
                  <a:latin typeface="Cambria Math"/>
                </a:rPr>
                <a:t>7 605)/(3 750)</a:t>
              </a:r>
              <a:r>
                <a:rPr lang="nb-NO" sz="1100"/>
                <a:t> =</a:t>
              </a:r>
            </a:p>
          </xdr:txBody>
        </xdr:sp>
      </mc:Fallback>
    </mc:AlternateContent>
    <xdr:clientData/>
  </xdr:oneCellAnchor>
  <xdr:oneCellAnchor>
    <xdr:from>
      <xdr:col>2</xdr:col>
      <xdr:colOff>1100137</xdr:colOff>
      <xdr:row>40</xdr:row>
      <xdr:rowOff>100012</xdr:rowOff>
    </xdr:from>
    <xdr:ext cx="914400" cy="33708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kstSylinder 6"/>
            <xdr:cNvSpPr txBox="1"/>
          </xdr:nvSpPr>
          <xdr:spPr>
            <a:xfrm>
              <a:off x="1871662" y="8958262"/>
              <a:ext cx="914400" cy="3370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14:m>
                <m:oMath xmlns:m="http://schemas.openxmlformats.org/officeDocument/2006/math">
                  <m:f>
                    <m:fPr>
                      <m:ctrlPr>
                        <a:rPr lang="nb-NO" sz="1100" i="1">
                          <a:latin typeface="Cambria Math"/>
                        </a:rPr>
                      </m:ctrlPr>
                    </m:fPr>
                    <m:num>
                      <m:r>
                        <a:rPr lang="nb-NO" sz="1100" b="0" i="1">
                          <a:latin typeface="Cambria Math"/>
                        </a:rPr>
                        <m:t>75 </m:t>
                      </m:r>
                      <m:r>
                        <a:rPr lang="nb-NO" sz="1100" b="0" i="1">
                          <a:latin typeface="Cambria Math"/>
                          <a:ea typeface="Cambria Math"/>
                        </a:rPr>
                        <m:t>∙100 %</m:t>
                      </m:r>
                    </m:num>
                    <m:den>
                      <m:r>
                        <a:rPr lang="nb-NO" sz="1100" b="0" i="1">
                          <a:latin typeface="Cambria Math"/>
                        </a:rPr>
                        <m:t>1 500</m:t>
                      </m:r>
                    </m:den>
                  </m:f>
                </m:oMath>
              </a14:m>
              <a:r>
                <a:rPr lang="nb-NO" sz="1100"/>
                <a:t> =</a:t>
              </a:r>
            </a:p>
          </xdr:txBody>
        </xdr:sp>
      </mc:Choice>
      <mc:Fallback xmlns="">
        <xdr:sp macro="" textlink="">
          <xdr:nvSpPr>
            <xdr:cNvPr id="7" name="TekstSylinder 6"/>
            <xdr:cNvSpPr txBox="1"/>
          </xdr:nvSpPr>
          <xdr:spPr>
            <a:xfrm>
              <a:off x="1871662" y="8958262"/>
              <a:ext cx="914400" cy="33708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rtlCol="0" anchor="t">
              <a:spAutoFit/>
            </a:bodyPr>
            <a:lstStyle/>
            <a:p>
              <a:r>
                <a:rPr lang="nb-NO" sz="1100" i="0">
                  <a:latin typeface="Cambria Math"/>
                </a:rPr>
                <a:t>(</a:t>
              </a:r>
              <a:r>
                <a:rPr lang="nb-NO" sz="1100" b="0" i="0">
                  <a:latin typeface="Cambria Math"/>
                </a:rPr>
                <a:t>75 </a:t>
              </a:r>
              <a:r>
                <a:rPr lang="nb-NO" sz="1100" b="0" i="0">
                  <a:latin typeface="Cambria Math"/>
                  <a:ea typeface="Cambria Math"/>
                </a:rPr>
                <a:t>∙100 %)/(</a:t>
              </a:r>
              <a:r>
                <a:rPr lang="nb-NO" sz="1100" b="0" i="0">
                  <a:latin typeface="Cambria Math"/>
                </a:rPr>
                <a:t>1 500)</a:t>
              </a:r>
              <a:r>
                <a:rPr lang="nb-NO" sz="1100"/>
                <a:t> =</a:t>
              </a:r>
            </a:p>
          </xdr:txBody>
        </xdr:sp>
      </mc:Fallback>
    </mc:AlternateContent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8"/>
  <sheetViews>
    <sheetView tabSelected="1" workbookViewId="0">
      <selection activeCell="A2" sqref="A2"/>
    </sheetView>
  </sheetViews>
  <sheetFormatPr baseColWidth="10" defaultColWidth="9.140625" defaultRowHeight="15.75" x14ac:dyDescent="0.25"/>
  <cols>
    <col min="1" max="1" width="22.85546875" style="2" bestFit="1" customWidth="1"/>
    <col min="2" max="2" width="9.28515625" style="3" bestFit="1" customWidth="1"/>
    <col min="3" max="3" width="9.28515625" style="3" customWidth="1"/>
    <col min="4" max="5" width="9.28515625" style="3" bestFit="1" customWidth="1"/>
    <col min="6" max="9" width="9.28515625" style="2" bestFit="1" customWidth="1"/>
    <col min="10" max="16384" width="9.140625" style="2"/>
  </cols>
  <sheetData>
    <row r="1" spans="1:17" x14ac:dyDescent="0.25">
      <c r="A1" s="7" t="s">
        <v>458</v>
      </c>
    </row>
    <row r="2" spans="1:17" s="28" customFormat="1" ht="12" x14ac:dyDescent="0.2">
      <c r="A2" s="28" t="s">
        <v>551</v>
      </c>
      <c r="B2" s="29"/>
      <c r="C2" s="29"/>
      <c r="D2" s="29"/>
      <c r="E2" s="29"/>
    </row>
    <row r="3" spans="1:17" x14ac:dyDescent="0.25">
      <c r="A3" s="1" t="s">
        <v>0</v>
      </c>
    </row>
    <row r="4" spans="1:17" x14ac:dyDescent="0.25">
      <c r="A4" s="2" t="s">
        <v>1</v>
      </c>
      <c r="B4" s="4">
        <v>3200</v>
      </c>
      <c r="C4" s="154"/>
      <c r="D4" s="154"/>
      <c r="E4" s="154"/>
    </row>
    <row r="5" spans="1:17" s="5" customFormat="1" ht="20.25" x14ac:dyDescent="0.3">
      <c r="A5" s="2" t="s">
        <v>5</v>
      </c>
      <c r="B5" s="6">
        <f>SUM(B4)</f>
        <v>3200</v>
      </c>
      <c r="C5" s="154"/>
      <c r="D5" s="154"/>
      <c r="E5" s="154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</row>
    <row r="6" spans="1:17" s="24" customFormat="1" ht="8.25" x14ac:dyDescent="0.15">
      <c r="B6" s="25"/>
      <c r="C6" s="175"/>
      <c r="D6" s="175"/>
      <c r="E6" s="175"/>
    </row>
    <row r="7" spans="1:17" x14ac:dyDescent="0.25">
      <c r="A7" s="2" t="s">
        <v>2</v>
      </c>
      <c r="B7" s="3">
        <v>1600</v>
      </c>
      <c r="C7" s="154"/>
      <c r="D7" s="154"/>
      <c r="E7" s="154"/>
    </row>
    <row r="8" spans="1:17" x14ac:dyDescent="0.25">
      <c r="A8" s="2" t="s">
        <v>3</v>
      </c>
      <c r="B8" s="3">
        <v>1950</v>
      </c>
      <c r="C8" s="154"/>
      <c r="D8" s="154"/>
      <c r="E8" s="154"/>
    </row>
    <row r="9" spans="1:17" x14ac:dyDescent="0.25">
      <c r="A9" s="2" t="s">
        <v>4</v>
      </c>
      <c r="B9" s="3">
        <v>1250</v>
      </c>
      <c r="C9" s="154"/>
      <c r="D9" s="154"/>
      <c r="E9" s="154"/>
    </row>
    <row r="10" spans="1:17" s="5" customFormat="1" ht="20.25" x14ac:dyDescent="0.3">
      <c r="A10" s="2" t="s">
        <v>17</v>
      </c>
      <c r="B10" s="6">
        <f>SUM(B7:B9)</f>
        <v>4800</v>
      </c>
      <c r="C10" s="154"/>
      <c r="D10" s="154"/>
      <c r="E10" s="154"/>
      <c r="F10" s="2"/>
      <c r="G10" s="2"/>
      <c r="H10" s="2"/>
      <c r="I10" s="2"/>
      <c r="J10" s="2"/>
      <c r="K10" s="2"/>
      <c r="L10" s="2"/>
      <c r="M10" s="2"/>
    </row>
    <row r="11" spans="1:17" s="24" customFormat="1" ht="8.25" x14ac:dyDescent="0.15">
      <c r="B11" s="25"/>
      <c r="C11" s="175"/>
      <c r="D11" s="175"/>
      <c r="E11" s="175"/>
    </row>
    <row r="12" spans="1:17" x14ac:dyDescent="0.25">
      <c r="A12" s="2" t="s">
        <v>6</v>
      </c>
      <c r="B12" s="4">
        <f>B5+B10</f>
        <v>8000</v>
      </c>
      <c r="C12" s="154"/>
      <c r="D12" s="154"/>
      <c r="E12" s="154"/>
    </row>
    <row r="13" spans="1:17" s="26" customFormat="1" ht="11.25" x14ac:dyDescent="0.2">
      <c r="B13" s="27"/>
      <c r="C13" s="174"/>
      <c r="D13" s="174"/>
      <c r="E13" s="174"/>
    </row>
    <row r="14" spans="1:17" x14ac:dyDescent="0.25">
      <c r="A14" s="1" t="s">
        <v>7</v>
      </c>
      <c r="C14" s="154"/>
      <c r="D14" s="154"/>
      <c r="E14" s="154"/>
    </row>
    <row r="15" spans="1:17" x14ac:dyDescent="0.25">
      <c r="A15" s="2" t="s">
        <v>8</v>
      </c>
      <c r="B15" s="4">
        <v>2800</v>
      </c>
      <c r="C15" s="154"/>
      <c r="D15" s="154"/>
      <c r="E15" s="154"/>
    </row>
    <row r="16" spans="1:17" s="24" customFormat="1" ht="8.25" x14ac:dyDescent="0.15">
      <c r="B16" s="25"/>
      <c r="C16" s="175"/>
      <c r="D16" s="175"/>
      <c r="E16" s="175"/>
    </row>
    <row r="17" spans="1:16" x14ac:dyDescent="0.25">
      <c r="A17" s="1" t="s">
        <v>9</v>
      </c>
      <c r="C17" s="154"/>
      <c r="D17" s="154"/>
      <c r="E17" s="154"/>
    </row>
    <row r="18" spans="1:16" x14ac:dyDescent="0.25">
      <c r="A18" s="2" t="s">
        <v>10</v>
      </c>
      <c r="B18" s="4">
        <v>1800</v>
      </c>
      <c r="C18" s="154"/>
      <c r="D18" s="154"/>
      <c r="E18" s="154"/>
    </row>
    <row r="19" spans="1:16" s="24" customFormat="1" ht="8.25" x14ac:dyDescent="0.15">
      <c r="B19" s="25"/>
      <c r="C19" s="175"/>
      <c r="D19" s="175"/>
      <c r="E19" s="175"/>
    </row>
    <row r="20" spans="1:16" x14ac:dyDescent="0.25">
      <c r="A20" s="2" t="s">
        <v>11</v>
      </c>
      <c r="B20" s="3">
        <v>1150</v>
      </c>
      <c r="C20" s="154"/>
      <c r="D20" s="154"/>
      <c r="E20" s="154"/>
    </row>
    <row r="21" spans="1:16" x14ac:dyDescent="0.25">
      <c r="A21" s="2" t="s">
        <v>12</v>
      </c>
      <c r="B21" s="3">
        <v>2250</v>
      </c>
      <c r="C21" s="154"/>
      <c r="D21" s="154"/>
      <c r="E21" s="154"/>
    </row>
    <row r="22" spans="1:16" s="5" customFormat="1" ht="20.25" x14ac:dyDescent="0.3">
      <c r="A22" s="2" t="s">
        <v>13</v>
      </c>
      <c r="B22" s="6">
        <f>SUM(B20:B21)</f>
        <v>3400</v>
      </c>
      <c r="C22" s="154"/>
      <c r="D22" s="154"/>
      <c r="E22" s="154"/>
      <c r="F22" s="2"/>
      <c r="G22" s="2"/>
      <c r="H22" s="2"/>
      <c r="I22" s="2"/>
      <c r="J22" s="2"/>
      <c r="K22" s="2"/>
      <c r="L22" s="2"/>
      <c r="M22" s="2"/>
      <c r="N22" s="2"/>
      <c r="O22" s="2"/>
    </row>
    <row r="23" spans="1:16" s="24" customFormat="1" ht="8.25" x14ac:dyDescent="0.15">
      <c r="B23" s="25"/>
      <c r="C23" s="175"/>
      <c r="D23" s="175"/>
      <c r="E23" s="175"/>
    </row>
    <row r="24" spans="1:16" x14ac:dyDescent="0.25">
      <c r="A24" s="2" t="s">
        <v>14</v>
      </c>
      <c r="B24" s="4">
        <f>B15+B18+B22</f>
        <v>8000</v>
      </c>
      <c r="C24" s="154"/>
      <c r="D24" s="154"/>
      <c r="E24" s="154"/>
    </row>
    <row r="25" spans="1:16" s="28" customFormat="1" ht="12" x14ac:dyDescent="0.2">
      <c r="B25" s="29"/>
      <c r="C25" s="181"/>
      <c r="D25" s="181"/>
      <c r="E25" s="181"/>
    </row>
    <row r="26" spans="1:16" x14ac:dyDescent="0.25">
      <c r="A26" s="7" t="s">
        <v>15</v>
      </c>
    </row>
    <row r="27" spans="1:16" x14ac:dyDescent="0.25">
      <c r="A27" s="2" t="s">
        <v>16</v>
      </c>
      <c r="B27" s="3">
        <f>B5</f>
        <v>3200</v>
      </c>
      <c r="C27" s="8">
        <f>B27/$B$29</f>
        <v>0.4</v>
      </c>
    </row>
    <row r="28" spans="1:16" x14ac:dyDescent="0.25">
      <c r="A28" s="2" t="s">
        <v>17</v>
      </c>
      <c r="B28" s="3">
        <f>B10</f>
        <v>4800</v>
      </c>
      <c r="C28" s="8">
        <f t="shared" ref="C28:C29" si="0">B28/$B$29</f>
        <v>0.6</v>
      </c>
    </row>
    <row r="29" spans="1:16" s="5" customFormat="1" ht="20.25" x14ac:dyDescent="0.3">
      <c r="A29" s="2" t="s">
        <v>6</v>
      </c>
      <c r="B29" s="6">
        <f>SUM(B27:B28)</f>
        <v>8000</v>
      </c>
      <c r="C29" s="9">
        <f t="shared" si="0"/>
        <v>1</v>
      </c>
      <c r="D29" s="3"/>
      <c r="E29" s="3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s="24" customFormat="1" ht="8.25" x14ac:dyDescent="0.15">
      <c r="B30" s="25"/>
      <c r="C30" s="25"/>
      <c r="D30" s="25"/>
      <c r="E30" s="25"/>
    </row>
    <row r="31" spans="1:16" x14ac:dyDescent="0.25">
      <c r="A31" s="2" t="s">
        <v>8</v>
      </c>
      <c r="B31" s="3">
        <f>B15</f>
        <v>2800</v>
      </c>
      <c r="C31" s="8">
        <f>B31/$B$34</f>
        <v>0.35</v>
      </c>
    </row>
    <row r="32" spans="1:16" x14ac:dyDescent="0.25">
      <c r="A32" s="2" t="s">
        <v>10</v>
      </c>
      <c r="B32" s="3">
        <f>B18</f>
        <v>1800</v>
      </c>
      <c r="C32" s="8">
        <f t="shared" ref="C32:C34" si="1">B32/$B$34</f>
        <v>0.22500000000000001</v>
      </c>
    </row>
    <row r="33" spans="1:16" x14ac:dyDescent="0.25">
      <c r="A33" s="2" t="s">
        <v>18</v>
      </c>
      <c r="B33" s="3">
        <f>B22</f>
        <v>3400</v>
      </c>
      <c r="C33" s="8">
        <f t="shared" si="1"/>
        <v>0.42499999999999999</v>
      </c>
    </row>
    <row r="34" spans="1:16" s="5" customFormat="1" ht="20.25" x14ac:dyDescent="0.3">
      <c r="A34" s="2"/>
      <c r="B34" s="6">
        <f>SUM(B31:B33)</f>
        <v>8000</v>
      </c>
      <c r="C34" s="9">
        <f t="shared" si="1"/>
        <v>1</v>
      </c>
      <c r="D34" s="3"/>
      <c r="E34" s="3"/>
      <c r="F34" s="2"/>
      <c r="G34" s="2"/>
      <c r="H34" s="2"/>
      <c r="I34" s="2"/>
      <c r="J34" s="2"/>
      <c r="K34" s="2"/>
      <c r="L34" s="2"/>
      <c r="M34" s="2"/>
      <c r="N34" s="2"/>
    </row>
    <row r="36" spans="1:16" x14ac:dyDescent="0.25">
      <c r="A36" s="10"/>
      <c r="B36" s="227" t="s">
        <v>0</v>
      </c>
      <c r="C36" s="228"/>
      <c r="D36" s="227" t="s">
        <v>8</v>
      </c>
      <c r="E36" s="228"/>
      <c r="F36" s="227" t="s">
        <v>10</v>
      </c>
      <c r="G36" s="228"/>
      <c r="H36" s="229" t="s">
        <v>18</v>
      </c>
      <c r="I36" s="229"/>
    </row>
    <row r="37" spans="1:16" x14ac:dyDescent="0.25">
      <c r="A37" s="11"/>
      <c r="B37" s="12" t="s">
        <v>19</v>
      </c>
      <c r="C37" s="12" t="s">
        <v>20</v>
      </c>
      <c r="D37" s="12" t="s">
        <v>19</v>
      </c>
      <c r="E37" s="12" t="s">
        <v>20</v>
      </c>
      <c r="F37" s="12" t="s">
        <v>19</v>
      </c>
      <c r="G37" s="12" t="s">
        <v>20</v>
      </c>
      <c r="H37" s="12" t="s">
        <v>19</v>
      </c>
      <c r="I37" s="12" t="s">
        <v>20</v>
      </c>
    </row>
    <row r="38" spans="1:16" x14ac:dyDescent="0.25">
      <c r="A38" s="13" t="s">
        <v>16</v>
      </c>
      <c r="B38" s="14">
        <f>B27</f>
        <v>3200</v>
      </c>
      <c r="C38" s="15">
        <f>B38/$B$42</f>
        <v>0.4</v>
      </c>
      <c r="D38" s="14">
        <v>2800</v>
      </c>
      <c r="E38" s="15">
        <f>D38/B38</f>
        <v>0.875</v>
      </c>
      <c r="F38" s="14">
        <v>400</v>
      </c>
      <c r="G38" s="15">
        <f>F38/B38</f>
        <v>0.125</v>
      </c>
      <c r="H38" s="14"/>
      <c r="I38" s="15"/>
    </row>
    <row r="39" spans="1:16" x14ac:dyDescent="0.25">
      <c r="A39" s="17" t="s">
        <v>21</v>
      </c>
      <c r="B39" s="18">
        <f>B7</f>
        <v>1600</v>
      </c>
      <c r="C39" s="19">
        <f t="shared" ref="C39:C42" si="2">B39/$B$42</f>
        <v>0.2</v>
      </c>
      <c r="D39" s="18"/>
      <c r="E39" s="19"/>
      <c r="F39" s="18">
        <v>1400</v>
      </c>
      <c r="G39" s="19">
        <f>F39/B39</f>
        <v>0.875</v>
      </c>
      <c r="H39" s="18">
        <v>200</v>
      </c>
      <c r="I39" s="19">
        <f>H39/B39</f>
        <v>0.125</v>
      </c>
    </row>
    <row r="40" spans="1:16" x14ac:dyDescent="0.25">
      <c r="A40" s="20" t="s">
        <v>22</v>
      </c>
      <c r="B40" s="21">
        <f>B8+B9</f>
        <v>3200</v>
      </c>
      <c r="C40" s="22">
        <f t="shared" si="2"/>
        <v>0.4</v>
      </c>
      <c r="D40" s="21"/>
      <c r="E40" s="22"/>
      <c r="F40" s="21"/>
      <c r="G40" s="22"/>
      <c r="H40" s="21">
        <f>H42-H39</f>
        <v>3200</v>
      </c>
      <c r="I40" s="22">
        <f>H40/B40</f>
        <v>1</v>
      </c>
    </row>
    <row r="41" spans="1:16" x14ac:dyDescent="0.25">
      <c r="A41" s="13" t="s">
        <v>23</v>
      </c>
      <c r="B41" s="14">
        <f>SUM(B39:B40)</f>
        <v>4800</v>
      </c>
      <c r="C41" s="15">
        <f t="shared" si="2"/>
        <v>0.6</v>
      </c>
      <c r="D41" s="14"/>
      <c r="E41" s="15"/>
      <c r="F41" s="14">
        <f>SUM(F39:F40)</f>
        <v>1400</v>
      </c>
      <c r="G41" s="15">
        <f>F41/B41</f>
        <v>0.29166666666666669</v>
      </c>
      <c r="H41" s="14">
        <f>SUM(H39:H40)</f>
        <v>3400</v>
      </c>
      <c r="I41" s="15">
        <f>H41/B41</f>
        <v>0.70833333333333337</v>
      </c>
    </row>
    <row r="42" spans="1:16" s="5" customFormat="1" ht="20.25" x14ac:dyDescent="0.3">
      <c r="A42" s="16" t="s">
        <v>24</v>
      </c>
      <c r="B42" s="14">
        <f>B38+B41</f>
        <v>8000</v>
      </c>
      <c r="C42" s="15">
        <f t="shared" si="2"/>
        <v>1</v>
      </c>
      <c r="D42" s="14">
        <f>B15</f>
        <v>2800</v>
      </c>
      <c r="E42" s="15">
        <f>D42/B42</f>
        <v>0.35</v>
      </c>
      <c r="F42" s="14">
        <f>B18</f>
        <v>1800</v>
      </c>
      <c r="G42" s="15">
        <f>F42/B42</f>
        <v>0.22500000000000001</v>
      </c>
      <c r="H42" s="14">
        <f>B22</f>
        <v>3400</v>
      </c>
      <c r="I42" s="15">
        <f>H42/B42</f>
        <v>0.42499999999999999</v>
      </c>
      <c r="J42" s="2"/>
      <c r="K42" s="2"/>
      <c r="L42" s="2"/>
      <c r="M42" s="2"/>
      <c r="N42" s="2"/>
      <c r="O42" s="2"/>
      <c r="P42" s="2"/>
    </row>
    <row r="44" spans="1:16" x14ac:dyDescent="0.25">
      <c r="A44" s="2" t="s">
        <v>541</v>
      </c>
    </row>
    <row r="46" spans="1:16" x14ac:dyDescent="0.25">
      <c r="A46" s="2" t="s">
        <v>542</v>
      </c>
    </row>
    <row r="48" spans="1:16" x14ac:dyDescent="0.25">
      <c r="A48" s="2" t="s">
        <v>543</v>
      </c>
      <c r="H48" s="23">
        <f>B38/(D42+F42)</f>
        <v>0.69565217391304346</v>
      </c>
    </row>
    <row r="50" spans="1:7" x14ac:dyDescent="0.25">
      <c r="A50" s="2" t="s">
        <v>544</v>
      </c>
      <c r="G50" s="23">
        <f>B41/H42</f>
        <v>1.411764705882353</v>
      </c>
    </row>
    <row r="52" spans="1:7" x14ac:dyDescent="0.25">
      <c r="A52" s="2" t="s">
        <v>545</v>
      </c>
      <c r="F52" s="23">
        <f>(F42+H42)/D42</f>
        <v>1.8571428571428572</v>
      </c>
    </row>
    <row r="54" spans="1:7" x14ac:dyDescent="0.25">
      <c r="A54" s="2" t="s">
        <v>546</v>
      </c>
    </row>
    <row r="56" spans="1:7" x14ac:dyDescent="0.25">
      <c r="A56" s="2" t="s">
        <v>25</v>
      </c>
    </row>
    <row r="57" spans="1:7" x14ac:dyDescent="0.25">
      <c r="A57" s="2" t="s">
        <v>547</v>
      </c>
    </row>
    <row r="58" spans="1:7" x14ac:dyDescent="0.25">
      <c r="A58" s="2" t="s">
        <v>26</v>
      </c>
    </row>
    <row r="60" spans="1:7" x14ac:dyDescent="0.25">
      <c r="A60" s="2" t="s">
        <v>27</v>
      </c>
    </row>
    <row r="61" spans="1:7" x14ac:dyDescent="0.25">
      <c r="A61" s="2" t="s">
        <v>28</v>
      </c>
    </row>
    <row r="63" spans="1:7" x14ac:dyDescent="0.25">
      <c r="A63" s="2" t="s">
        <v>548</v>
      </c>
    </row>
    <row r="64" spans="1:7" x14ac:dyDescent="0.25">
      <c r="A64" s="2" t="s">
        <v>549</v>
      </c>
    </row>
    <row r="66" spans="1:1" x14ac:dyDescent="0.25">
      <c r="A66" s="2" t="s">
        <v>29</v>
      </c>
    </row>
    <row r="68" spans="1:1" x14ac:dyDescent="0.25">
      <c r="A68" s="2" t="s">
        <v>30</v>
      </c>
    </row>
  </sheetData>
  <mergeCells count="4">
    <mergeCell ref="B36:C36"/>
    <mergeCell ref="D36:E36"/>
    <mergeCell ref="F36:G36"/>
    <mergeCell ref="H36:I3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50"/>
  <sheetViews>
    <sheetView showGridLines="0" showZeros="0" workbookViewId="0"/>
  </sheetViews>
  <sheetFormatPr baseColWidth="10" defaultRowHeight="12.75" x14ac:dyDescent="0.2"/>
  <cols>
    <col min="1" max="1" width="4.85546875" style="33" customWidth="1"/>
    <col min="2" max="2" width="6.5703125" style="33" customWidth="1"/>
    <col min="3" max="3" width="29.42578125" style="33" customWidth="1"/>
    <col min="4" max="4" width="8.7109375" style="33" customWidth="1"/>
    <col min="5" max="5" width="2.28515625" style="73" customWidth="1"/>
    <col min="6" max="6" width="8.7109375" style="33" customWidth="1"/>
    <col min="7" max="254" width="11.42578125" style="33"/>
    <col min="255" max="255" width="4.85546875" style="33" customWidth="1"/>
    <col min="256" max="256" width="6.5703125" style="33" customWidth="1"/>
    <col min="257" max="257" width="29.42578125" style="33" customWidth="1"/>
    <col min="258" max="258" width="7.5703125" style="33" customWidth="1"/>
    <col min="259" max="259" width="2.28515625" style="33" customWidth="1"/>
    <col min="260" max="260" width="11.42578125" style="33"/>
    <col min="261" max="261" width="2.28515625" style="33" customWidth="1"/>
    <col min="262" max="510" width="11.42578125" style="33"/>
    <col min="511" max="511" width="4.85546875" style="33" customWidth="1"/>
    <col min="512" max="512" width="6.5703125" style="33" customWidth="1"/>
    <col min="513" max="513" width="29.42578125" style="33" customWidth="1"/>
    <col min="514" max="514" width="7.5703125" style="33" customWidth="1"/>
    <col min="515" max="515" width="2.28515625" style="33" customWidth="1"/>
    <col min="516" max="516" width="11.42578125" style="33"/>
    <col min="517" max="517" width="2.28515625" style="33" customWidth="1"/>
    <col min="518" max="766" width="11.42578125" style="33"/>
    <col min="767" max="767" width="4.85546875" style="33" customWidth="1"/>
    <col min="768" max="768" width="6.5703125" style="33" customWidth="1"/>
    <col min="769" max="769" width="29.42578125" style="33" customWidth="1"/>
    <col min="770" max="770" width="7.5703125" style="33" customWidth="1"/>
    <col min="771" max="771" width="2.28515625" style="33" customWidth="1"/>
    <col min="772" max="772" width="11.42578125" style="33"/>
    <col min="773" max="773" width="2.28515625" style="33" customWidth="1"/>
    <col min="774" max="1022" width="11.42578125" style="33"/>
    <col min="1023" max="1023" width="4.85546875" style="33" customWidth="1"/>
    <col min="1024" max="1024" width="6.5703125" style="33" customWidth="1"/>
    <col min="1025" max="1025" width="29.42578125" style="33" customWidth="1"/>
    <col min="1026" max="1026" width="7.5703125" style="33" customWidth="1"/>
    <col min="1027" max="1027" width="2.28515625" style="33" customWidth="1"/>
    <col min="1028" max="1028" width="11.42578125" style="33"/>
    <col min="1029" max="1029" width="2.28515625" style="33" customWidth="1"/>
    <col min="1030" max="1278" width="11.42578125" style="33"/>
    <col min="1279" max="1279" width="4.85546875" style="33" customWidth="1"/>
    <col min="1280" max="1280" width="6.5703125" style="33" customWidth="1"/>
    <col min="1281" max="1281" width="29.42578125" style="33" customWidth="1"/>
    <col min="1282" max="1282" width="7.5703125" style="33" customWidth="1"/>
    <col min="1283" max="1283" width="2.28515625" style="33" customWidth="1"/>
    <col min="1284" max="1284" width="11.42578125" style="33"/>
    <col min="1285" max="1285" width="2.28515625" style="33" customWidth="1"/>
    <col min="1286" max="1534" width="11.42578125" style="33"/>
    <col min="1535" max="1535" width="4.85546875" style="33" customWidth="1"/>
    <col min="1536" max="1536" width="6.5703125" style="33" customWidth="1"/>
    <col min="1537" max="1537" width="29.42578125" style="33" customWidth="1"/>
    <col min="1538" max="1538" width="7.5703125" style="33" customWidth="1"/>
    <col min="1539" max="1539" width="2.28515625" style="33" customWidth="1"/>
    <col min="1540" max="1540" width="11.42578125" style="33"/>
    <col min="1541" max="1541" width="2.28515625" style="33" customWidth="1"/>
    <col min="1542" max="1790" width="11.42578125" style="33"/>
    <col min="1791" max="1791" width="4.85546875" style="33" customWidth="1"/>
    <col min="1792" max="1792" width="6.5703125" style="33" customWidth="1"/>
    <col min="1793" max="1793" width="29.42578125" style="33" customWidth="1"/>
    <col min="1794" max="1794" width="7.5703125" style="33" customWidth="1"/>
    <col min="1795" max="1795" width="2.28515625" style="33" customWidth="1"/>
    <col min="1796" max="1796" width="11.42578125" style="33"/>
    <col min="1797" max="1797" width="2.28515625" style="33" customWidth="1"/>
    <col min="1798" max="2046" width="11.42578125" style="33"/>
    <col min="2047" max="2047" width="4.85546875" style="33" customWidth="1"/>
    <col min="2048" max="2048" width="6.5703125" style="33" customWidth="1"/>
    <col min="2049" max="2049" width="29.42578125" style="33" customWidth="1"/>
    <col min="2050" max="2050" width="7.5703125" style="33" customWidth="1"/>
    <col min="2051" max="2051" width="2.28515625" style="33" customWidth="1"/>
    <col min="2052" max="2052" width="11.42578125" style="33"/>
    <col min="2053" max="2053" width="2.28515625" style="33" customWidth="1"/>
    <col min="2054" max="2302" width="11.42578125" style="33"/>
    <col min="2303" max="2303" width="4.85546875" style="33" customWidth="1"/>
    <col min="2304" max="2304" width="6.5703125" style="33" customWidth="1"/>
    <col min="2305" max="2305" width="29.42578125" style="33" customWidth="1"/>
    <col min="2306" max="2306" width="7.5703125" style="33" customWidth="1"/>
    <col min="2307" max="2307" width="2.28515625" style="33" customWidth="1"/>
    <col min="2308" max="2308" width="11.42578125" style="33"/>
    <col min="2309" max="2309" width="2.28515625" style="33" customWidth="1"/>
    <col min="2310" max="2558" width="11.42578125" style="33"/>
    <col min="2559" max="2559" width="4.85546875" style="33" customWidth="1"/>
    <col min="2560" max="2560" width="6.5703125" style="33" customWidth="1"/>
    <col min="2561" max="2561" width="29.42578125" style="33" customWidth="1"/>
    <col min="2562" max="2562" width="7.5703125" style="33" customWidth="1"/>
    <col min="2563" max="2563" width="2.28515625" style="33" customWidth="1"/>
    <col min="2564" max="2564" width="11.42578125" style="33"/>
    <col min="2565" max="2565" width="2.28515625" style="33" customWidth="1"/>
    <col min="2566" max="2814" width="11.42578125" style="33"/>
    <col min="2815" max="2815" width="4.85546875" style="33" customWidth="1"/>
    <col min="2816" max="2816" width="6.5703125" style="33" customWidth="1"/>
    <col min="2817" max="2817" width="29.42578125" style="33" customWidth="1"/>
    <col min="2818" max="2818" width="7.5703125" style="33" customWidth="1"/>
    <col min="2819" max="2819" width="2.28515625" style="33" customWidth="1"/>
    <col min="2820" max="2820" width="11.42578125" style="33"/>
    <col min="2821" max="2821" width="2.28515625" style="33" customWidth="1"/>
    <col min="2822" max="3070" width="11.42578125" style="33"/>
    <col min="3071" max="3071" width="4.85546875" style="33" customWidth="1"/>
    <col min="3072" max="3072" width="6.5703125" style="33" customWidth="1"/>
    <col min="3073" max="3073" width="29.42578125" style="33" customWidth="1"/>
    <col min="3074" max="3074" width="7.5703125" style="33" customWidth="1"/>
    <col min="3075" max="3075" width="2.28515625" style="33" customWidth="1"/>
    <col min="3076" max="3076" width="11.42578125" style="33"/>
    <col min="3077" max="3077" width="2.28515625" style="33" customWidth="1"/>
    <col min="3078" max="3326" width="11.42578125" style="33"/>
    <col min="3327" max="3327" width="4.85546875" style="33" customWidth="1"/>
    <col min="3328" max="3328" width="6.5703125" style="33" customWidth="1"/>
    <col min="3329" max="3329" width="29.42578125" style="33" customWidth="1"/>
    <col min="3330" max="3330" width="7.5703125" style="33" customWidth="1"/>
    <col min="3331" max="3331" width="2.28515625" style="33" customWidth="1"/>
    <col min="3332" max="3332" width="11.42578125" style="33"/>
    <col min="3333" max="3333" width="2.28515625" style="33" customWidth="1"/>
    <col min="3334" max="3582" width="11.42578125" style="33"/>
    <col min="3583" max="3583" width="4.85546875" style="33" customWidth="1"/>
    <col min="3584" max="3584" width="6.5703125" style="33" customWidth="1"/>
    <col min="3585" max="3585" width="29.42578125" style="33" customWidth="1"/>
    <col min="3586" max="3586" width="7.5703125" style="33" customWidth="1"/>
    <col min="3587" max="3587" width="2.28515625" style="33" customWidth="1"/>
    <col min="3588" max="3588" width="11.42578125" style="33"/>
    <col min="3589" max="3589" width="2.28515625" style="33" customWidth="1"/>
    <col min="3590" max="3838" width="11.42578125" style="33"/>
    <col min="3839" max="3839" width="4.85546875" style="33" customWidth="1"/>
    <col min="3840" max="3840" width="6.5703125" style="33" customWidth="1"/>
    <col min="3841" max="3841" width="29.42578125" style="33" customWidth="1"/>
    <col min="3842" max="3842" width="7.5703125" style="33" customWidth="1"/>
    <col min="3843" max="3843" width="2.28515625" style="33" customWidth="1"/>
    <col min="3844" max="3844" width="11.42578125" style="33"/>
    <col min="3845" max="3845" width="2.28515625" style="33" customWidth="1"/>
    <col min="3846" max="4094" width="11.42578125" style="33"/>
    <col min="4095" max="4095" width="4.85546875" style="33" customWidth="1"/>
    <col min="4096" max="4096" width="6.5703125" style="33" customWidth="1"/>
    <col min="4097" max="4097" width="29.42578125" style="33" customWidth="1"/>
    <col min="4098" max="4098" width="7.5703125" style="33" customWidth="1"/>
    <col min="4099" max="4099" width="2.28515625" style="33" customWidth="1"/>
    <col min="4100" max="4100" width="11.42578125" style="33"/>
    <col min="4101" max="4101" width="2.28515625" style="33" customWidth="1"/>
    <col min="4102" max="4350" width="11.42578125" style="33"/>
    <col min="4351" max="4351" width="4.85546875" style="33" customWidth="1"/>
    <col min="4352" max="4352" width="6.5703125" style="33" customWidth="1"/>
    <col min="4353" max="4353" width="29.42578125" style="33" customWidth="1"/>
    <col min="4354" max="4354" width="7.5703125" style="33" customWidth="1"/>
    <col min="4355" max="4355" width="2.28515625" style="33" customWidth="1"/>
    <col min="4356" max="4356" width="11.42578125" style="33"/>
    <col min="4357" max="4357" width="2.28515625" style="33" customWidth="1"/>
    <col min="4358" max="4606" width="11.42578125" style="33"/>
    <col min="4607" max="4607" width="4.85546875" style="33" customWidth="1"/>
    <col min="4608" max="4608" width="6.5703125" style="33" customWidth="1"/>
    <col min="4609" max="4609" width="29.42578125" style="33" customWidth="1"/>
    <col min="4610" max="4610" width="7.5703125" style="33" customWidth="1"/>
    <col min="4611" max="4611" width="2.28515625" style="33" customWidth="1"/>
    <col min="4612" max="4612" width="11.42578125" style="33"/>
    <col min="4613" max="4613" width="2.28515625" style="33" customWidth="1"/>
    <col min="4614" max="4862" width="11.42578125" style="33"/>
    <col min="4863" max="4863" width="4.85546875" style="33" customWidth="1"/>
    <col min="4864" max="4864" width="6.5703125" style="33" customWidth="1"/>
    <col min="4865" max="4865" width="29.42578125" style="33" customWidth="1"/>
    <col min="4866" max="4866" width="7.5703125" style="33" customWidth="1"/>
    <col min="4867" max="4867" width="2.28515625" style="33" customWidth="1"/>
    <col min="4868" max="4868" width="11.42578125" style="33"/>
    <col min="4869" max="4869" width="2.28515625" style="33" customWidth="1"/>
    <col min="4870" max="5118" width="11.42578125" style="33"/>
    <col min="5119" max="5119" width="4.85546875" style="33" customWidth="1"/>
    <col min="5120" max="5120" width="6.5703125" style="33" customWidth="1"/>
    <col min="5121" max="5121" width="29.42578125" style="33" customWidth="1"/>
    <col min="5122" max="5122" width="7.5703125" style="33" customWidth="1"/>
    <col min="5123" max="5123" width="2.28515625" style="33" customWidth="1"/>
    <col min="5124" max="5124" width="11.42578125" style="33"/>
    <col min="5125" max="5125" width="2.28515625" style="33" customWidth="1"/>
    <col min="5126" max="5374" width="11.42578125" style="33"/>
    <col min="5375" max="5375" width="4.85546875" style="33" customWidth="1"/>
    <col min="5376" max="5376" width="6.5703125" style="33" customWidth="1"/>
    <col min="5377" max="5377" width="29.42578125" style="33" customWidth="1"/>
    <col min="5378" max="5378" width="7.5703125" style="33" customWidth="1"/>
    <col min="5379" max="5379" width="2.28515625" style="33" customWidth="1"/>
    <col min="5380" max="5380" width="11.42578125" style="33"/>
    <col min="5381" max="5381" width="2.28515625" style="33" customWidth="1"/>
    <col min="5382" max="5630" width="11.42578125" style="33"/>
    <col min="5631" max="5631" width="4.85546875" style="33" customWidth="1"/>
    <col min="5632" max="5632" width="6.5703125" style="33" customWidth="1"/>
    <col min="5633" max="5633" width="29.42578125" style="33" customWidth="1"/>
    <col min="5634" max="5634" width="7.5703125" style="33" customWidth="1"/>
    <col min="5635" max="5635" width="2.28515625" style="33" customWidth="1"/>
    <col min="5636" max="5636" width="11.42578125" style="33"/>
    <col min="5637" max="5637" width="2.28515625" style="33" customWidth="1"/>
    <col min="5638" max="5886" width="11.42578125" style="33"/>
    <col min="5887" max="5887" width="4.85546875" style="33" customWidth="1"/>
    <col min="5888" max="5888" width="6.5703125" style="33" customWidth="1"/>
    <col min="5889" max="5889" width="29.42578125" style="33" customWidth="1"/>
    <col min="5890" max="5890" width="7.5703125" style="33" customWidth="1"/>
    <col min="5891" max="5891" width="2.28515625" style="33" customWidth="1"/>
    <col min="5892" max="5892" width="11.42578125" style="33"/>
    <col min="5893" max="5893" width="2.28515625" style="33" customWidth="1"/>
    <col min="5894" max="6142" width="11.42578125" style="33"/>
    <col min="6143" max="6143" width="4.85546875" style="33" customWidth="1"/>
    <col min="6144" max="6144" width="6.5703125" style="33" customWidth="1"/>
    <col min="6145" max="6145" width="29.42578125" style="33" customWidth="1"/>
    <col min="6146" max="6146" width="7.5703125" style="33" customWidth="1"/>
    <col min="6147" max="6147" width="2.28515625" style="33" customWidth="1"/>
    <col min="6148" max="6148" width="11.42578125" style="33"/>
    <col min="6149" max="6149" width="2.28515625" style="33" customWidth="1"/>
    <col min="6150" max="6398" width="11.42578125" style="33"/>
    <col min="6399" max="6399" width="4.85546875" style="33" customWidth="1"/>
    <col min="6400" max="6400" width="6.5703125" style="33" customWidth="1"/>
    <col min="6401" max="6401" width="29.42578125" style="33" customWidth="1"/>
    <col min="6402" max="6402" width="7.5703125" style="33" customWidth="1"/>
    <col min="6403" max="6403" width="2.28515625" style="33" customWidth="1"/>
    <col min="6404" max="6404" width="11.42578125" style="33"/>
    <col min="6405" max="6405" width="2.28515625" style="33" customWidth="1"/>
    <col min="6406" max="6654" width="11.42578125" style="33"/>
    <col min="6655" max="6655" width="4.85546875" style="33" customWidth="1"/>
    <col min="6656" max="6656" width="6.5703125" style="33" customWidth="1"/>
    <col min="6657" max="6657" width="29.42578125" style="33" customWidth="1"/>
    <col min="6658" max="6658" width="7.5703125" style="33" customWidth="1"/>
    <col min="6659" max="6659" width="2.28515625" style="33" customWidth="1"/>
    <col min="6660" max="6660" width="11.42578125" style="33"/>
    <col min="6661" max="6661" width="2.28515625" style="33" customWidth="1"/>
    <col min="6662" max="6910" width="11.42578125" style="33"/>
    <col min="6911" max="6911" width="4.85546875" style="33" customWidth="1"/>
    <col min="6912" max="6912" width="6.5703125" style="33" customWidth="1"/>
    <col min="6913" max="6913" width="29.42578125" style="33" customWidth="1"/>
    <col min="6914" max="6914" width="7.5703125" style="33" customWidth="1"/>
    <col min="6915" max="6915" width="2.28515625" style="33" customWidth="1"/>
    <col min="6916" max="6916" width="11.42578125" style="33"/>
    <col min="6917" max="6917" width="2.28515625" style="33" customWidth="1"/>
    <col min="6918" max="7166" width="11.42578125" style="33"/>
    <col min="7167" max="7167" width="4.85546875" style="33" customWidth="1"/>
    <col min="7168" max="7168" width="6.5703125" style="33" customWidth="1"/>
    <col min="7169" max="7169" width="29.42578125" style="33" customWidth="1"/>
    <col min="7170" max="7170" width="7.5703125" style="33" customWidth="1"/>
    <col min="7171" max="7171" width="2.28515625" style="33" customWidth="1"/>
    <col min="7172" max="7172" width="11.42578125" style="33"/>
    <col min="7173" max="7173" width="2.28515625" style="33" customWidth="1"/>
    <col min="7174" max="7422" width="11.42578125" style="33"/>
    <col min="7423" max="7423" width="4.85546875" style="33" customWidth="1"/>
    <col min="7424" max="7424" width="6.5703125" style="33" customWidth="1"/>
    <col min="7425" max="7425" width="29.42578125" style="33" customWidth="1"/>
    <col min="7426" max="7426" width="7.5703125" style="33" customWidth="1"/>
    <col min="7427" max="7427" width="2.28515625" style="33" customWidth="1"/>
    <col min="7428" max="7428" width="11.42578125" style="33"/>
    <col min="7429" max="7429" width="2.28515625" style="33" customWidth="1"/>
    <col min="7430" max="7678" width="11.42578125" style="33"/>
    <col min="7679" max="7679" width="4.85546875" style="33" customWidth="1"/>
    <col min="7680" max="7680" width="6.5703125" style="33" customWidth="1"/>
    <col min="7681" max="7681" width="29.42578125" style="33" customWidth="1"/>
    <col min="7682" max="7682" width="7.5703125" style="33" customWidth="1"/>
    <col min="7683" max="7683" width="2.28515625" style="33" customWidth="1"/>
    <col min="7684" max="7684" width="11.42578125" style="33"/>
    <col min="7685" max="7685" width="2.28515625" style="33" customWidth="1"/>
    <col min="7686" max="7934" width="11.42578125" style="33"/>
    <col min="7935" max="7935" width="4.85546875" style="33" customWidth="1"/>
    <col min="7936" max="7936" width="6.5703125" style="33" customWidth="1"/>
    <col min="7937" max="7937" width="29.42578125" style="33" customWidth="1"/>
    <col min="7938" max="7938" width="7.5703125" style="33" customWidth="1"/>
    <col min="7939" max="7939" width="2.28515625" style="33" customWidth="1"/>
    <col min="7940" max="7940" width="11.42578125" style="33"/>
    <col min="7941" max="7941" width="2.28515625" style="33" customWidth="1"/>
    <col min="7942" max="8190" width="11.42578125" style="33"/>
    <col min="8191" max="8191" width="4.85546875" style="33" customWidth="1"/>
    <col min="8192" max="8192" width="6.5703125" style="33" customWidth="1"/>
    <col min="8193" max="8193" width="29.42578125" style="33" customWidth="1"/>
    <col min="8194" max="8194" width="7.5703125" style="33" customWidth="1"/>
    <col min="8195" max="8195" width="2.28515625" style="33" customWidth="1"/>
    <col min="8196" max="8196" width="11.42578125" style="33"/>
    <col min="8197" max="8197" width="2.28515625" style="33" customWidth="1"/>
    <col min="8198" max="8446" width="11.42578125" style="33"/>
    <col min="8447" max="8447" width="4.85546875" style="33" customWidth="1"/>
    <col min="8448" max="8448" width="6.5703125" style="33" customWidth="1"/>
    <col min="8449" max="8449" width="29.42578125" style="33" customWidth="1"/>
    <col min="8450" max="8450" width="7.5703125" style="33" customWidth="1"/>
    <col min="8451" max="8451" width="2.28515625" style="33" customWidth="1"/>
    <col min="8452" max="8452" width="11.42578125" style="33"/>
    <col min="8453" max="8453" width="2.28515625" style="33" customWidth="1"/>
    <col min="8454" max="8702" width="11.42578125" style="33"/>
    <col min="8703" max="8703" width="4.85546875" style="33" customWidth="1"/>
    <col min="8704" max="8704" width="6.5703125" style="33" customWidth="1"/>
    <col min="8705" max="8705" width="29.42578125" style="33" customWidth="1"/>
    <col min="8706" max="8706" width="7.5703125" style="33" customWidth="1"/>
    <col min="8707" max="8707" width="2.28515625" style="33" customWidth="1"/>
    <col min="8708" max="8708" width="11.42578125" style="33"/>
    <col min="8709" max="8709" width="2.28515625" style="33" customWidth="1"/>
    <col min="8710" max="8958" width="11.42578125" style="33"/>
    <col min="8959" max="8959" width="4.85546875" style="33" customWidth="1"/>
    <col min="8960" max="8960" width="6.5703125" style="33" customWidth="1"/>
    <col min="8961" max="8961" width="29.42578125" style="33" customWidth="1"/>
    <col min="8962" max="8962" width="7.5703125" style="33" customWidth="1"/>
    <col min="8963" max="8963" width="2.28515625" style="33" customWidth="1"/>
    <col min="8964" max="8964" width="11.42578125" style="33"/>
    <col min="8965" max="8965" width="2.28515625" style="33" customWidth="1"/>
    <col min="8966" max="9214" width="11.42578125" style="33"/>
    <col min="9215" max="9215" width="4.85546875" style="33" customWidth="1"/>
    <col min="9216" max="9216" width="6.5703125" style="33" customWidth="1"/>
    <col min="9217" max="9217" width="29.42578125" style="33" customWidth="1"/>
    <col min="9218" max="9218" width="7.5703125" style="33" customWidth="1"/>
    <col min="9219" max="9219" width="2.28515625" style="33" customWidth="1"/>
    <col min="9220" max="9220" width="11.42578125" style="33"/>
    <col min="9221" max="9221" width="2.28515625" style="33" customWidth="1"/>
    <col min="9222" max="9470" width="11.42578125" style="33"/>
    <col min="9471" max="9471" width="4.85546875" style="33" customWidth="1"/>
    <col min="9472" max="9472" width="6.5703125" style="33" customWidth="1"/>
    <col min="9473" max="9473" width="29.42578125" style="33" customWidth="1"/>
    <col min="9474" max="9474" width="7.5703125" style="33" customWidth="1"/>
    <col min="9475" max="9475" width="2.28515625" style="33" customWidth="1"/>
    <col min="9476" max="9476" width="11.42578125" style="33"/>
    <col min="9477" max="9477" width="2.28515625" style="33" customWidth="1"/>
    <col min="9478" max="9726" width="11.42578125" style="33"/>
    <col min="9727" max="9727" width="4.85546875" style="33" customWidth="1"/>
    <col min="9728" max="9728" width="6.5703125" style="33" customWidth="1"/>
    <col min="9729" max="9729" width="29.42578125" style="33" customWidth="1"/>
    <col min="9730" max="9730" width="7.5703125" style="33" customWidth="1"/>
    <col min="9731" max="9731" width="2.28515625" style="33" customWidth="1"/>
    <col min="9732" max="9732" width="11.42578125" style="33"/>
    <col min="9733" max="9733" width="2.28515625" style="33" customWidth="1"/>
    <col min="9734" max="9982" width="11.42578125" style="33"/>
    <col min="9983" max="9983" width="4.85546875" style="33" customWidth="1"/>
    <col min="9984" max="9984" width="6.5703125" style="33" customWidth="1"/>
    <col min="9985" max="9985" width="29.42578125" style="33" customWidth="1"/>
    <col min="9986" max="9986" width="7.5703125" style="33" customWidth="1"/>
    <col min="9987" max="9987" width="2.28515625" style="33" customWidth="1"/>
    <col min="9988" max="9988" width="11.42578125" style="33"/>
    <col min="9989" max="9989" width="2.28515625" style="33" customWidth="1"/>
    <col min="9990" max="10238" width="11.42578125" style="33"/>
    <col min="10239" max="10239" width="4.85546875" style="33" customWidth="1"/>
    <col min="10240" max="10240" width="6.5703125" style="33" customWidth="1"/>
    <col min="10241" max="10241" width="29.42578125" style="33" customWidth="1"/>
    <col min="10242" max="10242" width="7.5703125" style="33" customWidth="1"/>
    <col min="10243" max="10243" width="2.28515625" style="33" customWidth="1"/>
    <col min="10244" max="10244" width="11.42578125" style="33"/>
    <col min="10245" max="10245" width="2.28515625" style="33" customWidth="1"/>
    <col min="10246" max="10494" width="11.42578125" style="33"/>
    <col min="10495" max="10495" width="4.85546875" style="33" customWidth="1"/>
    <col min="10496" max="10496" width="6.5703125" style="33" customWidth="1"/>
    <col min="10497" max="10497" width="29.42578125" style="33" customWidth="1"/>
    <col min="10498" max="10498" width="7.5703125" style="33" customWidth="1"/>
    <col min="10499" max="10499" width="2.28515625" style="33" customWidth="1"/>
    <col min="10500" max="10500" width="11.42578125" style="33"/>
    <col min="10501" max="10501" width="2.28515625" style="33" customWidth="1"/>
    <col min="10502" max="10750" width="11.42578125" style="33"/>
    <col min="10751" max="10751" width="4.85546875" style="33" customWidth="1"/>
    <col min="10752" max="10752" width="6.5703125" style="33" customWidth="1"/>
    <col min="10753" max="10753" width="29.42578125" style="33" customWidth="1"/>
    <col min="10754" max="10754" width="7.5703125" style="33" customWidth="1"/>
    <col min="10755" max="10755" width="2.28515625" style="33" customWidth="1"/>
    <col min="10756" max="10756" width="11.42578125" style="33"/>
    <col min="10757" max="10757" width="2.28515625" style="33" customWidth="1"/>
    <col min="10758" max="11006" width="11.42578125" style="33"/>
    <col min="11007" max="11007" width="4.85546875" style="33" customWidth="1"/>
    <col min="11008" max="11008" width="6.5703125" style="33" customWidth="1"/>
    <col min="11009" max="11009" width="29.42578125" style="33" customWidth="1"/>
    <col min="11010" max="11010" width="7.5703125" style="33" customWidth="1"/>
    <col min="11011" max="11011" width="2.28515625" style="33" customWidth="1"/>
    <col min="11012" max="11012" width="11.42578125" style="33"/>
    <col min="11013" max="11013" width="2.28515625" style="33" customWidth="1"/>
    <col min="11014" max="11262" width="11.42578125" style="33"/>
    <col min="11263" max="11263" width="4.85546875" style="33" customWidth="1"/>
    <col min="11264" max="11264" width="6.5703125" style="33" customWidth="1"/>
    <col min="11265" max="11265" width="29.42578125" style="33" customWidth="1"/>
    <col min="11266" max="11266" width="7.5703125" style="33" customWidth="1"/>
    <col min="11267" max="11267" width="2.28515625" style="33" customWidth="1"/>
    <col min="11268" max="11268" width="11.42578125" style="33"/>
    <col min="11269" max="11269" width="2.28515625" style="33" customWidth="1"/>
    <col min="11270" max="11518" width="11.42578125" style="33"/>
    <col min="11519" max="11519" width="4.85546875" style="33" customWidth="1"/>
    <col min="11520" max="11520" width="6.5703125" style="33" customWidth="1"/>
    <col min="11521" max="11521" width="29.42578125" style="33" customWidth="1"/>
    <col min="11522" max="11522" width="7.5703125" style="33" customWidth="1"/>
    <col min="11523" max="11523" width="2.28515625" style="33" customWidth="1"/>
    <col min="11524" max="11524" width="11.42578125" style="33"/>
    <col min="11525" max="11525" width="2.28515625" style="33" customWidth="1"/>
    <col min="11526" max="11774" width="11.42578125" style="33"/>
    <col min="11775" max="11775" width="4.85546875" style="33" customWidth="1"/>
    <col min="11776" max="11776" width="6.5703125" style="33" customWidth="1"/>
    <col min="11777" max="11777" width="29.42578125" style="33" customWidth="1"/>
    <col min="11778" max="11778" width="7.5703125" style="33" customWidth="1"/>
    <col min="11779" max="11779" width="2.28515625" style="33" customWidth="1"/>
    <col min="11780" max="11780" width="11.42578125" style="33"/>
    <col min="11781" max="11781" width="2.28515625" style="33" customWidth="1"/>
    <col min="11782" max="12030" width="11.42578125" style="33"/>
    <col min="12031" max="12031" width="4.85546875" style="33" customWidth="1"/>
    <col min="12032" max="12032" width="6.5703125" style="33" customWidth="1"/>
    <col min="12033" max="12033" width="29.42578125" style="33" customWidth="1"/>
    <col min="12034" max="12034" width="7.5703125" style="33" customWidth="1"/>
    <col min="12035" max="12035" width="2.28515625" style="33" customWidth="1"/>
    <col min="12036" max="12036" width="11.42578125" style="33"/>
    <col min="12037" max="12037" width="2.28515625" style="33" customWidth="1"/>
    <col min="12038" max="12286" width="11.42578125" style="33"/>
    <col min="12287" max="12287" width="4.85546875" style="33" customWidth="1"/>
    <col min="12288" max="12288" width="6.5703125" style="33" customWidth="1"/>
    <col min="12289" max="12289" width="29.42578125" style="33" customWidth="1"/>
    <col min="12290" max="12290" width="7.5703125" style="33" customWidth="1"/>
    <col min="12291" max="12291" width="2.28515625" style="33" customWidth="1"/>
    <col min="12292" max="12292" width="11.42578125" style="33"/>
    <col min="12293" max="12293" width="2.28515625" style="33" customWidth="1"/>
    <col min="12294" max="12542" width="11.42578125" style="33"/>
    <col min="12543" max="12543" width="4.85546875" style="33" customWidth="1"/>
    <col min="12544" max="12544" width="6.5703125" style="33" customWidth="1"/>
    <col min="12545" max="12545" width="29.42578125" style="33" customWidth="1"/>
    <col min="12546" max="12546" width="7.5703125" style="33" customWidth="1"/>
    <col min="12547" max="12547" width="2.28515625" style="33" customWidth="1"/>
    <col min="12548" max="12548" width="11.42578125" style="33"/>
    <col min="12549" max="12549" width="2.28515625" style="33" customWidth="1"/>
    <col min="12550" max="12798" width="11.42578125" style="33"/>
    <col min="12799" max="12799" width="4.85546875" style="33" customWidth="1"/>
    <col min="12800" max="12800" width="6.5703125" style="33" customWidth="1"/>
    <col min="12801" max="12801" width="29.42578125" style="33" customWidth="1"/>
    <col min="12802" max="12802" width="7.5703125" style="33" customWidth="1"/>
    <col min="12803" max="12803" width="2.28515625" style="33" customWidth="1"/>
    <col min="12804" max="12804" width="11.42578125" style="33"/>
    <col min="12805" max="12805" width="2.28515625" style="33" customWidth="1"/>
    <col min="12806" max="13054" width="11.42578125" style="33"/>
    <col min="13055" max="13055" width="4.85546875" style="33" customWidth="1"/>
    <col min="13056" max="13056" width="6.5703125" style="33" customWidth="1"/>
    <col min="13057" max="13057" width="29.42578125" style="33" customWidth="1"/>
    <col min="13058" max="13058" width="7.5703125" style="33" customWidth="1"/>
    <col min="13059" max="13059" width="2.28515625" style="33" customWidth="1"/>
    <col min="13060" max="13060" width="11.42578125" style="33"/>
    <col min="13061" max="13061" width="2.28515625" style="33" customWidth="1"/>
    <col min="13062" max="13310" width="11.42578125" style="33"/>
    <col min="13311" max="13311" width="4.85546875" style="33" customWidth="1"/>
    <col min="13312" max="13312" width="6.5703125" style="33" customWidth="1"/>
    <col min="13313" max="13313" width="29.42578125" style="33" customWidth="1"/>
    <col min="13314" max="13314" width="7.5703125" style="33" customWidth="1"/>
    <col min="13315" max="13315" width="2.28515625" style="33" customWidth="1"/>
    <col min="13316" max="13316" width="11.42578125" style="33"/>
    <col min="13317" max="13317" width="2.28515625" style="33" customWidth="1"/>
    <col min="13318" max="13566" width="11.42578125" style="33"/>
    <col min="13567" max="13567" width="4.85546875" style="33" customWidth="1"/>
    <col min="13568" max="13568" width="6.5703125" style="33" customWidth="1"/>
    <col min="13569" max="13569" width="29.42578125" style="33" customWidth="1"/>
    <col min="13570" max="13570" width="7.5703125" style="33" customWidth="1"/>
    <col min="13571" max="13571" width="2.28515625" style="33" customWidth="1"/>
    <col min="13572" max="13572" width="11.42578125" style="33"/>
    <col min="13573" max="13573" width="2.28515625" style="33" customWidth="1"/>
    <col min="13574" max="13822" width="11.42578125" style="33"/>
    <col min="13823" max="13823" width="4.85546875" style="33" customWidth="1"/>
    <col min="13824" max="13824" width="6.5703125" style="33" customWidth="1"/>
    <col min="13825" max="13825" width="29.42578125" style="33" customWidth="1"/>
    <col min="13826" max="13826" width="7.5703125" style="33" customWidth="1"/>
    <col min="13827" max="13827" width="2.28515625" style="33" customWidth="1"/>
    <col min="13828" max="13828" width="11.42578125" style="33"/>
    <col min="13829" max="13829" width="2.28515625" style="33" customWidth="1"/>
    <col min="13830" max="14078" width="11.42578125" style="33"/>
    <col min="14079" max="14079" width="4.85546875" style="33" customWidth="1"/>
    <col min="14080" max="14080" width="6.5703125" style="33" customWidth="1"/>
    <col min="14081" max="14081" width="29.42578125" style="33" customWidth="1"/>
    <col min="14082" max="14082" width="7.5703125" style="33" customWidth="1"/>
    <col min="14083" max="14083" width="2.28515625" style="33" customWidth="1"/>
    <col min="14084" max="14084" width="11.42578125" style="33"/>
    <col min="14085" max="14085" width="2.28515625" style="33" customWidth="1"/>
    <col min="14086" max="14334" width="11.42578125" style="33"/>
    <col min="14335" max="14335" width="4.85546875" style="33" customWidth="1"/>
    <col min="14336" max="14336" width="6.5703125" style="33" customWidth="1"/>
    <col min="14337" max="14337" width="29.42578125" style="33" customWidth="1"/>
    <col min="14338" max="14338" width="7.5703125" style="33" customWidth="1"/>
    <col min="14339" max="14339" width="2.28515625" style="33" customWidth="1"/>
    <col min="14340" max="14340" width="11.42578125" style="33"/>
    <col min="14341" max="14341" width="2.28515625" style="33" customWidth="1"/>
    <col min="14342" max="14590" width="11.42578125" style="33"/>
    <col min="14591" max="14591" width="4.85546875" style="33" customWidth="1"/>
    <col min="14592" max="14592" width="6.5703125" style="33" customWidth="1"/>
    <col min="14593" max="14593" width="29.42578125" style="33" customWidth="1"/>
    <col min="14594" max="14594" width="7.5703125" style="33" customWidth="1"/>
    <col min="14595" max="14595" width="2.28515625" style="33" customWidth="1"/>
    <col min="14596" max="14596" width="11.42578125" style="33"/>
    <col min="14597" max="14597" width="2.28515625" style="33" customWidth="1"/>
    <col min="14598" max="14846" width="11.42578125" style="33"/>
    <col min="14847" max="14847" width="4.85546875" style="33" customWidth="1"/>
    <col min="14848" max="14848" width="6.5703125" style="33" customWidth="1"/>
    <col min="14849" max="14849" width="29.42578125" style="33" customWidth="1"/>
    <col min="14850" max="14850" width="7.5703125" style="33" customWidth="1"/>
    <col min="14851" max="14851" width="2.28515625" style="33" customWidth="1"/>
    <col min="14852" max="14852" width="11.42578125" style="33"/>
    <col min="14853" max="14853" width="2.28515625" style="33" customWidth="1"/>
    <col min="14854" max="15102" width="11.42578125" style="33"/>
    <col min="15103" max="15103" width="4.85546875" style="33" customWidth="1"/>
    <col min="15104" max="15104" width="6.5703125" style="33" customWidth="1"/>
    <col min="15105" max="15105" width="29.42578125" style="33" customWidth="1"/>
    <col min="15106" max="15106" width="7.5703125" style="33" customWidth="1"/>
    <col min="15107" max="15107" width="2.28515625" style="33" customWidth="1"/>
    <col min="15108" max="15108" width="11.42578125" style="33"/>
    <col min="15109" max="15109" width="2.28515625" style="33" customWidth="1"/>
    <col min="15110" max="15358" width="11.42578125" style="33"/>
    <col min="15359" max="15359" width="4.85546875" style="33" customWidth="1"/>
    <col min="15360" max="15360" width="6.5703125" style="33" customWidth="1"/>
    <col min="15361" max="15361" width="29.42578125" style="33" customWidth="1"/>
    <col min="15362" max="15362" width="7.5703125" style="33" customWidth="1"/>
    <col min="15363" max="15363" width="2.28515625" style="33" customWidth="1"/>
    <col min="15364" max="15364" width="11.42578125" style="33"/>
    <col min="15365" max="15365" width="2.28515625" style="33" customWidth="1"/>
    <col min="15366" max="15614" width="11.42578125" style="33"/>
    <col min="15615" max="15615" width="4.85546875" style="33" customWidth="1"/>
    <col min="15616" max="15616" width="6.5703125" style="33" customWidth="1"/>
    <col min="15617" max="15617" width="29.42578125" style="33" customWidth="1"/>
    <col min="15618" max="15618" width="7.5703125" style="33" customWidth="1"/>
    <col min="15619" max="15619" width="2.28515625" style="33" customWidth="1"/>
    <col min="15620" max="15620" width="11.42578125" style="33"/>
    <col min="15621" max="15621" width="2.28515625" style="33" customWidth="1"/>
    <col min="15622" max="15870" width="11.42578125" style="33"/>
    <col min="15871" max="15871" width="4.85546875" style="33" customWidth="1"/>
    <col min="15872" max="15872" width="6.5703125" style="33" customWidth="1"/>
    <col min="15873" max="15873" width="29.42578125" style="33" customWidth="1"/>
    <col min="15874" max="15874" width="7.5703125" style="33" customWidth="1"/>
    <col min="15875" max="15875" width="2.28515625" style="33" customWidth="1"/>
    <col min="15876" max="15876" width="11.42578125" style="33"/>
    <col min="15877" max="15877" width="2.28515625" style="33" customWidth="1"/>
    <col min="15878" max="16126" width="11.42578125" style="33"/>
    <col min="16127" max="16127" width="4.85546875" style="33" customWidth="1"/>
    <col min="16128" max="16128" width="6.5703125" style="33" customWidth="1"/>
    <col min="16129" max="16129" width="29.42578125" style="33" customWidth="1"/>
    <col min="16130" max="16130" width="7.5703125" style="33" customWidth="1"/>
    <col min="16131" max="16131" width="2.28515625" style="33" customWidth="1"/>
    <col min="16132" max="16132" width="11.42578125" style="33"/>
    <col min="16133" max="16133" width="2.28515625" style="33" customWidth="1"/>
    <col min="16134" max="16384" width="11.42578125" style="33"/>
  </cols>
  <sheetData>
    <row r="1" spans="1:7" s="49" customFormat="1" ht="15" x14ac:dyDescent="0.25">
      <c r="A1" s="74" t="s">
        <v>184</v>
      </c>
      <c r="E1" s="37"/>
    </row>
    <row r="2" spans="1:7" s="49" customFormat="1" ht="15" x14ac:dyDescent="0.25">
      <c r="B2" s="37"/>
      <c r="C2" s="37"/>
      <c r="D2" s="39"/>
      <c r="E2" s="39"/>
      <c r="F2" s="39"/>
    </row>
    <row r="3" spans="1:7" s="54" customFormat="1" ht="15.75" x14ac:dyDescent="0.25">
      <c r="B3" s="63" t="s">
        <v>91</v>
      </c>
      <c r="C3" s="63"/>
      <c r="D3" s="57" t="s">
        <v>32</v>
      </c>
      <c r="E3" s="57"/>
      <c r="F3" s="57" t="s">
        <v>33</v>
      </c>
    </row>
    <row r="4" spans="1:7" ht="15" x14ac:dyDescent="0.25">
      <c r="B4" s="38" t="s">
        <v>47</v>
      </c>
      <c r="C4" s="37"/>
      <c r="D4" s="39"/>
      <c r="E4" s="39"/>
      <c r="F4" s="39"/>
    </row>
    <row r="5" spans="1:7" ht="15" x14ac:dyDescent="0.25">
      <c r="B5" s="38" t="s">
        <v>16</v>
      </c>
      <c r="C5" s="37"/>
      <c r="D5" s="39"/>
      <c r="E5" s="39"/>
      <c r="F5" s="39"/>
    </row>
    <row r="6" spans="1:7" ht="15" x14ac:dyDescent="0.25">
      <c r="B6" s="37" t="s">
        <v>179</v>
      </c>
      <c r="C6" s="37"/>
      <c r="D6" s="84">
        <v>599</v>
      </c>
      <c r="E6" s="39"/>
      <c r="F6" s="39">
        <v>597</v>
      </c>
    </row>
    <row r="7" spans="1:7" ht="15" x14ac:dyDescent="0.25">
      <c r="B7" s="37" t="s">
        <v>190</v>
      </c>
      <c r="C7" s="37"/>
      <c r="D7" s="39">
        <v>844</v>
      </c>
      <c r="E7" s="39"/>
      <c r="F7" s="39">
        <v>1214</v>
      </c>
    </row>
    <row r="8" spans="1:7" ht="15" x14ac:dyDescent="0.25">
      <c r="B8" s="37" t="s">
        <v>180</v>
      </c>
      <c r="C8" s="37"/>
      <c r="D8" s="39">
        <v>629</v>
      </c>
      <c r="E8" s="39"/>
      <c r="F8" s="39">
        <v>428</v>
      </c>
    </row>
    <row r="9" spans="1:7" ht="15" x14ac:dyDescent="0.25">
      <c r="B9" s="37" t="s">
        <v>191</v>
      </c>
      <c r="C9" s="37"/>
      <c r="D9" s="40">
        <v>45</v>
      </c>
      <c r="E9" s="39"/>
      <c r="F9" s="40">
        <v>99</v>
      </c>
    </row>
    <row r="10" spans="1:7" s="43" customFormat="1" ht="20.25" x14ac:dyDescent="0.3">
      <c r="B10" s="41" t="s">
        <v>5</v>
      </c>
      <c r="C10" s="32"/>
      <c r="D10" s="42">
        <f>SUM(D6:D9)</f>
        <v>2117</v>
      </c>
      <c r="E10" s="39"/>
      <c r="F10" s="42">
        <f>SUM(F6:F9)</f>
        <v>2338</v>
      </c>
    </row>
    <row r="11" spans="1:7" x14ac:dyDescent="0.2">
      <c r="B11" s="44"/>
      <c r="C11" s="44"/>
      <c r="D11" s="45"/>
      <c r="E11" s="45"/>
      <c r="F11" s="45"/>
    </row>
    <row r="12" spans="1:7" ht="15" x14ac:dyDescent="0.25">
      <c r="B12" s="38" t="s">
        <v>17</v>
      </c>
      <c r="C12" s="37"/>
      <c r="D12" s="39"/>
      <c r="E12" s="39"/>
      <c r="F12" s="39"/>
    </row>
    <row r="13" spans="1:7" ht="15" x14ac:dyDescent="0.25">
      <c r="B13" s="37" t="s">
        <v>2</v>
      </c>
      <c r="C13" s="37"/>
      <c r="D13" s="39">
        <v>1691</v>
      </c>
      <c r="E13" s="39"/>
      <c r="F13" s="39">
        <v>1442</v>
      </c>
      <c r="G13" s="79"/>
    </row>
    <row r="14" spans="1:7" ht="15" x14ac:dyDescent="0.25">
      <c r="B14" s="37" t="s">
        <v>3</v>
      </c>
      <c r="C14" s="37"/>
      <c r="D14" s="39">
        <v>2438</v>
      </c>
      <c r="E14" s="39"/>
      <c r="F14" s="39">
        <v>2923</v>
      </c>
    </row>
    <row r="15" spans="1:7" ht="15" x14ac:dyDescent="0.25">
      <c r="B15" s="37" t="s">
        <v>181</v>
      </c>
      <c r="C15" s="37"/>
      <c r="D15" s="39">
        <v>62</v>
      </c>
      <c r="E15" s="39"/>
      <c r="F15" s="39">
        <v>9</v>
      </c>
    </row>
    <row r="16" spans="1:7" ht="15" x14ac:dyDescent="0.25">
      <c r="B16" s="37" t="s">
        <v>182</v>
      </c>
      <c r="C16" s="37"/>
      <c r="D16" s="39">
        <v>2475</v>
      </c>
      <c r="E16" s="39"/>
      <c r="F16" s="39">
        <v>2214</v>
      </c>
    </row>
    <row r="17" spans="1:17" s="43" customFormat="1" ht="20.25" x14ac:dyDescent="0.3">
      <c r="A17" s="46"/>
      <c r="B17" s="41" t="s">
        <v>23</v>
      </c>
      <c r="C17" s="37"/>
      <c r="D17" s="42">
        <f>SUM(D13:D16)</f>
        <v>6666</v>
      </c>
      <c r="E17" s="39"/>
      <c r="F17" s="42">
        <f>SUM(F13:F16)</f>
        <v>6588</v>
      </c>
      <c r="G17" s="46"/>
      <c r="H17" s="46"/>
      <c r="I17" s="46"/>
      <c r="J17" s="46"/>
      <c r="K17" s="46"/>
      <c r="L17" s="46"/>
    </row>
    <row r="18" spans="1:17" x14ac:dyDescent="0.2">
      <c r="B18" s="47"/>
      <c r="C18" s="34"/>
      <c r="D18" s="48"/>
      <c r="E18" s="35"/>
      <c r="F18" s="48"/>
    </row>
    <row r="19" spans="1:17" ht="15.75" thickBot="1" x14ac:dyDescent="0.3">
      <c r="B19" s="41" t="s">
        <v>49</v>
      </c>
      <c r="C19" s="37"/>
      <c r="D19" s="71">
        <f>D10+D17</f>
        <v>8783</v>
      </c>
      <c r="E19" s="39"/>
      <c r="F19" s="71">
        <f t="shared" ref="F19" si="0">F10+F17</f>
        <v>8926</v>
      </c>
    </row>
    <row r="20" spans="1:17" ht="15" x14ac:dyDescent="0.25">
      <c r="B20" s="37"/>
      <c r="C20" s="37"/>
      <c r="D20" s="39"/>
      <c r="E20" s="39"/>
      <c r="F20" s="39"/>
    </row>
    <row r="21" spans="1:17" ht="15" x14ac:dyDescent="0.25">
      <c r="B21" s="38" t="s">
        <v>50</v>
      </c>
      <c r="C21" s="37"/>
      <c r="D21" s="39"/>
      <c r="E21" s="39"/>
      <c r="F21" s="39"/>
    </row>
    <row r="22" spans="1:17" ht="15" x14ac:dyDescent="0.25">
      <c r="B22" s="38" t="s">
        <v>8</v>
      </c>
      <c r="C22" s="37"/>
      <c r="D22" s="39"/>
      <c r="E22" s="39"/>
      <c r="F22" s="39"/>
    </row>
    <row r="23" spans="1:17" ht="15" x14ac:dyDescent="0.25">
      <c r="B23" s="37" t="s">
        <v>34</v>
      </c>
      <c r="C23" s="37"/>
      <c r="D23" s="39">
        <v>750</v>
      </c>
      <c r="E23" s="39"/>
      <c r="F23" s="39">
        <v>750</v>
      </c>
    </row>
    <row r="24" spans="1:17" ht="15" x14ac:dyDescent="0.25">
      <c r="B24" s="37" t="s">
        <v>35</v>
      </c>
      <c r="C24" s="37"/>
      <c r="D24" s="85">
        <v>955</v>
      </c>
      <c r="E24" s="85"/>
      <c r="F24" s="85">
        <v>451</v>
      </c>
    </row>
    <row r="25" spans="1:17" s="43" customFormat="1" ht="20.25" x14ac:dyDescent="0.3">
      <c r="A25" s="46"/>
      <c r="B25" s="41" t="s">
        <v>51</v>
      </c>
      <c r="C25" s="37"/>
      <c r="D25" s="42">
        <f>SUM(D23:D24)</f>
        <v>1705</v>
      </c>
      <c r="E25" s="39"/>
      <c r="F25" s="42">
        <f>SUM(F23:F24)</f>
        <v>1201</v>
      </c>
      <c r="G25" s="46"/>
      <c r="H25" s="46"/>
      <c r="I25" s="46"/>
      <c r="J25" s="46"/>
      <c r="K25" s="46"/>
      <c r="L25" s="46"/>
      <c r="M25" s="46"/>
    </row>
    <row r="26" spans="1:17" x14ac:dyDescent="0.2">
      <c r="B26" s="34"/>
      <c r="C26" s="34"/>
      <c r="D26" s="35"/>
      <c r="E26" s="35"/>
      <c r="F26" s="35"/>
    </row>
    <row r="27" spans="1:17" ht="15" x14ac:dyDescent="0.25">
      <c r="B27" s="38" t="s">
        <v>9</v>
      </c>
      <c r="C27" s="37"/>
      <c r="D27" s="39"/>
      <c r="E27" s="39"/>
      <c r="F27" s="39"/>
    </row>
    <row r="28" spans="1:17" ht="15" x14ac:dyDescent="0.25">
      <c r="B28" s="37" t="s">
        <v>36</v>
      </c>
      <c r="C28" s="37"/>
      <c r="D28" s="39">
        <v>144</v>
      </c>
      <c r="E28" s="39"/>
      <c r="F28" s="39">
        <v>16</v>
      </c>
    </row>
    <row r="29" spans="1:17" s="43" customFormat="1" ht="20.25" x14ac:dyDescent="0.3">
      <c r="A29" s="46"/>
      <c r="B29" s="41" t="s">
        <v>52</v>
      </c>
      <c r="C29" s="37"/>
      <c r="D29" s="42">
        <f>SUM(D28)</f>
        <v>144</v>
      </c>
      <c r="E29" s="39"/>
      <c r="F29" s="42">
        <f>SUM(F28)</f>
        <v>16</v>
      </c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</row>
    <row r="30" spans="1:17" s="43" customFormat="1" ht="20.25" x14ac:dyDescent="0.3">
      <c r="A30" s="46"/>
      <c r="B30" s="41"/>
      <c r="C30" s="37"/>
      <c r="D30" s="39"/>
      <c r="E30" s="39"/>
      <c r="F30" s="39"/>
      <c r="G30" s="46"/>
      <c r="H30" s="46"/>
      <c r="I30" s="46"/>
      <c r="J30" s="46"/>
      <c r="K30" s="46"/>
      <c r="L30" s="46"/>
      <c r="M30" s="46"/>
      <c r="N30" s="46"/>
      <c r="O30" s="46"/>
      <c r="P30" s="46"/>
      <c r="Q30" s="46"/>
    </row>
    <row r="31" spans="1:17" ht="15" x14ac:dyDescent="0.25">
      <c r="A31" s="46"/>
      <c r="B31" s="37" t="s">
        <v>53</v>
      </c>
      <c r="C31" s="37"/>
      <c r="D31" s="39">
        <v>63</v>
      </c>
      <c r="E31" s="39"/>
      <c r="F31" s="39">
        <v>207</v>
      </c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</row>
    <row r="32" spans="1:17" s="43" customFormat="1" ht="20.25" x14ac:dyDescent="0.3">
      <c r="A32" s="46"/>
      <c r="B32" s="41" t="s">
        <v>54</v>
      </c>
      <c r="C32" s="37"/>
      <c r="D32" s="42">
        <f>SUM(D31)</f>
        <v>63</v>
      </c>
      <c r="E32" s="39"/>
      <c r="F32" s="42">
        <f>SUM(F31)</f>
        <v>207</v>
      </c>
      <c r="G32" s="46"/>
      <c r="H32" s="46"/>
      <c r="I32" s="46"/>
      <c r="J32" s="46"/>
      <c r="K32" s="46"/>
      <c r="L32" s="46"/>
      <c r="M32" s="46"/>
      <c r="N32" s="46"/>
      <c r="O32" s="46"/>
      <c r="P32" s="46"/>
      <c r="Q32" s="46"/>
    </row>
    <row r="33" spans="1:23" x14ac:dyDescent="0.2">
      <c r="B33" s="34"/>
      <c r="C33" s="34"/>
      <c r="D33" s="35"/>
      <c r="E33" s="35"/>
      <c r="F33" s="35"/>
    </row>
    <row r="34" spans="1:23" ht="15" x14ac:dyDescent="0.25">
      <c r="B34" s="37" t="s">
        <v>11</v>
      </c>
      <c r="C34" s="37"/>
      <c r="D34" s="39">
        <v>1068</v>
      </c>
      <c r="E34" s="39"/>
      <c r="F34" s="39">
        <v>1197.1499999999999</v>
      </c>
    </row>
    <row r="35" spans="1:23" ht="15" x14ac:dyDescent="0.25">
      <c r="B35" s="37" t="s">
        <v>38</v>
      </c>
      <c r="C35" s="37"/>
      <c r="D35" s="39">
        <v>912</v>
      </c>
      <c r="E35" s="39"/>
      <c r="F35" s="39">
        <v>806</v>
      </c>
    </row>
    <row r="36" spans="1:23" ht="15" x14ac:dyDescent="0.25">
      <c r="B36" s="37" t="s">
        <v>55</v>
      </c>
      <c r="C36" s="37"/>
      <c r="D36" s="39">
        <v>1110</v>
      </c>
      <c r="E36" s="39"/>
      <c r="F36" s="39">
        <v>1340</v>
      </c>
    </row>
    <row r="37" spans="1:23" ht="15" x14ac:dyDescent="0.25">
      <c r="B37" s="37" t="s">
        <v>56</v>
      </c>
      <c r="C37" s="37"/>
      <c r="D37" s="39">
        <v>2000</v>
      </c>
      <c r="E37" s="39"/>
      <c r="F37" s="39">
        <v>2000</v>
      </c>
    </row>
    <row r="38" spans="1:23" ht="15" x14ac:dyDescent="0.25">
      <c r="B38" s="37" t="s">
        <v>39</v>
      </c>
      <c r="C38" s="37"/>
      <c r="D38" s="39">
        <v>1781</v>
      </c>
      <c r="E38" s="39"/>
      <c r="F38" s="39">
        <v>2159</v>
      </c>
    </row>
    <row r="39" spans="1:23" s="43" customFormat="1" ht="20.25" x14ac:dyDescent="0.3">
      <c r="A39" s="49"/>
      <c r="B39" s="41" t="s">
        <v>13</v>
      </c>
      <c r="C39" s="37"/>
      <c r="D39" s="42">
        <f>SUM(D34:D38)</f>
        <v>6871</v>
      </c>
      <c r="E39" s="39"/>
      <c r="F39" s="42">
        <f>SUM(F34:F38)</f>
        <v>7502.15</v>
      </c>
      <c r="G39" s="49"/>
      <c r="H39" s="49"/>
      <c r="I39" s="49"/>
      <c r="J39" s="49"/>
      <c r="K39" s="49"/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</row>
    <row r="40" spans="1:23" x14ac:dyDescent="0.2">
      <c r="B40" s="34"/>
      <c r="C40" s="34"/>
      <c r="D40" s="35"/>
      <c r="E40" s="35"/>
      <c r="F40" s="35"/>
    </row>
    <row r="41" spans="1:23" ht="15.75" thickBot="1" x14ac:dyDescent="0.3">
      <c r="B41" s="41" t="s">
        <v>57</v>
      </c>
      <c r="C41" s="37"/>
      <c r="D41" s="71">
        <f>D25+D29+D32+D39</f>
        <v>8783</v>
      </c>
      <c r="E41" s="39">
        <v>0</v>
      </c>
      <c r="F41" s="71">
        <f>F25+F29+F32+F39</f>
        <v>8926.15</v>
      </c>
    </row>
    <row r="42" spans="1:23" s="49" customFormat="1" ht="15" x14ac:dyDescent="0.25">
      <c r="E42" s="37"/>
    </row>
    <row r="43" spans="1:23" s="49" customFormat="1" ht="15" x14ac:dyDescent="0.25">
      <c r="E43" s="37"/>
    </row>
    <row r="44" spans="1:23" s="49" customFormat="1" ht="15" x14ac:dyDescent="0.25">
      <c r="B44" s="49" t="s">
        <v>183</v>
      </c>
      <c r="D44" s="161">
        <v>40853</v>
      </c>
      <c r="E44" s="160"/>
      <c r="F44" s="85">
        <v>43024</v>
      </c>
      <c r="G44" s="162">
        <v>43585</v>
      </c>
      <c r="H44" s="163" t="s">
        <v>351</v>
      </c>
    </row>
    <row r="45" spans="1:23" s="49" customFormat="1" ht="15" x14ac:dyDescent="0.25">
      <c r="B45" s="49" t="s">
        <v>125</v>
      </c>
      <c r="D45" s="72">
        <v>12990</v>
      </c>
      <c r="E45" s="37"/>
      <c r="F45" s="72">
        <v>13929</v>
      </c>
      <c r="G45" s="164">
        <v>14883</v>
      </c>
      <c r="H45" s="165"/>
    </row>
    <row r="46" spans="1:23" s="49" customFormat="1" ht="15" x14ac:dyDescent="0.25">
      <c r="B46" s="49" t="s">
        <v>192</v>
      </c>
      <c r="E46" s="37"/>
    </row>
    <row r="47" spans="1:23" s="49" customFormat="1" ht="15" x14ac:dyDescent="0.25">
      <c r="E47" s="37"/>
    </row>
    <row r="48" spans="1:23" s="49" customFormat="1" ht="15" x14ac:dyDescent="0.25">
      <c r="A48" s="49" t="s">
        <v>65</v>
      </c>
      <c r="B48" s="74" t="s">
        <v>137</v>
      </c>
      <c r="D48" s="75" t="s">
        <v>138</v>
      </c>
      <c r="E48" s="78"/>
      <c r="F48" s="77" t="s">
        <v>139</v>
      </c>
    </row>
    <row r="49" spans="2:7" s="49" customFormat="1" ht="15.75" x14ac:dyDescent="0.25">
      <c r="B49" s="1" t="s">
        <v>140</v>
      </c>
      <c r="E49" s="37"/>
    </row>
    <row r="50" spans="2:7" s="49" customFormat="1" ht="15.75" x14ac:dyDescent="0.25">
      <c r="B50" s="2" t="s">
        <v>17</v>
      </c>
      <c r="D50" s="72">
        <f>D17</f>
        <v>6666</v>
      </c>
      <c r="E50" s="37"/>
      <c r="F50" s="72">
        <f>F17</f>
        <v>6588</v>
      </c>
    </row>
    <row r="51" spans="2:7" s="49" customFormat="1" ht="15.75" x14ac:dyDescent="0.25">
      <c r="B51" s="2" t="s">
        <v>141</v>
      </c>
      <c r="D51" s="72">
        <f>D14+D15+D16</f>
        <v>4975</v>
      </c>
      <c r="E51" s="37"/>
      <c r="F51" s="72">
        <f>F14+F15+F16</f>
        <v>5146</v>
      </c>
    </row>
    <row r="52" spans="2:7" s="49" customFormat="1" ht="15.75" x14ac:dyDescent="0.25">
      <c r="B52" s="2" t="s">
        <v>18</v>
      </c>
      <c r="D52" s="72">
        <f>D39</f>
        <v>6871</v>
      </c>
      <c r="E52" s="37"/>
      <c r="F52" s="72">
        <f>F39</f>
        <v>7502.15</v>
      </c>
    </row>
    <row r="53" spans="2:7" s="49" customFormat="1" ht="15.75" x14ac:dyDescent="0.25">
      <c r="B53" s="2" t="s">
        <v>42</v>
      </c>
      <c r="D53" s="72">
        <f>D50-D52</f>
        <v>-205</v>
      </c>
      <c r="E53" s="37"/>
      <c r="F53" s="72">
        <f>F50-F52</f>
        <v>-914.14999999999964</v>
      </c>
    </row>
    <row r="54" spans="2:7" s="49" customFormat="1" ht="15.75" x14ac:dyDescent="0.25">
      <c r="B54" s="2" t="s">
        <v>143</v>
      </c>
      <c r="D54" s="72">
        <f>D16</f>
        <v>2475</v>
      </c>
      <c r="E54" s="37"/>
      <c r="F54" s="72">
        <f>F16</f>
        <v>2214</v>
      </c>
    </row>
    <row r="55" spans="2:7" s="49" customFormat="1" ht="15.75" x14ac:dyDescent="0.25">
      <c r="B55" s="2"/>
      <c r="D55" s="72"/>
      <c r="E55" s="37"/>
      <c r="F55" s="72"/>
    </row>
    <row r="56" spans="2:7" s="49" customFormat="1" ht="15" x14ac:dyDescent="0.25">
      <c r="D56" s="75" t="s">
        <v>32</v>
      </c>
      <c r="E56" s="76"/>
      <c r="F56" s="75"/>
    </row>
    <row r="57" spans="2:7" s="49" customFormat="1" ht="15.75" x14ac:dyDescent="0.25">
      <c r="B57" s="2" t="s">
        <v>144</v>
      </c>
      <c r="D57" s="72">
        <f>D44*1.15</f>
        <v>46980.95</v>
      </c>
      <c r="E57" s="72">
        <f t="shared" ref="E57" si="1">E44*1.14</f>
        <v>0</v>
      </c>
      <c r="F57" s="72">
        <f>F44*1.15</f>
        <v>49477.599999999999</v>
      </c>
      <c r="G57" s="72"/>
    </row>
    <row r="58" spans="2:7" s="49" customFormat="1" ht="15.75" x14ac:dyDescent="0.25">
      <c r="B58" s="159" t="s">
        <v>193</v>
      </c>
      <c r="C58" s="160"/>
      <c r="D58" s="72">
        <f>D45+D13-F13</f>
        <v>13239</v>
      </c>
      <c r="E58" s="39"/>
      <c r="F58" s="72">
        <f>F45-233</f>
        <v>13696</v>
      </c>
    </row>
    <row r="59" spans="2:7" s="49" customFormat="1" ht="15.75" x14ac:dyDescent="0.25">
      <c r="B59" s="2" t="s">
        <v>194</v>
      </c>
      <c r="D59" s="72"/>
      <c r="E59" s="39"/>
      <c r="F59" s="72"/>
    </row>
    <row r="60" spans="2:7" s="49" customFormat="1" ht="15.75" x14ac:dyDescent="0.25">
      <c r="B60" s="2" t="s">
        <v>145</v>
      </c>
      <c r="D60" s="72">
        <f>D58*1.15</f>
        <v>15224.849999999999</v>
      </c>
      <c r="E60" s="72"/>
      <c r="F60" s="72">
        <f>F58*1.15</f>
        <v>15750.4</v>
      </c>
    </row>
    <row r="61" spans="2:7" s="49" customFormat="1" ht="15.75" x14ac:dyDescent="0.25">
      <c r="B61" s="2" t="s">
        <v>148</v>
      </c>
      <c r="D61" s="72">
        <f>(D13+F13)/2</f>
        <v>1566.5</v>
      </c>
      <c r="E61" s="39"/>
      <c r="F61" s="72">
        <v>2033.5</v>
      </c>
    </row>
    <row r="62" spans="2:7" s="49" customFormat="1" ht="15.75" x14ac:dyDescent="0.25">
      <c r="B62" s="2" t="s">
        <v>149</v>
      </c>
      <c r="D62" s="72">
        <f>(D14+F14)/2</f>
        <v>2680.5</v>
      </c>
      <c r="E62" s="39"/>
      <c r="F62" s="72">
        <v>2663</v>
      </c>
    </row>
    <row r="63" spans="2:7" s="49" customFormat="1" ht="15.75" x14ac:dyDescent="0.25">
      <c r="B63" s="2" t="s">
        <v>150</v>
      </c>
      <c r="D63" s="72">
        <f>(D34+F34)/2</f>
        <v>1132.5749999999998</v>
      </c>
      <c r="E63" s="39"/>
      <c r="F63" s="72">
        <v>1230</v>
      </c>
    </row>
    <row r="64" spans="2:7" s="49" customFormat="1" ht="15" x14ac:dyDescent="0.25">
      <c r="E64" s="37"/>
    </row>
    <row r="65" spans="2:6" s="49" customFormat="1" ht="15.75" x14ac:dyDescent="0.25">
      <c r="B65" s="1" t="s">
        <v>151</v>
      </c>
      <c r="E65" s="37"/>
    </row>
    <row r="66" spans="2:6" s="49" customFormat="1" ht="15.75" x14ac:dyDescent="0.25">
      <c r="B66" s="2" t="s">
        <v>152</v>
      </c>
      <c r="D66" s="81">
        <f>D50/D52</f>
        <v>0.97016445932178719</v>
      </c>
      <c r="E66" s="81"/>
      <c r="F66" s="81">
        <f>F50/F52</f>
        <v>0.87814826416427294</v>
      </c>
    </row>
    <row r="67" spans="2:6" s="49" customFormat="1" ht="15.75" x14ac:dyDescent="0.25">
      <c r="B67" s="2" t="s">
        <v>153</v>
      </c>
      <c r="D67" s="81">
        <f>D51/D52</f>
        <v>0.72405763353223695</v>
      </c>
      <c r="F67" s="81">
        <f>F51/F52</f>
        <v>0.68593669814653135</v>
      </c>
    </row>
    <row r="68" spans="2:6" s="49" customFormat="1" ht="15.75" x14ac:dyDescent="0.25">
      <c r="B68" s="2" t="s">
        <v>154</v>
      </c>
      <c r="D68" s="80">
        <f>D53/D44</f>
        <v>-5.0179913347856951E-3</v>
      </c>
      <c r="E68" s="80"/>
      <c r="F68" s="80">
        <f>F53/G44</f>
        <v>-2.0973958930824817E-2</v>
      </c>
    </row>
    <row r="69" spans="2:6" s="49" customFormat="1" ht="15.75" x14ac:dyDescent="0.25">
      <c r="B69" s="2" t="s">
        <v>155</v>
      </c>
      <c r="D69" s="80">
        <f>D54/D44</f>
        <v>6.0583066115095584E-2</v>
      </c>
      <c r="E69" s="80"/>
      <c r="F69" s="80">
        <f>F54/G44</f>
        <v>5.0797292646552715E-2</v>
      </c>
    </row>
    <row r="70" spans="2:6" s="49" customFormat="1" ht="15.75" x14ac:dyDescent="0.25">
      <c r="B70" s="2" t="s">
        <v>156</v>
      </c>
      <c r="D70" s="82">
        <f>365*D61/D45</f>
        <v>44.016358737490378</v>
      </c>
      <c r="E70" s="82"/>
      <c r="F70" s="82">
        <f>365*F61/F45</f>
        <v>53.286488620862947</v>
      </c>
    </row>
    <row r="71" spans="2:6" s="49" customFormat="1" ht="15.75" x14ac:dyDescent="0.25">
      <c r="B71" s="2" t="s">
        <v>157</v>
      </c>
      <c r="D71" s="82">
        <f>365*D62/D57</f>
        <v>20.8250897438217</v>
      </c>
      <c r="E71" s="82"/>
      <c r="F71" s="86">
        <f>365*2663/F57</f>
        <v>19.645152553882969</v>
      </c>
    </row>
    <row r="72" spans="2:6" s="49" customFormat="1" ht="15.75" x14ac:dyDescent="0.25">
      <c r="B72" s="2" t="s">
        <v>158</v>
      </c>
      <c r="D72" s="82">
        <f>365*D63/D60</f>
        <v>27.152311845436898</v>
      </c>
      <c r="E72" s="82"/>
      <c r="F72" s="86">
        <f>365*1230/F60</f>
        <v>28.504037992685902</v>
      </c>
    </row>
    <row r="73" spans="2:6" s="49" customFormat="1" ht="15" x14ac:dyDescent="0.25">
      <c r="E73" s="37"/>
    </row>
    <row r="74" spans="2:6" s="49" customFormat="1" ht="15" x14ac:dyDescent="0.25">
      <c r="B74" s="49" t="s">
        <v>195</v>
      </c>
      <c r="E74" s="37"/>
    </row>
    <row r="75" spans="2:6" s="49" customFormat="1" ht="15" x14ac:dyDescent="0.25">
      <c r="B75" s="49" t="s">
        <v>196</v>
      </c>
      <c r="E75" s="37"/>
    </row>
    <row r="76" spans="2:6" s="49" customFormat="1" ht="15" x14ac:dyDescent="0.25">
      <c r="B76" s="49" t="s">
        <v>197</v>
      </c>
      <c r="E76" s="37"/>
    </row>
    <row r="77" spans="2:6" s="49" customFormat="1" ht="15" x14ac:dyDescent="0.25">
      <c r="B77" s="49" t="s">
        <v>198</v>
      </c>
      <c r="E77" s="37"/>
    </row>
    <row r="78" spans="2:6" s="49" customFormat="1" ht="15" x14ac:dyDescent="0.25">
      <c r="E78" s="37"/>
    </row>
    <row r="79" spans="2:6" s="49" customFormat="1" ht="15" x14ac:dyDescent="0.25">
      <c r="B79" s="49" t="s">
        <v>199</v>
      </c>
      <c r="E79" s="37"/>
    </row>
    <row r="80" spans="2:6" s="49" customFormat="1" ht="15" x14ac:dyDescent="0.25">
      <c r="B80" s="49" t="s">
        <v>200</v>
      </c>
      <c r="E80" s="37"/>
    </row>
    <row r="81" spans="1:5" s="49" customFormat="1" ht="15" x14ac:dyDescent="0.25">
      <c r="B81" s="49" t="s">
        <v>201</v>
      </c>
      <c r="E81" s="37"/>
    </row>
    <row r="82" spans="1:5" s="49" customFormat="1" ht="15" x14ac:dyDescent="0.25">
      <c r="B82" s="49" t="s">
        <v>185</v>
      </c>
      <c r="E82" s="37"/>
    </row>
    <row r="83" spans="1:5" s="49" customFormat="1" ht="15" x14ac:dyDescent="0.25">
      <c r="B83" s="49" t="s">
        <v>202</v>
      </c>
      <c r="E83" s="37"/>
    </row>
    <row r="84" spans="1:5" s="49" customFormat="1" ht="15" x14ac:dyDescent="0.25">
      <c r="B84" s="49" t="s">
        <v>203</v>
      </c>
      <c r="E84" s="37"/>
    </row>
    <row r="85" spans="1:5" s="49" customFormat="1" ht="15" x14ac:dyDescent="0.25">
      <c r="B85" s="49" t="s">
        <v>204</v>
      </c>
      <c r="E85" s="37"/>
    </row>
    <row r="86" spans="1:5" s="49" customFormat="1" ht="15" x14ac:dyDescent="0.25">
      <c r="E86" s="37"/>
    </row>
    <row r="87" spans="1:5" s="49" customFormat="1" ht="15" x14ac:dyDescent="0.25">
      <c r="B87" s="49" t="s">
        <v>205</v>
      </c>
      <c r="E87" s="37"/>
    </row>
    <row r="88" spans="1:5" s="49" customFormat="1" ht="15" x14ac:dyDescent="0.25">
      <c r="B88" s="49" t="s">
        <v>206</v>
      </c>
      <c r="E88" s="37"/>
    </row>
    <row r="89" spans="1:5" s="49" customFormat="1" ht="15" x14ac:dyDescent="0.25">
      <c r="B89" s="49" t="s">
        <v>207</v>
      </c>
      <c r="E89" s="37"/>
    </row>
    <row r="90" spans="1:5" s="49" customFormat="1" ht="15" x14ac:dyDescent="0.25">
      <c r="B90" s="49" t="s">
        <v>208</v>
      </c>
      <c r="E90" s="37"/>
    </row>
    <row r="91" spans="1:5" s="49" customFormat="1" ht="15" x14ac:dyDescent="0.25">
      <c r="B91" s="49" t="s">
        <v>209</v>
      </c>
      <c r="E91" s="37"/>
    </row>
    <row r="92" spans="1:5" s="49" customFormat="1" ht="15" x14ac:dyDescent="0.25">
      <c r="B92" s="49" t="s">
        <v>210</v>
      </c>
      <c r="E92" s="37"/>
    </row>
    <row r="93" spans="1:5" s="49" customFormat="1" ht="15" x14ac:dyDescent="0.25">
      <c r="B93" s="49" t="s">
        <v>211</v>
      </c>
      <c r="E93" s="37"/>
    </row>
    <row r="94" spans="1:5" s="49" customFormat="1" ht="15" x14ac:dyDescent="0.25">
      <c r="E94" s="37"/>
    </row>
    <row r="95" spans="1:5" s="49" customFormat="1" ht="15" x14ac:dyDescent="0.25">
      <c r="A95" s="49" t="s">
        <v>74</v>
      </c>
      <c r="B95" s="49" t="s">
        <v>212</v>
      </c>
      <c r="E95" s="37"/>
    </row>
    <row r="96" spans="1:5" s="49" customFormat="1" ht="15" x14ac:dyDescent="0.25">
      <c r="B96" s="49" t="s">
        <v>213</v>
      </c>
      <c r="E96" s="37"/>
    </row>
    <row r="97" spans="1:6" s="49" customFormat="1" ht="15" x14ac:dyDescent="0.25">
      <c r="B97" s="49" t="s">
        <v>214</v>
      </c>
      <c r="E97" s="37"/>
    </row>
    <row r="98" spans="1:6" s="49" customFormat="1" ht="15" x14ac:dyDescent="0.25">
      <c r="B98" s="49" t="s">
        <v>215</v>
      </c>
      <c r="E98" s="37"/>
    </row>
    <row r="99" spans="1:6" s="49" customFormat="1" ht="15" x14ac:dyDescent="0.25">
      <c r="B99" s="49" t="s">
        <v>216</v>
      </c>
      <c r="E99" s="37"/>
    </row>
    <row r="100" spans="1:6" s="49" customFormat="1" ht="15" x14ac:dyDescent="0.25">
      <c r="B100" s="49" t="s">
        <v>217</v>
      </c>
      <c r="E100" s="37"/>
    </row>
    <row r="101" spans="1:6" s="49" customFormat="1" ht="15" x14ac:dyDescent="0.25">
      <c r="E101" s="37"/>
    </row>
    <row r="102" spans="1:6" s="49" customFormat="1" ht="15.75" x14ac:dyDescent="0.25">
      <c r="A102" s="49" t="s">
        <v>119</v>
      </c>
      <c r="B102" s="7" t="s">
        <v>159</v>
      </c>
      <c r="E102" s="37"/>
    </row>
    <row r="103" spans="1:6" s="49" customFormat="1" ht="15.75" x14ac:dyDescent="0.25">
      <c r="B103" s="1" t="s">
        <v>140</v>
      </c>
      <c r="E103" s="37"/>
    </row>
    <row r="104" spans="1:6" s="49" customFormat="1" ht="15.75" x14ac:dyDescent="0.25">
      <c r="B104" s="2" t="s">
        <v>8</v>
      </c>
      <c r="D104" s="72">
        <f>D25</f>
        <v>1705</v>
      </c>
      <c r="E104" s="72"/>
      <c r="F104" s="72">
        <f>F25</f>
        <v>1201</v>
      </c>
    </row>
    <row r="105" spans="1:6" s="49" customFormat="1" ht="15.75" x14ac:dyDescent="0.25">
      <c r="B105" s="2" t="s">
        <v>160</v>
      </c>
      <c r="D105" s="72">
        <f>D19</f>
        <v>8783</v>
      </c>
      <c r="E105" s="72"/>
      <c r="F105" s="72">
        <f>F19</f>
        <v>8926</v>
      </c>
    </row>
    <row r="106" spans="1:6" s="49" customFormat="1" ht="15.75" x14ac:dyDescent="0.25">
      <c r="B106" s="2" t="s">
        <v>161</v>
      </c>
      <c r="D106" s="72">
        <f>D29+D32+D39</f>
        <v>7078</v>
      </c>
      <c r="E106" s="72"/>
      <c r="F106" s="72">
        <f>F29+F32+F39</f>
        <v>7725.15</v>
      </c>
    </row>
    <row r="107" spans="1:6" s="49" customFormat="1" ht="15.75" x14ac:dyDescent="0.25">
      <c r="B107" s="2" t="s">
        <v>17</v>
      </c>
      <c r="D107" s="72">
        <f>D17</f>
        <v>6666</v>
      </c>
      <c r="E107" s="72"/>
      <c r="F107" s="72">
        <f>F17</f>
        <v>6588</v>
      </c>
    </row>
    <row r="108" spans="1:6" s="49" customFormat="1" ht="15.75" x14ac:dyDescent="0.25">
      <c r="B108" s="2" t="s">
        <v>18</v>
      </c>
      <c r="D108" s="72">
        <f>D39</f>
        <v>6871</v>
      </c>
      <c r="E108" s="72"/>
      <c r="F108" s="72">
        <f>F39</f>
        <v>7502.15</v>
      </c>
    </row>
    <row r="109" spans="1:6" s="49" customFormat="1" ht="15.75" x14ac:dyDescent="0.25">
      <c r="B109" s="2" t="s">
        <v>2</v>
      </c>
      <c r="D109" s="72">
        <f>D13</f>
        <v>1691</v>
      </c>
      <c r="E109" s="72"/>
      <c r="F109" s="72">
        <f>F13</f>
        <v>1442</v>
      </c>
    </row>
    <row r="110" spans="1:6" s="49" customFormat="1" ht="15.75" x14ac:dyDescent="0.25">
      <c r="B110" s="2" t="s">
        <v>43</v>
      </c>
      <c r="D110" s="72">
        <f>D25+D29+D32</f>
        <v>1912</v>
      </c>
      <c r="E110" s="72"/>
      <c r="F110" s="72">
        <f>F25+F29+F32</f>
        <v>1424</v>
      </c>
    </row>
    <row r="111" spans="1:6" s="49" customFormat="1" ht="15.75" x14ac:dyDescent="0.25">
      <c r="B111" s="2" t="s">
        <v>16</v>
      </c>
      <c r="D111" s="72">
        <f>D10</f>
        <v>2117</v>
      </c>
      <c r="E111" s="72"/>
      <c r="F111" s="72">
        <f>F10</f>
        <v>2338</v>
      </c>
    </row>
    <row r="112" spans="1:6" s="49" customFormat="1" ht="15.75" x14ac:dyDescent="0.25">
      <c r="B112" s="2" t="s">
        <v>42</v>
      </c>
      <c r="D112" s="72">
        <f>D107-D108</f>
        <v>-205</v>
      </c>
      <c r="E112" s="72"/>
      <c r="F112" s="72">
        <f>F107-F108</f>
        <v>-914.14999999999964</v>
      </c>
    </row>
    <row r="113" spans="1:14" s="49" customFormat="1" ht="15.75" x14ac:dyDescent="0.25">
      <c r="B113" s="2"/>
      <c r="E113" s="37"/>
    </row>
    <row r="114" spans="1:14" s="49" customFormat="1" ht="15.75" x14ac:dyDescent="0.25">
      <c r="B114" s="1" t="s">
        <v>162</v>
      </c>
      <c r="E114" s="37"/>
    </row>
    <row r="115" spans="1:14" s="49" customFormat="1" ht="15.75" x14ac:dyDescent="0.25">
      <c r="B115" s="2" t="s">
        <v>62</v>
      </c>
      <c r="D115" s="80">
        <f>D104/D105</f>
        <v>0.19412501423203918</v>
      </c>
      <c r="F115" s="80">
        <f>F104/F105</f>
        <v>0.13455075061617747</v>
      </c>
    </row>
    <row r="116" spans="1:14" s="49" customFormat="1" ht="15.75" x14ac:dyDescent="0.25">
      <c r="B116" s="2" t="s">
        <v>41</v>
      </c>
      <c r="D116" s="81">
        <f>D106/D104</f>
        <v>4.1513196480938417</v>
      </c>
      <c r="F116" s="81">
        <f>F106/F104</f>
        <v>6.4322647793505405</v>
      </c>
    </row>
    <row r="117" spans="1:14" s="49" customFormat="1" ht="15.75" x14ac:dyDescent="0.25">
      <c r="B117" s="2" t="s">
        <v>163</v>
      </c>
      <c r="D117" s="80">
        <f>D112/D109</f>
        <v>-0.12123004139562389</v>
      </c>
      <c r="F117" s="80">
        <f>F112/F109</f>
        <v>-0.63394590846047127</v>
      </c>
    </row>
    <row r="118" spans="1:14" s="49" customFormat="1" ht="15.75" x14ac:dyDescent="0.25">
      <c r="B118" s="2" t="s">
        <v>44</v>
      </c>
      <c r="D118" s="81">
        <f>D111/D110</f>
        <v>1.1072175732217573</v>
      </c>
      <c r="E118" s="81"/>
      <c r="F118" s="81">
        <f>F111/F110</f>
        <v>1.6418539325842696</v>
      </c>
    </row>
    <row r="119" spans="1:14" ht="15" x14ac:dyDescent="0.25">
      <c r="A119" s="49"/>
      <c r="B119" s="83" t="s">
        <v>45</v>
      </c>
      <c r="C119" s="49"/>
      <c r="D119" s="81">
        <f>D107/D108</f>
        <v>0.97016445932178719</v>
      </c>
      <c r="E119" s="49"/>
      <c r="F119" s="81">
        <f>F107/F108</f>
        <v>0.87814826416427294</v>
      </c>
      <c r="G119" s="49"/>
      <c r="H119" s="49"/>
      <c r="I119" s="49"/>
      <c r="J119" s="49"/>
      <c r="K119" s="49"/>
      <c r="L119" s="49"/>
      <c r="M119" s="49"/>
      <c r="N119" s="49"/>
    </row>
    <row r="120" spans="1:14" ht="15" x14ac:dyDescent="0.25">
      <c r="A120" s="49"/>
      <c r="B120" s="49"/>
      <c r="C120" s="49"/>
      <c r="D120" s="49"/>
      <c r="E120" s="37"/>
      <c r="F120" s="49"/>
      <c r="G120" s="49"/>
      <c r="H120" s="49"/>
      <c r="I120" s="49"/>
      <c r="J120" s="49"/>
      <c r="K120" s="49"/>
      <c r="L120" s="49"/>
      <c r="M120" s="49"/>
      <c r="N120" s="49"/>
    </row>
    <row r="121" spans="1:14" ht="15" x14ac:dyDescent="0.25">
      <c r="A121" s="49"/>
      <c r="B121" s="49" t="s">
        <v>218</v>
      </c>
      <c r="C121" s="49"/>
      <c r="D121" s="49"/>
      <c r="E121" s="37"/>
      <c r="F121" s="49"/>
      <c r="G121" s="49"/>
      <c r="H121" s="49"/>
      <c r="I121" s="49"/>
      <c r="J121" s="49"/>
      <c r="K121" s="49"/>
      <c r="L121" s="49"/>
      <c r="M121" s="49"/>
      <c r="N121" s="49"/>
    </row>
    <row r="122" spans="1:14" ht="15" x14ac:dyDescent="0.25">
      <c r="A122" s="49"/>
      <c r="B122" s="49" t="s">
        <v>219</v>
      </c>
      <c r="C122" s="49"/>
      <c r="D122" s="49"/>
      <c r="E122" s="37"/>
      <c r="F122" s="49"/>
      <c r="G122" s="49"/>
      <c r="H122" s="49"/>
      <c r="I122" s="49"/>
      <c r="J122" s="49"/>
      <c r="K122" s="49"/>
      <c r="L122" s="49"/>
      <c r="M122" s="49"/>
      <c r="N122" s="49"/>
    </row>
    <row r="123" spans="1:14" ht="15" x14ac:dyDescent="0.25">
      <c r="A123" s="49"/>
      <c r="B123" s="49" t="s">
        <v>220</v>
      </c>
      <c r="C123" s="49"/>
      <c r="D123" s="49"/>
      <c r="E123" s="37"/>
      <c r="F123" s="49"/>
      <c r="G123" s="49"/>
      <c r="H123" s="49"/>
      <c r="I123" s="49"/>
      <c r="J123" s="49"/>
      <c r="K123" s="49"/>
      <c r="L123" s="49"/>
      <c r="M123" s="49"/>
      <c r="N123" s="49"/>
    </row>
    <row r="124" spans="1:14" ht="15" x14ac:dyDescent="0.25">
      <c r="A124" s="49"/>
      <c r="B124" s="49" t="s">
        <v>221</v>
      </c>
      <c r="C124" s="49"/>
      <c r="D124" s="49"/>
      <c r="E124" s="37"/>
      <c r="F124" s="49"/>
      <c r="G124" s="49"/>
      <c r="H124" s="49"/>
      <c r="I124" s="49"/>
      <c r="J124" s="49"/>
      <c r="K124" s="49"/>
      <c r="L124" s="49"/>
      <c r="M124" s="49"/>
      <c r="N124" s="49"/>
    </row>
    <row r="125" spans="1:14" ht="15" x14ac:dyDescent="0.25">
      <c r="A125" s="49"/>
      <c r="B125" s="49"/>
      <c r="C125" s="49"/>
      <c r="D125" s="49"/>
      <c r="E125" s="37"/>
      <c r="F125" s="49"/>
      <c r="G125" s="49"/>
      <c r="H125" s="49"/>
      <c r="I125" s="49"/>
      <c r="J125" s="49"/>
      <c r="K125" s="49"/>
      <c r="L125" s="49"/>
      <c r="M125" s="49"/>
      <c r="N125" s="49"/>
    </row>
    <row r="126" spans="1:14" ht="15" x14ac:dyDescent="0.25">
      <c r="A126" s="49"/>
      <c r="B126" s="49" t="s">
        <v>222</v>
      </c>
      <c r="C126" s="49"/>
      <c r="D126" s="49"/>
      <c r="E126" s="37"/>
      <c r="F126" s="49"/>
      <c r="G126" s="49"/>
      <c r="H126" s="49"/>
      <c r="I126" s="49"/>
      <c r="J126" s="49"/>
      <c r="K126" s="49"/>
      <c r="L126" s="49"/>
      <c r="M126" s="49"/>
      <c r="N126" s="49"/>
    </row>
    <row r="127" spans="1:14" ht="15" x14ac:dyDescent="0.25">
      <c r="A127" s="49"/>
      <c r="B127" s="49" t="s">
        <v>223</v>
      </c>
      <c r="C127" s="49"/>
      <c r="D127" s="49"/>
      <c r="E127" s="37"/>
      <c r="F127" s="49"/>
      <c r="G127" s="49"/>
      <c r="H127" s="49"/>
      <c r="I127" s="49"/>
      <c r="J127" s="49"/>
      <c r="K127" s="49"/>
      <c r="L127" s="49"/>
      <c r="M127" s="49"/>
      <c r="N127" s="49"/>
    </row>
    <row r="128" spans="1:14" ht="15" x14ac:dyDescent="0.25">
      <c r="A128" s="49"/>
      <c r="B128" s="49" t="s">
        <v>224</v>
      </c>
      <c r="C128" s="49"/>
      <c r="D128" s="49"/>
      <c r="E128" s="37"/>
      <c r="F128" s="49"/>
      <c r="G128" s="49"/>
      <c r="H128" s="49"/>
      <c r="I128" s="49"/>
      <c r="J128" s="49"/>
      <c r="K128" s="49"/>
      <c r="L128" s="49"/>
      <c r="M128" s="49"/>
      <c r="N128" s="49"/>
    </row>
    <row r="129" spans="1:14" ht="15" x14ac:dyDescent="0.25">
      <c r="A129" s="49"/>
      <c r="B129" s="49" t="s">
        <v>225</v>
      </c>
      <c r="C129" s="49"/>
      <c r="D129" s="49"/>
      <c r="E129" s="37"/>
      <c r="F129" s="49"/>
      <c r="G129" s="49"/>
      <c r="H129" s="49"/>
      <c r="I129" s="49"/>
      <c r="J129" s="49"/>
      <c r="K129" s="49"/>
      <c r="L129" s="49"/>
      <c r="M129" s="49"/>
      <c r="N129" s="49"/>
    </row>
    <row r="130" spans="1:14" ht="15" x14ac:dyDescent="0.25">
      <c r="A130" s="49"/>
      <c r="B130" s="49" t="s">
        <v>226</v>
      </c>
      <c r="C130" s="49"/>
      <c r="D130" s="49"/>
      <c r="E130" s="37"/>
      <c r="F130" s="49"/>
      <c r="G130" s="49"/>
      <c r="H130" s="49"/>
      <c r="I130" s="49"/>
      <c r="J130" s="49"/>
      <c r="K130" s="49"/>
      <c r="L130" s="49"/>
      <c r="M130" s="49"/>
      <c r="N130" s="49"/>
    </row>
    <row r="131" spans="1:14" ht="15" x14ac:dyDescent="0.25">
      <c r="A131" s="49"/>
      <c r="B131" s="49" t="s">
        <v>187</v>
      </c>
      <c r="C131" s="49"/>
      <c r="D131" s="49"/>
      <c r="E131" s="37"/>
      <c r="F131" s="49"/>
      <c r="G131" s="49"/>
      <c r="H131" s="49"/>
      <c r="I131" s="49"/>
      <c r="J131" s="49"/>
      <c r="K131" s="49"/>
      <c r="L131" s="49"/>
      <c r="M131" s="49"/>
      <c r="N131" s="49"/>
    </row>
    <row r="132" spans="1:14" ht="15" x14ac:dyDescent="0.25">
      <c r="A132" s="49"/>
      <c r="B132" s="49" t="s">
        <v>188</v>
      </c>
      <c r="C132" s="49"/>
      <c r="D132" s="49"/>
      <c r="E132" s="37"/>
      <c r="F132" s="49"/>
      <c r="G132" s="49"/>
      <c r="H132" s="49"/>
      <c r="I132" s="49"/>
      <c r="J132" s="49"/>
      <c r="K132" s="49"/>
      <c r="L132" s="49"/>
      <c r="M132" s="49"/>
      <c r="N132" s="49"/>
    </row>
    <row r="133" spans="1:14" ht="15" x14ac:dyDescent="0.25">
      <c r="A133" s="49"/>
      <c r="B133" s="49" t="s">
        <v>227</v>
      </c>
      <c r="C133" s="49"/>
      <c r="D133" s="49"/>
      <c r="E133" s="37"/>
      <c r="F133" s="49"/>
      <c r="G133" s="49"/>
      <c r="H133" s="49"/>
      <c r="I133" s="49"/>
      <c r="J133" s="49"/>
      <c r="K133" s="49"/>
      <c r="L133" s="49"/>
      <c r="M133" s="49"/>
      <c r="N133" s="49"/>
    </row>
    <row r="134" spans="1:14" ht="15" x14ac:dyDescent="0.25">
      <c r="A134" s="49"/>
      <c r="B134" s="49" t="s">
        <v>228</v>
      </c>
      <c r="C134" s="49"/>
      <c r="D134" s="49"/>
      <c r="E134" s="37"/>
      <c r="F134" s="49"/>
      <c r="G134" s="49"/>
      <c r="H134" s="49"/>
      <c r="I134" s="49"/>
      <c r="J134" s="49"/>
      <c r="K134" s="49"/>
      <c r="L134" s="49"/>
      <c r="M134" s="49"/>
      <c r="N134" s="49"/>
    </row>
    <row r="135" spans="1:14" ht="15" x14ac:dyDescent="0.25">
      <c r="A135" s="49"/>
      <c r="B135" s="49" t="s">
        <v>189</v>
      </c>
      <c r="C135" s="49"/>
      <c r="D135" s="49"/>
      <c r="E135" s="37"/>
      <c r="F135" s="49"/>
      <c r="G135" s="49"/>
      <c r="H135" s="49"/>
      <c r="I135" s="49"/>
      <c r="J135" s="49"/>
      <c r="K135" s="49"/>
      <c r="L135" s="49"/>
      <c r="M135" s="49"/>
      <c r="N135" s="49"/>
    </row>
    <row r="136" spans="1:14" ht="15" x14ac:dyDescent="0.25">
      <c r="A136" s="49"/>
      <c r="B136" s="49" t="s">
        <v>229</v>
      </c>
      <c r="C136" s="49"/>
      <c r="D136" s="49"/>
      <c r="E136" s="37"/>
      <c r="F136" s="49"/>
      <c r="G136" s="49"/>
      <c r="H136" s="49"/>
      <c r="I136" s="49"/>
      <c r="J136" s="49"/>
      <c r="K136" s="49"/>
      <c r="L136" s="49"/>
      <c r="M136" s="49"/>
      <c r="N136" s="49"/>
    </row>
    <row r="137" spans="1:14" ht="15" x14ac:dyDescent="0.25">
      <c r="A137" s="49"/>
      <c r="B137" s="49"/>
      <c r="C137" s="49"/>
      <c r="D137" s="49"/>
      <c r="E137" s="37"/>
      <c r="F137" s="49"/>
      <c r="G137" s="49"/>
      <c r="H137" s="49"/>
      <c r="I137" s="49"/>
      <c r="J137" s="49"/>
      <c r="K137" s="49"/>
      <c r="L137" s="49"/>
      <c r="M137" s="49"/>
      <c r="N137" s="49"/>
    </row>
    <row r="138" spans="1:14" ht="15" x14ac:dyDescent="0.25">
      <c r="A138" s="49"/>
      <c r="B138" s="49"/>
      <c r="C138" s="49"/>
      <c r="D138" s="49"/>
      <c r="E138" s="37"/>
      <c r="F138" s="49"/>
      <c r="G138" s="49"/>
      <c r="H138" s="49"/>
      <c r="I138" s="49"/>
      <c r="J138" s="49"/>
      <c r="K138" s="49"/>
      <c r="L138" s="49"/>
      <c r="M138" s="49"/>
      <c r="N138" s="49"/>
    </row>
    <row r="139" spans="1:14" ht="15" x14ac:dyDescent="0.25">
      <c r="A139" s="49"/>
      <c r="B139" s="49"/>
      <c r="C139" s="49"/>
      <c r="D139" s="49"/>
      <c r="E139" s="37"/>
      <c r="F139" s="49"/>
      <c r="G139" s="49"/>
      <c r="H139" s="49"/>
      <c r="I139" s="49"/>
      <c r="J139" s="49"/>
      <c r="K139" s="49"/>
      <c r="L139" s="49"/>
      <c r="M139" s="49"/>
      <c r="N139" s="49"/>
    </row>
    <row r="140" spans="1:14" ht="15" x14ac:dyDescent="0.25">
      <c r="A140" s="49"/>
      <c r="B140" s="49"/>
      <c r="C140" s="49"/>
      <c r="D140" s="49"/>
      <c r="E140" s="37"/>
      <c r="F140" s="49"/>
      <c r="G140" s="49"/>
      <c r="H140" s="49"/>
      <c r="I140" s="49"/>
      <c r="J140" s="49"/>
      <c r="K140" s="49"/>
      <c r="L140" s="49"/>
      <c r="M140" s="49"/>
      <c r="N140" s="49"/>
    </row>
    <row r="141" spans="1:14" ht="15" x14ac:dyDescent="0.25">
      <c r="A141" s="49"/>
      <c r="B141" s="49"/>
      <c r="C141" s="49"/>
      <c r="D141" s="49"/>
      <c r="E141" s="37"/>
      <c r="F141" s="49"/>
      <c r="G141" s="49"/>
      <c r="H141" s="49"/>
      <c r="I141" s="49"/>
      <c r="J141" s="49"/>
      <c r="K141" s="49"/>
      <c r="L141" s="49"/>
      <c r="M141" s="49"/>
      <c r="N141" s="49"/>
    </row>
    <row r="142" spans="1:14" ht="15" x14ac:dyDescent="0.25">
      <c r="A142" s="49"/>
      <c r="B142" s="49"/>
      <c r="C142" s="49"/>
      <c r="D142" s="49"/>
      <c r="E142" s="37"/>
      <c r="F142" s="49"/>
      <c r="G142" s="49"/>
      <c r="H142" s="49"/>
      <c r="I142" s="49"/>
      <c r="J142" s="49"/>
      <c r="K142" s="49"/>
      <c r="L142" s="49"/>
      <c r="M142" s="49"/>
      <c r="N142" s="49"/>
    </row>
    <row r="143" spans="1:14" ht="15" x14ac:dyDescent="0.25">
      <c r="A143" s="49"/>
      <c r="B143" s="49"/>
      <c r="C143" s="49"/>
      <c r="D143" s="49"/>
      <c r="E143" s="37"/>
      <c r="F143" s="49"/>
      <c r="G143" s="49"/>
      <c r="H143" s="49"/>
      <c r="I143" s="49"/>
      <c r="J143" s="49"/>
      <c r="K143" s="49"/>
      <c r="L143" s="49"/>
      <c r="M143" s="49"/>
      <c r="N143" s="49"/>
    </row>
    <row r="144" spans="1:14" ht="15" x14ac:dyDescent="0.25">
      <c r="A144" s="49"/>
      <c r="B144" s="49"/>
      <c r="C144" s="49"/>
      <c r="D144" s="49"/>
      <c r="E144" s="37"/>
      <c r="F144" s="49"/>
      <c r="G144" s="49"/>
      <c r="H144" s="49"/>
      <c r="I144" s="49"/>
      <c r="J144" s="49"/>
      <c r="K144" s="49"/>
      <c r="L144" s="49"/>
      <c r="M144" s="49"/>
      <c r="N144" s="49"/>
    </row>
    <row r="145" spans="1:14" ht="15" x14ac:dyDescent="0.25">
      <c r="A145" s="49"/>
      <c r="B145" s="49"/>
      <c r="C145" s="49"/>
      <c r="D145" s="49"/>
      <c r="E145" s="37"/>
      <c r="F145" s="49"/>
      <c r="G145" s="49"/>
      <c r="H145" s="49"/>
      <c r="I145" s="49"/>
      <c r="J145" s="49"/>
      <c r="K145" s="49"/>
      <c r="L145" s="49"/>
      <c r="M145" s="49"/>
      <c r="N145" s="49"/>
    </row>
    <row r="146" spans="1:14" ht="15" x14ac:dyDescent="0.25">
      <c r="A146" s="49"/>
      <c r="B146" s="49"/>
      <c r="C146" s="49"/>
      <c r="D146" s="49"/>
      <c r="E146" s="37"/>
      <c r="F146" s="49"/>
      <c r="G146" s="49"/>
      <c r="H146" s="49"/>
      <c r="I146" s="49"/>
      <c r="J146" s="49"/>
      <c r="K146" s="49"/>
      <c r="L146" s="49"/>
      <c r="M146" s="49"/>
      <c r="N146" s="49"/>
    </row>
    <row r="147" spans="1:14" ht="15" x14ac:dyDescent="0.25">
      <c r="A147" s="49"/>
      <c r="B147" s="49"/>
      <c r="C147" s="49"/>
      <c r="D147" s="49"/>
      <c r="E147" s="37"/>
      <c r="F147" s="49"/>
      <c r="G147" s="49"/>
      <c r="H147" s="49"/>
      <c r="I147" s="49"/>
      <c r="J147" s="49"/>
      <c r="K147" s="49"/>
      <c r="L147" s="49"/>
      <c r="M147" s="49"/>
      <c r="N147" s="49"/>
    </row>
    <row r="148" spans="1:14" ht="15" x14ac:dyDescent="0.25">
      <c r="A148" s="49"/>
      <c r="B148" s="49"/>
      <c r="C148" s="49"/>
      <c r="D148" s="49"/>
      <c r="E148" s="37"/>
      <c r="F148" s="49"/>
      <c r="G148" s="49"/>
      <c r="H148" s="49"/>
      <c r="I148" s="49"/>
      <c r="J148" s="49"/>
      <c r="K148" s="49"/>
      <c r="L148" s="49"/>
      <c r="M148" s="49"/>
      <c r="N148" s="49"/>
    </row>
    <row r="149" spans="1:14" ht="15" x14ac:dyDescent="0.25">
      <c r="A149" s="49"/>
      <c r="B149" s="49"/>
      <c r="C149" s="49"/>
      <c r="D149" s="49"/>
      <c r="E149" s="37"/>
      <c r="F149" s="49"/>
      <c r="G149" s="49"/>
      <c r="H149" s="49"/>
      <c r="I149" s="49"/>
      <c r="J149" s="49"/>
      <c r="K149" s="49"/>
      <c r="L149" s="49"/>
      <c r="M149" s="49"/>
      <c r="N149" s="49"/>
    </row>
    <row r="150" spans="1:14" ht="15" x14ac:dyDescent="0.25">
      <c r="A150" s="49"/>
      <c r="B150" s="49"/>
      <c r="C150" s="49"/>
      <c r="D150" s="49"/>
      <c r="E150" s="37"/>
      <c r="F150" s="49"/>
      <c r="G150" s="49"/>
      <c r="H150" s="49"/>
      <c r="I150" s="49"/>
      <c r="J150" s="49"/>
      <c r="K150" s="49"/>
      <c r="L150" s="49"/>
      <c r="M150" s="49"/>
      <c r="N150" s="49"/>
    </row>
  </sheetData>
  <pageMargins left="0.78740157480314965" right="0.78740157480314965" top="0.59055118110236227" bottom="0.59055118110236227" header="0.51181102362204722" footer="0.51181102362204722"/>
  <pageSetup paperSize="9" orientation="portrait" r:id="rId1"/>
  <headerFooter alignWithMargins="0">
    <oddFooter>&amp;CSide &amp;P av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workbookViewId="0"/>
  </sheetViews>
  <sheetFormatPr baseColWidth="10" defaultRowHeight="15.75" x14ac:dyDescent="0.25"/>
  <cols>
    <col min="1" max="4" width="11.42578125" style="2"/>
    <col min="5" max="5" width="7.140625" style="2" customWidth="1"/>
    <col min="6" max="16384" width="11.42578125" style="2"/>
  </cols>
  <sheetData>
    <row r="2" spans="1:8" x14ac:dyDescent="0.25">
      <c r="A2" s="7" t="s">
        <v>439</v>
      </c>
    </row>
    <row r="4" spans="1:8" x14ac:dyDescent="0.25">
      <c r="A4" s="1" t="s">
        <v>421</v>
      </c>
    </row>
    <row r="5" spans="1:8" x14ac:dyDescent="0.25">
      <c r="A5" s="2" t="s">
        <v>418</v>
      </c>
      <c r="E5" s="3">
        <v>324</v>
      </c>
    </row>
    <row r="6" spans="1:8" x14ac:dyDescent="0.25">
      <c r="A6" s="2" t="s">
        <v>419</v>
      </c>
      <c r="E6" s="3">
        <v>-182</v>
      </c>
    </row>
    <row r="7" spans="1:8" x14ac:dyDescent="0.25">
      <c r="A7" s="2" t="s">
        <v>420</v>
      </c>
      <c r="E7" s="3">
        <v>115</v>
      </c>
    </row>
    <row r="8" spans="1:8" s="5" customFormat="1" ht="20.25" x14ac:dyDescent="0.3">
      <c r="A8" s="2" t="s">
        <v>440</v>
      </c>
      <c r="B8" s="2"/>
      <c r="C8" s="2"/>
      <c r="D8" s="2"/>
      <c r="E8" s="6">
        <f>SUM(E5:E7)</f>
        <v>257</v>
      </c>
      <c r="F8" s="2"/>
      <c r="G8" s="2"/>
      <c r="H8" s="2"/>
    </row>
    <row r="10" spans="1:8" x14ac:dyDescent="0.25">
      <c r="A10" s="2" t="s">
        <v>441</v>
      </c>
    </row>
    <row r="11" spans="1:8" x14ac:dyDescent="0.25">
      <c r="A11" s="2" t="s">
        <v>442</v>
      </c>
    </row>
    <row r="12" spans="1:8" x14ac:dyDescent="0.25">
      <c r="A12" s="2" t="s">
        <v>443</v>
      </c>
    </row>
    <row r="13" spans="1:8" x14ac:dyDescent="0.25">
      <c r="A13" s="2" t="s">
        <v>444</v>
      </c>
    </row>
    <row r="14" spans="1:8" x14ac:dyDescent="0.25">
      <c r="A14" s="2" t="s">
        <v>445</v>
      </c>
    </row>
    <row r="15" spans="1:8" x14ac:dyDescent="0.25">
      <c r="A15" s="2" t="s">
        <v>446</v>
      </c>
    </row>
    <row r="16" spans="1:8" x14ac:dyDescent="0.25">
      <c r="A16" s="2" t="s">
        <v>447</v>
      </c>
    </row>
    <row r="18" spans="1:1" x14ac:dyDescent="0.25">
      <c r="A18" s="2" t="s">
        <v>448</v>
      </c>
    </row>
    <row r="19" spans="1:1" x14ac:dyDescent="0.25">
      <c r="A19" s="2" t="s">
        <v>449</v>
      </c>
    </row>
    <row r="20" spans="1:1" x14ac:dyDescent="0.25">
      <c r="A20" s="2" t="s">
        <v>450</v>
      </c>
    </row>
    <row r="21" spans="1:1" x14ac:dyDescent="0.25">
      <c r="A21" s="2" t="s">
        <v>451</v>
      </c>
    </row>
    <row r="23" spans="1:1" x14ac:dyDescent="0.25">
      <c r="A23" s="2" t="s">
        <v>452</v>
      </c>
    </row>
    <row r="24" spans="1:1" x14ac:dyDescent="0.25">
      <c r="A24" s="2" t="s">
        <v>453</v>
      </c>
    </row>
    <row r="25" spans="1:1" x14ac:dyDescent="0.25">
      <c r="A25" s="2" t="s">
        <v>454</v>
      </c>
    </row>
    <row r="26" spans="1:1" x14ac:dyDescent="0.25">
      <c r="A26" s="2" t="s">
        <v>455</v>
      </c>
    </row>
    <row r="28" spans="1:1" x14ac:dyDescent="0.25">
      <c r="A28" s="2" t="s">
        <v>456</v>
      </c>
    </row>
    <row r="29" spans="1:1" x14ac:dyDescent="0.25">
      <c r="A29" s="2" t="s">
        <v>457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workbookViewId="0"/>
  </sheetViews>
  <sheetFormatPr baseColWidth="10" defaultRowHeight="15.75" x14ac:dyDescent="0.25"/>
  <cols>
    <col min="1" max="4" width="11.42578125" style="2"/>
    <col min="5" max="5" width="7.85546875" style="2" customWidth="1"/>
    <col min="6" max="16384" width="11.42578125" style="2"/>
  </cols>
  <sheetData>
    <row r="1" spans="1:7" x14ac:dyDescent="0.25">
      <c r="A1" s="7" t="s">
        <v>416</v>
      </c>
    </row>
    <row r="3" spans="1:7" x14ac:dyDescent="0.25">
      <c r="A3" s="1" t="s">
        <v>421</v>
      </c>
    </row>
    <row r="4" spans="1:7" x14ac:dyDescent="0.25">
      <c r="A4" s="2" t="s">
        <v>418</v>
      </c>
      <c r="E4" s="3">
        <v>310</v>
      </c>
    </row>
    <row r="5" spans="1:7" x14ac:dyDescent="0.25">
      <c r="A5" s="2" t="s">
        <v>419</v>
      </c>
      <c r="E5" s="3">
        <v>-1900</v>
      </c>
    </row>
    <row r="6" spans="1:7" x14ac:dyDescent="0.25">
      <c r="A6" s="2" t="s">
        <v>420</v>
      </c>
      <c r="E6" s="3">
        <v>665</v>
      </c>
    </row>
    <row r="7" spans="1:7" s="5" customFormat="1" ht="20.25" x14ac:dyDescent="0.3">
      <c r="A7" s="2" t="s">
        <v>440</v>
      </c>
      <c r="B7" s="2"/>
      <c r="C7" s="2"/>
      <c r="D7" s="2"/>
      <c r="E7" s="6">
        <f>SUM(E4:E6)</f>
        <v>-925</v>
      </c>
      <c r="F7" s="2"/>
      <c r="G7" s="2"/>
    </row>
    <row r="9" spans="1:7" x14ac:dyDescent="0.25">
      <c r="A9" s="2" t="s">
        <v>417</v>
      </c>
    </row>
    <row r="10" spans="1:7" x14ac:dyDescent="0.25">
      <c r="A10" s="2" t="s">
        <v>422</v>
      </c>
    </row>
    <row r="11" spans="1:7" x14ac:dyDescent="0.25">
      <c r="A11" s="2" t="s">
        <v>423</v>
      </c>
    </row>
    <row r="13" spans="1:7" x14ac:dyDescent="0.25">
      <c r="A13" s="2" t="s">
        <v>424</v>
      </c>
    </row>
    <row r="14" spans="1:7" x14ac:dyDescent="0.25">
      <c r="A14" s="2" t="s">
        <v>425</v>
      </c>
    </row>
    <row r="15" spans="1:7" x14ac:dyDescent="0.25">
      <c r="A15" s="2" t="s">
        <v>426</v>
      </c>
    </row>
    <row r="17" spans="1:1" x14ac:dyDescent="0.25">
      <c r="A17" s="2" t="s">
        <v>427</v>
      </c>
    </row>
    <row r="19" spans="1:1" x14ac:dyDescent="0.25">
      <c r="A19" s="2" t="s">
        <v>428</v>
      </c>
    </row>
    <row r="20" spans="1:1" x14ac:dyDescent="0.25">
      <c r="A20" s="2" t="s">
        <v>429</v>
      </c>
    </row>
    <row r="21" spans="1:1" x14ac:dyDescent="0.25">
      <c r="A21" s="2" t="s">
        <v>430</v>
      </c>
    </row>
    <row r="23" spans="1:1" x14ac:dyDescent="0.25">
      <c r="A23" s="2" t="s">
        <v>431</v>
      </c>
    </row>
    <row r="24" spans="1:1" x14ac:dyDescent="0.25">
      <c r="A24" s="2" t="s">
        <v>432</v>
      </c>
    </row>
    <row r="25" spans="1:1" x14ac:dyDescent="0.25">
      <c r="A25" s="2" t="s">
        <v>433</v>
      </c>
    </row>
    <row r="26" spans="1:1" x14ac:dyDescent="0.25">
      <c r="A26" s="2" t="s">
        <v>434</v>
      </c>
    </row>
    <row r="28" spans="1:1" x14ac:dyDescent="0.25">
      <c r="A28" s="2" t="s">
        <v>435</v>
      </c>
    </row>
    <row r="29" spans="1:1" x14ac:dyDescent="0.25">
      <c r="A29" s="2" t="s">
        <v>436</v>
      </c>
    </row>
    <row r="30" spans="1:1" x14ac:dyDescent="0.25">
      <c r="A30" s="2" t="s">
        <v>437</v>
      </c>
    </row>
    <row r="31" spans="1:1" x14ac:dyDescent="0.25">
      <c r="A31" s="2" t="s">
        <v>438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L80"/>
  <sheetViews>
    <sheetView workbookViewId="0"/>
  </sheetViews>
  <sheetFormatPr baseColWidth="10" defaultRowHeight="15" x14ac:dyDescent="0.25"/>
  <cols>
    <col min="1" max="1" width="23.140625" style="83" bestFit="1" customWidth="1"/>
    <col min="2" max="4" width="11.42578125" style="100"/>
    <col min="5" max="16384" width="11.42578125" style="83"/>
  </cols>
  <sheetData>
    <row r="1" spans="1:9" x14ac:dyDescent="0.25">
      <c r="A1" s="99" t="s">
        <v>259</v>
      </c>
    </row>
    <row r="3" spans="1:9" x14ac:dyDescent="0.25">
      <c r="A3" s="99" t="s">
        <v>241</v>
      </c>
      <c r="B3" s="101" t="s">
        <v>260</v>
      </c>
      <c r="C3" s="101" t="s">
        <v>32</v>
      </c>
      <c r="D3" s="101" t="s">
        <v>33</v>
      </c>
    </row>
    <row r="4" spans="1:9" x14ac:dyDescent="0.25">
      <c r="A4" s="83" t="s">
        <v>261</v>
      </c>
      <c r="B4" s="102">
        <v>38700</v>
      </c>
      <c r="C4" s="102">
        <v>35200</v>
      </c>
      <c r="D4" s="102">
        <v>30000</v>
      </c>
      <c r="E4" s="103"/>
      <c r="F4" s="103"/>
      <c r="G4" s="103"/>
    </row>
    <row r="6" spans="1:9" x14ac:dyDescent="0.25">
      <c r="A6" s="83" t="s">
        <v>262</v>
      </c>
      <c r="B6" s="100">
        <v>20200</v>
      </c>
      <c r="C6" s="100">
        <v>17750</v>
      </c>
      <c r="D6" s="100">
        <v>15000</v>
      </c>
      <c r="E6" s="103"/>
      <c r="F6" s="103"/>
      <c r="G6" s="103"/>
    </row>
    <row r="7" spans="1:9" x14ac:dyDescent="0.25">
      <c r="A7" s="83" t="s">
        <v>243</v>
      </c>
      <c r="B7" s="100">
        <v>7750</v>
      </c>
      <c r="C7" s="100">
        <v>7000</v>
      </c>
      <c r="D7" s="100">
        <v>6200</v>
      </c>
      <c r="E7" s="103"/>
      <c r="F7" s="103"/>
      <c r="G7" s="103"/>
    </row>
    <row r="8" spans="1:9" x14ac:dyDescent="0.25">
      <c r="A8" s="83" t="s">
        <v>263</v>
      </c>
      <c r="B8" s="100">
        <v>250</v>
      </c>
      <c r="C8" s="100">
        <v>225</v>
      </c>
      <c r="D8" s="100">
        <v>200</v>
      </c>
      <c r="E8" s="103"/>
      <c r="F8" s="103"/>
      <c r="G8" s="103"/>
    </row>
    <row r="9" spans="1:9" x14ac:dyDescent="0.25">
      <c r="A9" s="83" t="s">
        <v>264</v>
      </c>
      <c r="B9" s="100">
        <v>8700</v>
      </c>
      <c r="C9" s="100">
        <v>7800</v>
      </c>
      <c r="D9" s="100">
        <v>6400</v>
      </c>
      <c r="E9" s="103"/>
      <c r="F9" s="103"/>
      <c r="G9" s="103"/>
    </row>
    <row r="10" spans="1:9" x14ac:dyDescent="0.25">
      <c r="A10" s="83" t="s">
        <v>265</v>
      </c>
      <c r="B10" s="100">
        <v>200</v>
      </c>
      <c r="C10" s="100">
        <v>40</v>
      </c>
      <c r="D10" s="100">
        <v>25</v>
      </c>
      <c r="E10" s="103"/>
      <c r="F10" s="103"/>
      <c r="G10" s="103"/>
    </row>
    <row r="11" spans="1:9" s="5" customFormat="1" ht="20.25" x14ac:dyDescent="0.3">
      <c r="A11" s="83" t="s">
        <v>235</v>
      </c>
      <c r="B11" s="104">
        <f>SUM(B6:B10)</f>
        <v>37100</v>
      </c>
      <c r="C11" s="104">
        <f t="shared" ref="C11:D11" si="0">SUM(C6:C10)</f>
        <v>32815</v>
      </c>
      <c r="D11" s="104">
        <f t="shared" si="0"/>
        <v>27825</v>
      </c>
      <c r="E11" s="103"/>
      <c r="F11" s="103"/>
      <c r="G11" s="103"/>
      <c r="H11" s="83"/>
      <c r="I11" s="83"/>
    </row>
    <row r="12" spans="1:9" x14ac:dyDescent="0.25">
      <c r="E12" s="103"/>
      <c r="F12" s="103"/>
      <c r="G12" s="103"/>
    </row>
    <row r="13" spans="1:9" x14ac:dyDescent="0.25">
      <c r="A13" s="83" t="s">
        <v>236</v>
      </c>
      <c r="B13" s="100">
        <f>B4-B11</f>
        <v>1600</v>
      </c>
      <c r="C13" s="100">
        <f t="shared" ref="C13:D13" si="1">C4-C11</f>
        <v>2385</v>
      </c>
      <c r="D13" s="100">
        <f t="shared" si="1"/>
        <v>2175</v>
      </c>
      <c r="E13" s="103"/>
      <c r="F13" s="103"/>
      <c r="G13" s="103"/>
    </row>
    <row r="14" spans="1:9" x14ac:dyDescent="0.25">
      <c r="E14" s="103"/>
      <c r="F14" s="103"/>
      <c r="G14" s="103"/>
    </row>
    <row r="15" spans="1:9" x14ac:dyDescent="0.25">
      <c r="A15" s="83" t="s">
        <v>266</v>
      </c>
      <c r="B15" s="100">
        <v>15</v>
      </c>
      <c r="C15" s="100">
        <v>15</v>
      </c>
      <c r="D15" s="100">
        <v>20</v>
      </c>
      <c r="E15" s="103"/>
      <c r="F15" s="103"/>
      <c r="G15" s="103"/>
    </row>
    <row r="16" spans="1:9" x14ac:dyDescent="0.25">
      <c r="A16" s="83" t="s">
        <v>267</v>
      </c>
      <c r="B16" s="100">
        <v>200</v>
      </c>
      <c r="E16" s="103"/>
      <c r="F16" s="103"/>
      <c r="G16" s="103"/>
    </row>
    <row r="17" spans="1:12" x14ac:dyDescent="0.25">
      <c r="A17" s="83" t="s">
        <v>244</v>
      </c>
      <c r="B17" s="100">
        <v>125</v>
      </c>
      <c r="C17" s="100">
        <v>160</v>
      </c>
      <c r="D17" s="100">
        <v>180</v>
      </c>
      <c r="E17" s="103"/>
      <c r="F17" s="103"/>
      <c r="G17" s="103"/>
    </row>
    <row r="18" spans="1:12" s="5" customFormat="1" ht="20.25" x14ac:dyDescent="0.3">
      <c r="A18" s="83" t="s">
        <v>237</v>
      </c>
      <c r="B18" s="104">
        <f>B15+B16-B17</f>
        <v>90</v>
      </c>
      <c r="C18" s="104">
        <f t="shared" ref="C18:D18" si="2">C15+C16-C17</f>
        <v>-145</v>
      </c>
      <c r="D18" s="104">
        <f t="shared" si="2"/>
        <v>-160</v>
      </c>
      <c r="E18" s="103"/>
      <c r="F18" s="103"/>
      <c r="G18" s="103"/>
      <c r="H18" s="83"/>
      <c r="I18" s="83"/>
      <c r="J18" s="83"/>
    </row>
    <row r="19" spans="1:12" x14ac:dyDescent="0.25">
      <c r="E19" s="103"/>
      <c r="F19" s="103"/>
      <c r="G19" s="103"/>
    </row>
    <row r="20" spans="1:12" x14ac:dyDescent="0.25">
      <c r="A20" s="83" t="s">
        <v>268</v>
      </c>
      <c r="B20" s="100">
        <f>B13+B18</f>
        <v>1690</v>
      </c>
      <c r="C20" s="100">
        <f t="shared" ref="C20:D20" si="3">C13+C18</f>
        <v>2240</v>
      </c>
      <c r="D20" s="100">
        <f t="shared" si="3"/>
        <v>2015</v>
      </c>
      <c r="E20" s="103"/>
      <c r="F20" s="103"/>
      <c r="G20" s="103"/>
    </row>
    <row r="22" spans="1:12" x14ac:dyDescent="0.25">
      <c r="A22" s="99" t="s">
        <v>269</v>
      </c>
    </row>
    <row r="23" spans="1:12" x14ac:dyDescent="0.25">
      <c r="A23" s="83" t="s">
        <v>261</v>
      </c>
      <c r="B23" s="108">
        <f>B4/$B$4</f>
        <v>1</v>
      </c>
      <c r="C23" s="108">
        <f>C4/$C$4</f>
        <v>1</v>
      </c>
      <c r="D23" s="108">
        <f>D4/$D$4</f>
        <v>1</v>
      </c>
    </row>
    <row r="24" spans="1:12" x14ac:dyDescent="0.25">
      <c r="B24" s="103"/>
      <c r="C24" s="103"/>
      <c r="D24" s="103"/>
    </row>
    <row r="25" spans="1:12" x14ac:dyDescent="0.25">
      <c r="A25" s="83" t="s">
        <v>262</v>
      </c>
      <c r="B25" s="103">
        <f t="shared" ref="B25:B39" si="4">B6/$B$4</f>
        <v>0.52196382428940569</v>
      </c>
      <c r="C25" s="103">
        <f t="shared" ref="C25:C39" si="5">C6/$C$4</f>
        <v>0.50426136363636365</v>
      </c>
      <c r="D25" s="103">
        <f t="shared" ref="D25:D39" si="6">D6/$D$4</f>
        <v>0.5</v>
      </c>
    </row>
    <row r="26" spans="1:12" x14ac:dyDescent="0.25">
      <c r="A26" s="83" t="s">
        <v>243</v>
      </c>
      <c r="B26" s="103">
        <f t="shared" si="4"/>
        <v>0.20025839793281655</v>
      </c>
      <c r="C26" s="103">
        <f t="shared" si="5"/>
        <v>0.19886363636363635</v>
      </c>
      <c r="D26" s="103">
        <f t="shared" si="6"/>
        <v>0.20666666666666667</v>
      </c>
    </row>
    <row r="27" spans="1:12" x14ac:dyDescent="0.25">
      <c r="A27" s="83" t="s">
        <v>263</v>
      </c>
      <c r="B27" s="103">
        <f t="shared" si="4"/>
        <v>6.4599483204134363E-3</v>
      </c>
      <c r="C27" s="103">
        <f t="shared" si="5"/>
        <v>6.3920454545454549E-3</v>
      </c>
      <c r="D27" s="103">
        <f t="shared" si="6"/>
        <v>6.6666666666666671E-3</v>
      </c>
    </row>
    <row r="28" spans="1:12" x14ac:dyDescent="0.25">
      <c r="A28" s="83" t="s">
        <v>264</v>
      </c>
      <c r="B28" s="103">
        <f t="shared" si="4"/>
        <v>0.22480620155038761</v>
      </c>
      <c r="C28" s="103">
        <f t="shared" si="5"/>
        <v>0.22159090909090909</v>
      </c>
      <c r="D28" s="103">
        <f t="shared" si="6"/>
        <v>0.21333333333333335</v>
      </c>
    </row>
    <row r="29" spans="1:12" x14ac:dyDescent="0.25">
      <c r="A29" s="83" t="s">
        <v>265</v>
      </c>
      <c r="B29" s="103">
        <f t="shared" si="4"/>
        <v>5.1679586563307496E-3</v>
      </c>
      <c r="C29" s="103">
        <f t="shared" si="5"/>
        <v>1.1363636363636363E-3</v>
      </c>
      <c r="D29" s="103">
        <f t="shared" si="6"/>
        <v>8.3333333333333339E-4</v>
      </c>
    </row>
    <row r="30" spans="1:12" s="5" customFormat="1" ht="20.25" x14ac:dyDescent="0.3">
      <c r="A30" s="83" t="s">
        <v>235</v>
      </c>
      <c r="B30" s="106">
        <f t="shared" si="4"/>
        <v>0.95865633074935397</v>
      </c>
      <c r="C30" s="106">
        <f t="shared" si="5"/>
        <v>0.93224431818181819</v>
      </c>
      <c r="D30" s="106">
        <f t="shared" si="6"/>
        <v>0.92749999999999999</v>
      </c>
      <c r="E30" s="83"/>
      <c r="F30" s="83"/>
      <c r="G30" s="83"/>
      <c r="H30" s="83"/>
      <c r="I30" s="83"/>
      <c r="J30" s="83"/>
      <c r="K30" s="83"/>
      <c r="L30" s="83"/>
    </row>
    <row r="31" spans="1:12" x14ac:dyDescent="0.25">
      <c r="B31" s="103"/>
      <c r="C31" s="103"/>
      <c r="D31" s="103"/>
    </row>
    <row r="32" spans="1:12" x14ac:dyDescent="0.25">
      <c r="A32" s="83" t="s">
        <v>236</v>
      </c>
      <c r="B32" s="103">
        <f t="shared" si="4"/>
        <v>4.1343669250645997E-2</v>
      </c>
      <c r="C32" s="103">
        <f t="shared" si="5"/>
        <v>6.7755681818181812E-2</v>
      </c>
      <c r="D32" s="103">
        <f t="shared" si="6"/>
        <v>7.2499999999999995E-2</v>
      </c>
    </row>
    <row r="33" spans="1:9" x14ac:dyDescent="0.25">
      <c r="B33" s="103"/>
      <c r="C33" s="103"/>
      <c r="D33" s="103"/>
    </row>
    <row r="34" spans="1:9" x14ac:dyDescent="0.25">
      <c r="A34" s="83" t="s">
        <v>266</v>
      </c>
      <c r="B34" s="105">
        <f t="shared" si="4"/>
        <v>3.875968992248062E-4</v>
      </c>
      <c r="C34" s="105">
        <f t="shared" si="5"/>
        <v>4.2613636363636362E-4</v>
      </c>
      <c r="D34" s="105">
        <f t="shared" si="6"/>
        <v>6.6666666666666664E-4</v>
      </c>
    </row>
    <row r="35" spans="1:9" x14ac:dyDescent="0.25">
      <c r="A35" s="83" t="s">
        <v>267</v>
      </c>
      <c r="B35" s="105">
        <f t="shared" si="4"/>
        <v>5.1679586563307496E-3</v>
      </c>
      <c r="C35" s="105"/>
      <c r="D35" s="105"/>
    </row>
    <row r="36" spans="1:9" x14ac:dyDescent="0.25">
      <c r="A36" s="83" t="s">
        <v>244</v>
      </c>
      <c r="B36" s="105">
        <f t="shared" si="4"/>
        <v>3.2299741602067182E-3</v>
      </c>
      <c r="C36" s="105">
        <f t="shared" si="5"/>
        <v>4.5454545454545452E-3</v>
      </c>
      <c r="D36" s="105">
        <f t="shared" si="6"/>
        <v>6.0000000000000001E-3</v>
      </c>
    </row>
    <row r="37" spans="1:9" s="5" customFormat="1" ht="20.25" x14ac:dyDescent="0.3">
      <c r="A37" s="83" t="s">
        <v>237</v>
      </c>
      <c r="B37" s="107">
        <f t="shared" si="4"/>
        <v>2.3255813953488372E-3</v>
      </c>
      <c r="C37" s="107">
        <f t="shared" si="5"/>
        <v>-4.1193181818181815E-3</v>
      </c>
      <c r="D37" s="107">
        <f t="shared" si="6"/>
        <v>-5.3333333333333332E-3</v>
      </c>
      <c r="E37" s="83"/>
      <c r="F37" s="83"/>
      <c r="G37" s="83"/>
      <c r="H37" s="83"/>
      <c r="I37" s="83"/>
    </row>
    <row r="38" spans="1:9" x14ac:dyDescent="0.25">
      <c r="B38" s="103"/>
      <c r="C38" s="103"/>
      <c r="D38" s="103"/>
    </row>
    <row r="39" spans="1:9" x14ac:dyDescent="0.25">
      <c r="A39" s="83" t="s">
        <v>268</v>
      </c>
      <c r="B39" s="103">
        <f t="shared" si="4"/>
        <v>4.3669250645994834E-2</v>
      </c>
      <c r="C39" s="103">
        <f t="shared" si="5"/>
        <v>6.363636363636363E-2</v>
      </c>
      <c r="D39" s="103">
        <f t="shared" si="6"/>
        <v>6.7166666666666666E-2</v>
      </c>
    </row>
    <row r="40" spans="1:9" x14ac:dyDescent="0.25">
      <c r="B40" s="103"/>
      <c r="C40" s="103"/>
      <c r="D40" s="103"/>
    </row>
    <row r="41" spans="1:9" x14ac:dyDescent="0.25">
      <c r="B41" s="103"/>
      <c r="C41" s="103"/>
      <c r="D41" s="103"/>
    </row>
    <row r="42" spans="1:9" x14ac:dyDescent="0.25">
      <c r="B42" s="103"/>
      <c r="C42" s="103"/>
      <c r="D42" s="103"/>
    </row>
    <row r="43" spans="1:9" x14ac:dyDescent="0.25">
      <c r="B43" s="103"/>
      <c r="C43" s="103"/>
      <c r="D43" s="103"/>
    </row>
    <row r="44" spans="1:9" x14ac:dyDescent="0.25">
      <c r="B44" s="103"/>
      <c r="C44" s="103"/>
      <c r="D44" s="103"/>
    </row>
    <row r="45" spans="1:9" x14ac:dyDescent="0.25">
      <c r="B45" s="103"/>
      <c r="C45" s="103"/>
      <c r="D45" s="103"/>
    </row>
    <row r="46" spans="1:9" x14ac:dyDescent="0.25">
      <c r="B46" s="103"/>
      <c r="C46" s="103"/>
      <c r="D46" s="103"/>
    </row>
    <row r="47" spans="1:9" x14ac:dyDescent="0.25">
      <c r="A47" s="172" t="s">
        <v>533</v>
      </c>
      <c r="B47" s="103"/>
      <c r="C47" s="103"/>
      <c r="D47" s="103"/>
    </row>
    <row r="48" spans="1:9" x14ac:dyDescent="0.25">
      <c r="B48" s="103"/>
      <c r="C48" s="103"/>
      <c r="D48" s="103"/>
    </row>
    <row r="49" spans="1:4" x14ac:dyDescent="0.25">
      <c r="B49" s="103"/>
      <c r="C49" s="103"/>
      <c r="D49" s="103"/>
    </row>
    <row r="50" spans="1:4" x14ac:dyDescent="0.25">
      <c r="A50" s="83" t="s">
        <v>275</v>
      </c>
      <c r="B50" s="103"/>
      <c r="C50" s="103"/>
      <c r="D50" s="103"/>
    </row>
    <row r="51" spans="1:4" x14ac:dyDescent="0.25">
      <c r="A51" s="83" t="s">
        <v>272</v>
      </c>
      <c r="B51" s="103"/>
      <c r="C51" s="103"/>
      <c r="D51" s="103"/>
    </row>
    <row r="52" spans="1:4" x14ac:dyDescent="0.25">
      <c r="A52" s="83" t="s">
        <v>273</v>
      </c>
      <c r="B52" s="103"/>
      <c r="C52" s="103"/>
      <c r="D52" s="103"/>
    </row>
    <row r="53" spans="1:4" x14ac:dyDescent="0.25">
      <c r="A53" s="83" t="s">
        <v>274</v>
      </c>
      <c r="B53" s="103"/>
      <c r="C53" s="103"/>
      <c r="D53" s="103"/>
    </row>
    <row r="54" spans="1:4" x14ac:dyDescent="0.25">
      <c r="A54" s="83" t="s">
        <v>276</v>
      </c>
      <c r="B54" s="103"/>
      <c r="C54" s="103"/>
      <c r="D54" s="103"/>
    </row>
    <row r="55" spans="1:4" x14ac:dyDescent="0.25">
      <c r="A55" s="83" t="s">
        <v>277</v>
      </c>
      <c r="B55" s="103"/>
      <c r="C55" s="103"/>
      <c r="D55" s="103"/>
    </row>
    <row r="56" spans="1:4" x14ac:dyDescent="0.25">
      <c r="B56" s="103"/>
      <c r="C56" s="103"/>
      <c r="D56" s="103"/>
    </row>
    <row r="57" spans="1:4" x14ac:dyDescent="0.25">
      <c r="B57" s="103"/>
      <c r="C57" s="103"/>
      <c r="D57" s="103"/>
    </row>
    <row r="58" spans="1:4" x14ac:dyDescent="0.25">
      <c r="B58" s="103"/>
      <c r="C58" s="103"/>
      <c r="D58" s="103"/>
    </row>
    <row r="59" spans="1:4" x14ac:dyDescent="0.25">
      <c r="B59" s="103"/>
      <c r="C59" s="103"/>
      <c r="D59" s="103"/>
    </row>
    <row r="60" spans="1:4" x14ac:dyDescent="0.25">
      <c r="B60" s="103"/>
      <c r="C60" s="103"/>
      <c r="D60" s="103"/>
    </row>
    <row r="61" spans="1:4" x14ac:dyDescent="0.25">
      <c r="B61" s="103"/>
      <c r="C61" s="103"/>
      <c r="D61" s="103"/>
    </row>
    <row r="63" spans="1:4" x14ac:dyDescent="0.25">
      <c r="A63" s="99" t="s">
        <v>270</v>
      </c>
    </row>
    <row r="64" spans="1:4" x14ac:dyDescent="0.25">
      <c r="A64" s="83" t="s">
        <v>261</v>
      </c>
      <c r="B64" s="108">
        <f>B4/D4</f>
        <v>1.29</v>
      </c>
      <c r="C64" s="108">
        <f>C4/D4</f>
        <v>1.1733333333333333</v>
      </c>
      <c r="D64" s="108">
        <f>D4/D4</f>
        <v>1</v>
      </c>
    </row>
    <row r="65" spans="1:9" x14ac:dyDescent="0.25">
      <c r="B65" s="109"/>
      <c r="C65" s="109"/>
      <c r="D65" s="103"/>
    </row>
    <row r="66" spans="1:9" x14ac:dyDescent="0.25">
      <c r="A66" s="83" t="s">
        <v>262</v>
      </c>
      <c r="B66" s="109">
        <f t="shared" ref="B66:B71" si="7">B6/D6</f>
        <v>1.3466666666666667</v>
      </c>
      <c r="C66" s="109">
        <f t="shared" ref="C66:C71" si="8">C6/D6</f>
        <v>1.1833333333333333</v>
      </c>
      <c r="D66" s="103">
        <f t="shared" ref="D66:D71" si="9">D6/D6</f>
        <v>1</v>
      </c>
    </row>
    <row r="67" spans="1:9" x14ac:dyDescent="0.25">
      <c r="A67" s="83" t="s">
        <v>243</v>
      </c>
      <c r="B67" s="109">
        <f t="shared" si="7"/>
        <v>1.25</v>
      </c>
      <c r="C67" s="109">
        <f t="shared" si="8"/>
        <v>1.1290322580645162</v>
      </c>
      <c r="D67" s="103">
        <f t="shared" si="9"/>
        <v>1</v>
      </c>
    </row>
    <row r="68" spans="1:9" x14ac:dyDescent="0.25">
      <c r="A68" s="83" t="s">
        <v>263</v>
      </c>
      <c r="B68" s="109">
        <f t="shared" si="7"/>
        <v>1.25</v>
      </c>
      <c r="C68" s="109">
        <f t="shared" si="8"/>
        <v>1.125</v>
      </c>
      <c r="D68" s="103">
        <f t="shared" si="9"/>
        <v>1</v>
      </c>
    </row>
    <row r="69" spans="1:9" x14ac:dyDescent="0.25">
      <c r="A69" s="83" t="s">
        <v>264</v>
      </c>
      <c r="B69" s="109">
        <f t="shared" si="7"/>
        <v>1.359375</v>
      </c>
      <c r="C69" s="109">
        <f t="shared" si="8"/>
        <v>1.21875</v>
      </c>
      <c r="D69" s="103">
        <f t="shared" si="9"/>
        <v>1</v>
      </c>
    </row>
    <row r="70" spans="1:9" x14ac:dyDescent="0.25">
      <c r="A70" s="83" t="s">
        <v>265</v>
      </c>
      <c r="B70" s="109">
        <f t="shared" si="7"/>
        <v>8</v>
      </c>
      <c r="C70" s="109">
        <f t="shared" si="8"/>
        <v>1.6</v>
      </c>
      <c r="D70" s="103">
        <f t="shared" si="9"/>
        <v>1</v>
      </c>
    </row>
    <row r="71" spans="1:9" s="5" customFormat="1" ht="20.25" x14ac:dyDescent="0.3">
      <c r="A71" s="83" t="s">
        <v>235</v>
      </c>
      <c r="B71" s="106">
        <f t="shared" si="7"/>
        <v>1.3333333333333333</v>
      </c>
      <c r="C71" s="106">
        <f t="shared" si="8"/>
        <v>1.1793351302785264</v>
      </c>
      <c r="D71" s="106">
        <f t="shared" si="9"/>
        <v>1</v>
      </c>
      <c r="E71" s="83"/>
      <c r="F71" s="83"/>
      <c r="G71" s="83"/>
      <c r="H71" s="83"/>
      <c r="I71" s="83"/>
    </row>
    <row r="72" spans="1:9" x14ac:dyDescent="0.25">
      <c r="B72" s="109"/>
      <c r="C72" s="109"/>
      <c r="D72" s="103"/>
    </row>
    <row r="73" spans="1:9" x14ac:dyDescent="0.25">
      <c r="A73" s="83" t="s">
        <v>236</v>
      </c>
      <c r="B73" s="109">
        <f>B13/D13</f>
        <v>0.73563218390804597</v>
      </c>
      <c r="C73" s="109">
        <f>C13/D13</f>
        <v>1.096551724137931</v>
      </c>
      <c r="D73" s="103">
        <f>D13/D13</f>
        <v>1</v>
      </c>
    </row>
    <row r="74" spans="1:9" x14ac:dyDescent="0.25">
      <c r="B74" s="109"/>
      <c r="C74" s="109"/>
      <c r="D74" s="103"/>
    </row>
    <row r="75" spans="1:9" x14ac:dyDescent="0.25">
      <c r="A75" s="83" t="s">
        <v>266</v>
      </c>
      <c r="B75" s="109">
        <f>B15/D15</f>
        <v>0.75</v>
      </c>
      <c r="C75" s="109">
        <f>C15/D15</f>
        <v>0.75</v>
      </c>
      <c r="D75" s="103">
        <f>D15/D15</f>
        <v>1</v>
      </c>
    </row>
    <row r="76" spans="1:9" ht="18" x14ac:dyDescent="0.25">
      <c r="A76" s="83" t="s">
        <v>271</v>
      </c>
      <c r="B76" s="109"/>
      <c r="C76" s="109"/>
      <c r="D76" s="103"/>
    </row>
    <row r="77" spans="1:9" x14ac:dyDescent="0.25">
      <c r="A77" s="83" t="s">
        <v>244</v>
      </c>
      <c r="B77" s="109">
        <f>B17/D17</f>
        <v>0.69444444444444442</v>
      </c>
      <c r="C77" s="109">
        <f>C17/D17</f>
        <v>0.88888888888888884</v>
      </c>
      <c r="D77" s="103">
        <f>D17/D17</f>
        <v>1</v>
      </c>
    </row>
    <row r="78" spans="1:9" s="5" customFormat="1" ht="20.25" x14ac:dyDescent="0.3">
      <c r="A78" s="83" t="s">
        <v>237</v>
      </c>
      <c r="B78" s="106">
        <f>B18/D18</f>
        <v>-0.5625</v>
      </c>
      <c r="C78" s="106">
        <f>C18/D18</f>
        <v>0.90625</v>
      </c>
      <c r="D78" s="106">
        <f>D18/D18</f>
        <v>1</v>
      </c>
      <c r="E78" s="83"/>
      <c r="F78" s="83"/>
      <c r="G78" s="83"/>
      <c r="H78" s="83"/>
    </row>
    <row r="79" spans="1:9" x14ac:dyDescent="0.25">
      <c r="B79" s="109"/>
      <c r="C79" s="109"/>
      <c r="D79" s="103"/>
    </row>
    <row r="80" spans="1:9" x14ac:dyDescent="0.25">
      <c r="A80" s="83" t="s">
        <v>268</v>
      </c>
      <c r="B80" s="109">
        <f>B20/D20</f>
        <v>0.83870967741935487</v>
      </c>
      <c r="C80" s="109">
        <f>C20/D20</f>
        <v>1.1116625310173698</v>
      </c>
      <c r="D80" s="103">
        <f>D20/D20</f>
        <v>1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6"/>
  <sheetViews>
    <sheetView workbookViewId="0"/>
  </sheetViews>
  <sheetFormatPr baseColWidth="10" defaultColWidth="7.5703125" defaultRowHeight="15" x14ac:dyDescent="0.25"/>
  <cols>
    <col min="1" max="1" width="5.7109375" style="83" customWidth="1"/>
    <col min="2" max="2" width="29.42578125" style="83" bestFit="1" customWidth="1"/>
    <col min="3" max="8" width="7.7109375" style="100" customWidth="1"/>
    <col min="9" max="16384" width="7.5703125" style="83"/>
  </cols>
  <sheetData>
    <row r="1" spans="1:17" x14ac:dyDescent="0.25">
      <c r="A1" s="99" t="s">
        <v>278</v>
      </c>
      <c r="C1" s="113"/>
    </row>
    <row r="3" spans="1:17" x14ac:dyDescent="0.25">
      <c r="A3" s="83" t="s">
        <v>279</v>
      </c>
    </row>
    <row r="4" spans="1:17" x14ac:dyDescent="0.25">
      <c r="A4" s="83" t="s">
        <v>281</v>
      </c>
    </row>
    <row r="6" spans="1:17" x14ac:dyDescent="0.25">
      <c r="C6" s="101" t="s">
        <v>260</v>
      </c>
      <c r="D6" s="101" t="s">
        <v>32</v>
      </c>
      <c r="E6" s="101" t="s">
        <v>33</v>
      </c>
    </row>
    <row r="7" spans="1:17" x14ac:dyDescent="0.25">
      <c r="A7" s="110"/>
      <c r="B7" s="83" t="s">
        <v>280</v>
      </c>
      <c r="C7" s="100">
        <v>22200</v>
      </c>
      <c r="D7" s="100">
        <v>20800</v>
      </c>
      <c r="E7" s="100">
        <v>18000</v>
      </c>
    </row>
    <row r="8" spans="1:17" x14ac:dyDescent="0.25">
      <c r="A8" s="110" t="s">
        <v>256</v>
      </c>
      <c r="B8" s="83" t="s">
        <v>282</v>
      </c>
      <c r="C8" s="100">
        <v>12400</v>
      </c>
      <c r="D8" s="100">
        <v>11400</v>
      </c>
      <c r="E8" s="100">
        <v>9900</v>
      </c>
    </row>
    <row r="9" spans="1:17" x14ac:dyDescent="0.25">
      <c r="A9" s="110" t="s">
        <v>256</v>
      </c>
      <c r="B9" s="83" t="s">
        <v>283</v>
      </c>
      <c r="C9" s="100">
        <v>890</v>
      </c>
      <c r="D9" s="100">
        <v>825</v>
      </c>
      <c r="E9" s="100">
        <v>720</v>
      </c>
    </row>
    <row r="10" spans="1:17" s="5" customFormat="1" ht="20.25" x14ac:dyDescent="0.3">
      <c r="A10" s="111" t="s">
        <v>128</v>
      </c>
      <c r="B10" s="83" t="s">
        <v>284</v>
      </c>
      <c r="C10" s="104">
        <f>C7-C8-C9</f>
        <v>8910</v>
      </c>
      <c r="D10" s="104">
        <f t="shared" ref="D10:E10" si="0">D7-D8-D9</f>
        <v>8575</v>
      </c>
      <c r="E10" s="104">
        <f t="shared" si="0"/>
        <v>7380</v>
      </c>
      <c r="F10" s="100"/>
      <c r="G10" s="100"/>
      <c r="H10" s="100"/>
      <c r="I10" s="83"/>
      <c r="J10" s="83"/>
      <c r="K10" s="83"/>
      <c r="L10" s="83"/>
      <c r="M10" s="83"/>
      <c r="N10" s="83"/>
      <c r="O10" s="83"/>
      <c r="P10" s="83"/>
      <c r="Q10" s="83"/>
    </row>
    <row r="12" spans="1:17" x14ac:dyDescent="0.25">
      <c r="B12" s="112" t="s">
        <v>285</v>
      </c>
    </row>
    <row r="13" spans="1:17" x14ac:dyDescent="0.25">
      <c r="B13" s="83" t="s">
        <v>286</v>
      </c>
      <c r="C13" s="100">
        <v>7600</v>
      </c>
      <c r="D13" s="100">
        <v>7520</v>
      </c>
      <c r="E13" s="100">
        <v>6840</v>
      </c>
    </row>
    <row r="14" spans="1:17" x14ac:dyDescent="0.25">
      <c r="B14" s="83" t="s">
        <v>263</v>
      </c>
      <c r="C14" s="100">
        <v>360</v>
      </c>
      <c r="D14" s="100">
        <v>280</v>
      </c>
      <c r="E14" s="100">
        <v>200</v>
      </c>
    </row>
    <row r="15" spans="1:17" x14ac:dyDescent="0.25">
      <c r="B15" s="83" t="s">
        <v>244</v>
      </c>
      <c r="C15" s="100">
        <v>100</v>
      </c>
      <c r="D15" s="100">
        <v>140</v>
      </c>
      <c r="E15" s="100">
        <v>150</v>
      </c>
    </row>
    <row r="16" spans="1:17" s="5" customFormat="1" ht="20.25" x14ac:dyDescent="0.3">
      <c r="A16" s="83"/>
      <c r="B16" s="83" t="s">
        <v>287</v>
      </c>
      <c r="C16" s="104">
        <f t="shared" ref="C16:D16" si="1">SUM(C13:C15)</f>
        <v>8060</v>
      </c>
      <c r="D16" s="104">
        <f t="shared" si="1"/>
        <v>7940</v>
      </c>
      <c r="E16" s="104">
        <f>SUM(E13:E15)</f>
        <v>7190</v>
      </c>
      <c r="F16" s="100"/>
      <c r="G16" s="100"/>
      <c r="H16" s="100"/>
      <c r="I16" s="83"/>
      <c r="J16" s="83"/>
      <c r="K16" s="83"/>
      <c r="L16" s="83"/>
      <c r="M16" s="83"/>
    </row>
    <row r="17" spans="1:13" s="5" customFormat="1" ht="20.25" x14ac:dyDescent="0.3">
      <c r="A17" s="83"/>
      <c r="B17" s="83" t="s">
        <v>288</v>
      </c>
      <c r="C17" s="104">
        <f>C10-C16</f>
        <v>850</v>
      </c>
      <c r="D17" s="104">
        <f t="shared" ref="D17:E17" si="2">D10-D16</f>
        <v>635</v>
      </c>
      <c r="E17" s="104">
        <f t="shared" si="2"/>
        <v>190</v>
      </c>
      <c r="F17" s="100"/>
      <c r="G17" s="100"/>
      <c r="H17" s="100"/>
      <c r="I17" s="83"/>
      <c r="J17" s="83"/>
      <c r="K17" s="83"/>
      <c r="L17" s="83"/>
      <c r="M17" s="83"/>
    </row>
    <row r="19" spans="1:13" x14ac:dyDescent="0.25">
      <c r="A19" s="83" t="s">
        <v>65</v>
      </c>
      <c r="B19" s="83" t="s">
        <v>289</v>
      </c>
      <c r="C19" s="103">
        <f>C10/C7</f>
        <v>0.40135135135135136</v>
      </c>
      <c r="D19" s="103">
        <f t="shared" ref="D19:E19" si="3">D10/D7</f>
        <v>0.41225961538461536</v>
      </c>
      <c r="E19" s="103">
        <f t="shared" si="3"/>
        <v>0.41</v>
      </c>
    </row>
    <row r="21" spans="1:13" x14ac:dyDescent="0.25">
      <c r="B21" s="83" t="s">
        <v>290</v>
      </c>
      <c r="C21" s="100">
        <f>C16/C19</f>
        <v>20082.154882154882</v>
      </c>
      <c r="D21" s="100">
        <f t="shared" ref="D21:E21" si="4">D16/D19</f>
        <v>19259.708454810498</v>
      </c>
      <c r="E21" s="100">
        <f t="shared" si="4"/>
        <v>17536.585365853658</v>
      </c>
    </row>
    <row r="23" spans="1:13" x14ac:dyDescent="0.25">
      <c r="B23" s="83" t="s">
        <v>291</v>
      </c>
      <c r="C23" s="100">
        <f>C7-C21</f>
        <v>2117.8451178451178</v>
      </c>
      <c r="D23" s="100">
        <f t="shared" ref="D23:E23" si="5">D7-D21</f>
        <v>1540.2915451895024</v>
      </c>
      <c r="E23" s="100">
        <f t="shared" si="5"/>
        <v>463.414634146342</v>
      </c>
    </row>
    <row r="24" spans="1:13" x14ac:dyDescent="0.25">
      <c r="B24" s="83" t="s">
        <v>292</v>
      </c>
      <c r="C24" s="103">
        <f>C23/C7</f>
        <v>9.5398428731762061E-2</v>
      </c>
      <c r="D24" s="103">
        <f t="shared" ref="D24:E24" si="6">D23/D7</f>
        <v>7.4052478134110686E-2</v>
      </c>
      <c r="E24" s="103">
        <f t="shared" si="6"/>
        <v>2.5745257452574555E-2</v>
      </c>
    </row>
    <row r="25" spans="1:13" x14ac:dyDescent="0.25">
      <c r="C25" s="103"/>
      <c r="D25" s="103"/>
      <c r="E25" s="103"/>
    </row>
    <row r="26" spans="1:13" x14ac:dyDescent="0.25">
      <c r="A26" s="83" t="s">
        <v>74</v>
      </c>
    </row>
    <row r="27" spans="1:13" x14ac:dyDescent="0.25">
      <c r="A27" s="115"/>
      <c r="B27" s="117"/>
      <c r="C27" s="233" t="s">
        <v>260</v>
      </c>
      <c r="D27" s="233"/>
      <c r="E27" s="233" t="s">
        <v>32</v>
      </c>
      <c r="F27" s="233"/>
      <c r="G27" s="233" t="s">
        <v>33</v>
      </c>
      <c r="H27" s="233"/>
    </row>
    <row r="28" spans="1:13" x14ac:dyDescent="0.25">
      <c r="A28" s="116"/>
      <c r="B28" s="118"/>
      <c r="C28" s="114" t="s">
        <v>19</v>
      </c>
      <c r="D28" s="114" t="s">
        <v>20</v>
      </c>
      <c r="E28" s="114" t="s">
        <v>19</v>
      </c>
      <c r="F28" s="114" t="s">
        <v>20</v>
      </c>
      <c r="G28" s="114" t="s">
        <v>19</v>
      </c>
      <c r="H28" s="114" t="s">
        <v>20</v>
      </c>
    </row>
    <row r="29" spans="1:13" x14ac:dyDescent="0.25">
      <c r="A29" s="119"/>
      <c r="B29" s="120" t="s">
        <v>280</v>
      </c>
      <c r="C29" s="124">
        <v>22200</v>
      </c>
      <c r="D29" s="125">
        <f>C29/C29</f>
        <v>1</v>
      </c>
      <c r="E29" s="124">
        <v>20800</v>
      </c>
      <c r="F29" s="125">
        <f>E29/$E$29</f>
        <v>1</v>
      </c>
      <c r="G29" s="124">
        <v>18000</v>
      </c>
      <c r="H29" s="125">
        <f>G29/$G$29</f>
        <v>1</v>
      </c>
    </row>
    <row r="30" spans="1:13" x14ac:dyDescent="0.25">
      <c r="A30" s="119" t="s">
        <v>256</v>
      </c>
      <c r="B30" s="120" t="s">
        <v>282</v>
      </c>
      <c r="C30" s="124">
        <v>12400</v>
      </c>
      <c r="D30" s="125">
        <f>C30/$C$29</f>
        <v>0.55855855855855852</v>
      </c>
      <c r="E30" s="124">
        <v>11400</v>
      </c>
      <c r="F30" s="125">
        <f t="shared" ref="F30:F39" si="7">E30/$E$29</f>
        <v>0.54807692307692313</v>
      </c>
      <c r="G30" s="124">
        <v>9900</v>
      </c>
      <c r="H30" s="125">
        <f t="shared" ref="H30:H39" si="8">G30/$G$29</f>
        <v>0.55000000000000004</v>
      </c>
    </row>
    <row r="31" spans="1:13" x14ac:dyDescent="0.25">
      <c r="A31" s="119" t="s">
        <v>256</v>
      </c>
      <c r="B31" s="120" t="s">
        <v>283</v>
      </c>
      <c r="C31" s="124">
        <v>890</v>
      </c>
      <c r="D31" s="125">
        <f t="shared" ref="D31:D39" si="9">C31/$C$29</f>
        <v>4.009009009009009E-2</v>
      </c>
      <c r="E31" s="124">
        <v>825</v>
      </c>
      <c r="F31" s="125">
        <f t="shared" si="7"/>
        <v>3.9663461538461536E-2</v>
      </c>
      <c r="G31" s="124">
        <v>720</v>
      </c>
      <c r="H31" s="125">
        <f t="shared" si="8"/>
        <v>0.04</v>
      </c>
    </row>
    <row r="32" spans="1:13" s="5" customFormat="1" ht="20.25" x14ac:dyDescent="0.3">
      <c r="A32" s="121" t="s">
        <v>128</v>
      </c>
      <c r="B32" s="120" t="s">
        <v>284</v>
      </c>
      <c r="C32" s="126">
        <v>8910</v>
      </c>
      <c r="D32" s="127">
        <f t="shared" si="9"/>
        <v>0.40135135135135136</v>
      </c>
      <c r="E32" s="126">
        <f t="shared" ref="E32" si="10">E29-E30-E31</f>
        <v>8575</v>
      </c>
      <c r="F32" s="127">
        <f t="shared" si="7"/>
        <v>0.41225961538461536</v>
      </c>
      <c r="G32" s="126">
        <f t="shared" ref="G32" si="11">G29-G30-G31</f>
        <v>7380</v>
      </c>
      <c r="H32" s="127">
        <f t="shared" si="8"/>
        <v>0.41</v>
      </c>
      <c r="I32" s="83"/>
      <c r="J32" s="83"/>
    </row>
    <row r="33" spans="1:11" x14ac:dyDescent="0.25">
      <c r="A33" s="122"/>
      <c r="B33" s="120"/>
      <c r="C33" s="124"/>
      <c r="D33" s="125"/>
      <c r="E33" s="124"/>
      <c r="F33" s="125"/>
      <c r="G33" s="124"/>
      <c r="H33" s="125"/>
    </row>
    <row r="34" spans="1:11" x14ac:dyDescent="0.25">
      <c r="A34" s="122"/>
      <c r="B34" s="123" t="s">
        <v>285</v>
      </c>
      <c r="C34" s="124"/>
      <c r="D34" s="125"/>
      <c r="E34" s="124"/>
      <c r="F34" s="125"/>
      <c r="G34" s="124"/>
      <c r="H34" s="125"/>
    </row>
    <row r="35" spans="1:11" x14ac:dyDescent="0.25">
      <c r="A35" s="122"/>
      <c r="B35" s="120" t="s">
        <v>286</v>
      </c>
      <c r="C35" s="124">
        <v>7600</v>
      </c>
      <c r="D35" s="125">
        <f t="shared" si="9"/>
        <v>0.34234234234234234</v>
      </c>
      <c r="E35" s="124">
        <v>7520</v>
      </c>
      <c r="F35" s="125">
        <f t="shared" si="7"/>
        <v>0.36153846153846153</v>
      </c>
      <c r="G35" s="124">
        <v>6840</v>
      </c>
      <c r="H35" s="125">
        <f t="shared" si="8"/>
        <v>0.38</v>
      </c>
    </row>
    <row r="36" spans="1:11" x14ac:dyDescent="0.25">
      <c r="A36" s="122"/>
      <c r="B36" s="120" t="s">
        <v>263</v>
      </c>
      <c r="C36" s="124">
        <v>360</v>
      </c>
      <c r="D36" s="125">
        <f t="shared" si="9"/>
        <v>1.6216216216216217E-2</v>
      </c>
      <c r="E36" s="124">
        <v>280</v>
      </c>
      <c r="F36" s="125">
        <f t="shared" si="7"/>
        <v>1.3461538461538462E-2</v>
      </c>
      <c r="G36" s="124">
        <v>200</v>
      </c>
      <c r="H36" s="125">
        <f t="shared" si="8"/>
        <v>1.1111111111111112E-2</v>
      </c>
    </row>
    <row r="37" spans="1:11" x14ac:dyDescent="0.25">
      <c r="A37" s="122"/>
      <c r="B37" s="120" t="s">
        <v>244</v>
      </c>
      <c r="C37" s="124">
        <v>100</v>
      </c>
      <c r="D37" s="125">
        <f t="shared" si="9"/>
        <v>4.5045045045045045E-3</v>
      </c>
      <c r="E37" s="124">
        <v>140</v>
      </c>
      <c r="F37" s="125">
        <f t="shared" si="7"/>
        <v>6.7307692307692311E-3</v>
      </c>
      <c r="G37" s="124">
        <v>150</v>
      </c>
      <c r="H37" s="125">
        <f t="shared" si="8"/>
        <v>8.3333333333333332E-3</v>
      </c>
    </row>
    <row r="38" spans="1:11" s="5" customFormat="1" ht="20.25" x14ac:dyDescent="0.3">
      <c r="A38" s="122"/>
      <c r="B38" s="120" t="s">
        <v>287</v>
      </c>
      <c r="C38" s="126">
        <v>8060</v>
      </c>
      <c r="D38" s="127">
        <f t="shared" si="9"/>
        <v>0.36306306306306307</v>
      </c>
      <c r="E38" s="126">
        <f t="shared" ref="E38" si="12">SUM(E35:E37)</f>
        <v>7940</v>
      </c>
      <c r="F38" s="127">
        <f t="shared" si="7"/>
        <v>0.38173076923076921</v>
      </c>
      <c r="G38" s="126">
        <f>SUM(G35:G37)</f>
        <v>7190</v>
      </c>
      <c r="H38" s="127">
        <f t="shared" si="8"/>
        <v>0.39944444444444444</v>
      </c>
      <c r="I38" s="83"/>
      <c r="J38" s="83"/>
      <c r="K38" s="83"/>
    </row>
    <row r="39" spans="1:11" s="5" customFormat="1" ht="20.25" x14ac:dyDescent="0.3">
      <c r="A39" s="116"/>
      <c r="B39" s="118" t="s">
        <v>288</v>
      </c>
      <c r="C39" s="126">
        <v>850</v>
      </c>
      <c r="D39" s="127">
        <f t="shared" si="9"/>
        <v>3.8288288288288286E-2</v>
      </c>
      <c r="E39" s="126">
        <f t="shared" ref="E39" si="13">E32-E38</f>
        <v>635</v>
      </c>
      <c r="F39" s="127">
        <f t="shared" si="7"/>
        <v>3.0528846153846153E-2</v>
      </c>
      <c r="G39" s="126">
        <f t="shared" ref="G39" si="14">G32-G38</f>
        <v>190</v>
      </c>
      <c r="H39" s="127">
        <f t="shared" si="8"/>
        <v>1.0555555555555556E-2</v>
      </c>
      <c r="I39" s="83"/>
      <c r="J39" s="83"/>
    </row>
    <row r="41" spans="1:11" x14ac:dyDescent="0.25">
      <c r="B41" s="83" t="s">
        <v>289</v>
      </c>
      <c r="C41" s="103">
        <f>D32</f>
        <v>0.40135135135135136</v>
      </c>
      <c r="D41" s="83"/>
      <c r="E41" s="103">
        <f>F32</f>
        <v>0.41225961538461536</v>
      </c>
      <c r="F41" s="83"/>
      <c r="G41" s="103">
        <f>H32</f>
        <v>0.41</v>
      </c>
      <c r="H41" s="83"/>
    </row>
    <row r="43" spans="1:11" x14ac:dyDescent="0.25">
      <c r="B43" s="83" t="s">
        <v>290</v>
      </c>
      <c r="C43" s="100">
        <f>C38/C41</f>
        <v>20082.154882154882</v>
      </c>
      <c r="E43" s="100">
        <f t="shared" ref="E43:G43" si="15">E38/E41</f>
        <v>19259.708454810498</v>
      </c>
      <c r="G43" s="100">
        <f t="shared" si="15"/>
        <v>17536.585365853658</v>
      </c>
    </row>
    <row r="45" spans="1:11" x14ac:dyDescent="0.25">
      <c r="B45" s="83" t="s">
        <v>291</v>
      </c>
      <c r="C45" s="100">
        <f>C29-C43</f>
        <v>2117.8451178451178</v>
      </c>
      <c r="E45" s="100">
        <f t="shared" ref="E45:G45" si="16">E29-E43</f>
        <v>1540.2915451895024</v>
      </c>
      <c r="G45" s="100">
        <f t="shared" si="16"/>
        <v>463.414634146342</v>
      </c>
    </row>
    <row r="46" spans="1:11" x14ac:dyDescent="0.25">
      <c r="B46" s="83" t="s">
        <v>292</v>
      </c>
      <c r="C46" s="103">
        <f>C45/C29</f>
        <v>9.5398428731762061E-2</v>
      </c>
      <c r="D46" s="103"/>
      <c r="E46" s="103">
        <f t="shared" ref="E46:G46" si="17">E45/E29</f>
        <v>7.4052478134110686E-2</v>
      </c>
      <c r="F46" s="103"/>
      <c r="G46" s="103">
        <f t="shared" si="17"/>
        <v>2.5745257452574555E-2</v>
      </c>
    </row>
    <row r="49" spans="2:2" x14ac:dyDescent="0.25">
      <c r="B49" s="83" t="s">
        <v>461</v>
      </c>
    </row>
    <row r="50" spans="2:2" x14ac:dyDescent="0.25">
      <c r="B50" s="83" t="s">
        <v>462</v>
      </c>
    </row>
    <row r="51" spans="2:2" x14ac:dyDescent="0.25">
      <c r="B51" s="83" t="s">
        <v>463</v>
      </c>
    </row>
    <row r="53" spans="2:2" x14ac:dyDescent="0.25">
      <c r="B53" s="83" t="s">
        <v>464</v>
      </c>
    </row>
    <row r="54" spans="2:2" x14ac:dyDescent="0.25">
      <c r="B54" s="83" t="s">
        <v>465</v>
      </c>
    </row>
    <row r="56" spans="2:2" x14ac:dyDescent="0.25">
      <c r="B56" s="83" t="s">
        <v>466</v>
      </c>
    </row>
    <row r="57" spans="2:2" x14ac:dyDescent="0.25">
      <c r="B57" s="83" t="s">
        <v>467</v>
      </c>
    </row>
    <row r="58" spans="2:2" x14ac:dyDescent="0.25">
      <c r="B58" s="83" t="s">
        <v>469</v>
      </c>
    </row>
    <row r="59" spans="2:2" x14ac:dyDescent="0.25">
      <c r="B59" s="83" t="s">
        <v>468</v>
      </c>
    </row>
    <row r="61" spans="2:2" x14ac:dyDescent="0.25">
      <c r="B61" s="83" t="s">
        <v>470</v>
      </c>
    </row>
    <row r="62" spans="2:2" x14ac:dyDescent="0.25">
      <c r="B62" s="83" t="s">
        <v>471</v>
      </c>
    </row>
    <row r="63" spans="2:2" x14ac:dyDescent="0.25">
      <c r="B63" s="83" t="s">
        <v>472</v>
      </c>
    </row>
    <row r="65" spans="2:2" x14ac:dyDescent="0.25">
      <c r="B65" s="83" t="s">
        <v>473</v>
      </c>
    </row>
    <row r="66" spans="2:2" x14ac:dyDescent="0.25">
      <c r="B66" s="83" t="s">
        <v>474</v>
      </c>
    </row>
  </sheetData>
  <mergeCells count="3">
    <mergeCell ref="C27:D27"/>
    <mergeCell ref="E27:F27"/>
    <mergeCell ref="G27:H27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2"/>
  <sheetViews>
    <sheetView showGridLines="0" showZeros="0" workbookViewId="0"/>
  </sheetViews>
  <sheetFormatPr baseColWidth="10" defaultRowHeight="15.75" x14ac:dyDescent="0.25"/>
  <cols>
    <col min="1" max="1" width="31.5703125" style="50" bestFit="1" customWidth="1"/>
    <col min="2" max="2" width="9.7109375" style="60" customWidth="1"/>
    <col min="3" max="3" width="2.28515625" style="60" customWidth="1"/>
    <col min="4" max="4" width="9.7109375" style="60" customWidth="1"/>
    <col min="5" max="251" width="11.42578125" style="50"/>
    <col min="252" max="252" width="4.5703125" style="50" customWidth="1"/>
    <col min="253" max="253" width="7" style="50" customWidth="1"/>
    <col min="254" max="254" width="23.42578125" style="50" customWidth="1"/>
    <col min="255" max="255" width="4.7109375" style="50" customWidth="1"/>
    <col min="256" max="256" width="8.28515625" style="50" customWidth="1"/>
    <col min="257" max="257" width="2.28515625" style="50" customWidth="1"/>
    <col min="258" max="258" width="11.42578125" style="50"/>
    <col min="259" max="259" width="2.28515625" style="50" customWidth="1"/>
    <col min="260" max="507" width="11.42578125" style="50"/>
    <col min="508" max="508" width="4.5703125" style="50" customWidth="1"/>
    <col min="509" max="509" width="7" style="50" customWidth="1"/>
    <col min="510" max="510" width="23.42578125" style="50" customWidth="1"/>
    <col min="511" max="511" width="4.7109375" style="50" customWidth="1"/>
    <col min="512" max="512" width="8.28515625" style="50" customWidth="1"/>
    <col min="513" max="513" width="2.28515625" style="50" customWidth="1"/>
    <col min="514" max="514" width="11.42578125" style="50"/>
    <col min="515" max="515" width="2.28515625" style="50" customWidth="1"/>
    <col min="516" max="763" width="11.42578125" style="50"/>
    <col min="764" max="764" width="4.5703125" style="50" customWidth="1"/>
    <col min="765" max="765" width="7" style="50" customWidth="1"/>
    <col min="766" max="766" width="23.42578125" style="50" customWidth="1"/>
    <col min="767" max="767" width="4.7109375" style="50" customWidth="1"/>
    <col min="768" max="768" width="8.28515625" style="50" customWidth="1"/>
    <col min="769" max="769" width="2.28515625" style="50" customWidth="1"/>
    <col min="770" max="770" width="11.42578125" style="50"/>
    <col min="771" max="771" width="2.28515625" style="50" customWidth="1"/>
    <col min="772" max="1019" width="11.42578125" style="50"/>
    <col min="1020" max="1020" width="4.5703125" style="50" customWidth="1"/>
    <col min="1021" max="1021" width="7" style="50" customWidth="1"/>
    <col min="1022" max="1022" width="23.42578125" style="50" customWidth="1"/>
    <col min="1023" max="1023" width="4.7109375" style="50" customWidth="1"/>
    <col min="1024" max="1024" width="8.28515625" style="50" customWidth="1"/>
    <col min="1025" max="1025" width="2.28515625" style="50" customWidth="1"/>
    <col min="1026" max="1026" width="11.42578125" style="50"/>
    <col min="1027" max="1027" width="2.28515625" style="50" customWidth="1"/>
    <col min="1028" max="1275" width="11.42578125" style="50"/>
    <col min="1276" max="1276" width="4.5703125" style="50" customWidth="1"/>
    <col min="1277" max="1277" width="7" style="50" customWidth="1"/>
    <col min="1278" max="1278" width="23.42578125" style="50" customWidth="1"/>
    <col min="1279" max="1279" width="4.7109375" style="50" customWidth="1"/>
    <col min="1280" max="1280" width="8.28515625" style="50" customWidth="1"/>
    <col min="1281" max="1281" width="2.28515625" style="50" customWidth="1"/>
    <col min="1282" max="1282" width="11.42578125" style="50"/>
    <col min="1283" max="1283" width="2.28515625" style="50" customWidth="1"/>
    <col min="1284" max="1531" width="11.42578125" style="50"/>
    <col min="1532" max="1532" width="4.5703125" style="50" customWidth="1"/>
    <col min="1533" max="1533" width="7" style="50" customWidth="1"/>
    <col min="1534" max="1534" width="23.42578125" style="50" customWidth="1"/>
    <col min="1535" max="1535" width="4.7109375" style="50" customWidth="1"/>
    <col min="1536" max="1536" width="8.28515625" style="50" customWidth="1"/>
    <col min="1537" max="1537" width="2.28515625" style="50" customWidth="1"/>
    <col min="1538" max="1538" width="11.42578125" style="50"/>
    <col min="1539" max="1539" width="2.28515625" style="50" customWidth="1"/>
    <col min="1540" max="1787" width="11.42578125" style="50"/>
    <col min="1788" max="1788" width="4.5703125" style="50" customWidth="1"/>
    <col min="1789" max="1789" width="7" style="50" customWidth="1"/>
    <col min="1790" max="1790" width="23.42578125" style="50" customWidth="1"/>
    <col min="1791" max="1791" width="4.7109375" style="50" customWidth="1"/>
    <col min="1792" max="1792" width="8.28515625" style="50" customWidth="1"/>
    <col min="1793" max="1793" width="2.28515625" style="50" customWidth="1"/>
    <col min="1794" max="1794" width="11.42578125" style="50"/>
    <col min="1795" max="1795" width="2.28515625" style="50" customWidth="1"/>
    <col min="1796" max="2043" width="11.42578125" style="50"/>
    <col min="2044" max="2044" width="4.5703125" style="50" customWidth="1"/>
    <col min="2045" max="2045" width="7" style="50" customWidth="1"/>
    <col min="2046" max="2046" width="23.42578125" style="50" customWidth="1"/>
    <col min="2047" max="2047" width="4.7109375" style="50" customWidth="1"/>
    <col min="2048" max="2048" width="8.28515625" style="50" customWidth="1"/>
    <col min="2049" max="2049" width="2.28515625" style="50" customWidth="1"/>
    <col min="2050" max="2050" width="11.42578125" style="50"/>
    <col min="2051" max="2051" width="2.28515625" style="50" customWidth="1"/>
    <col min="2052" max="2299" width="11.42578125" style="50"/>
    <col min="2300" max="2300" width="4.5703125" style="50" customWidth="1"/>
    <col min="2301" max="2301" width="7" style="50" customWidth="1"/>
    <col min="2302" max="2302" width="23.42578125" style="50" customWidth="1"/>
    <col min="2303" max="2303" width="4.7109375" style="50" customWidth="1"/>
    <col min="2304" max="2304" width="8.28515625" style="50" customWidth="1"/>
    <col min="2305" max="2305" width="2.28515625" style="50" customWidth="1"/>
    <col min="2306" max="2306" width="11.42578125" style="50"/>
    <col min="2307" max="2307" width="2.28515625" style="50" customWidth="1"/>
    <col min="2308" max="2555" width="11.42578125" style="50"/>
    <col min="2556" max="2556" width="4.5703125" style="50" customWidth="1"/>
    <col min="2557" max="2557" width="7" style="50" customWidth="1"/>
    <col min="2558" max="2558" width="23.42578125" style="50" customWidth="1"/>
    <col min="2559" max="2559" width="4.7109375" style="50" customWidth="1"/>
    <col min="2560" max="2560" width="8.28515625" style="50" customWidth="1"/>
    <col min="2561" max="2561" width="2.28515625" style="50" customWidth="1"/>
    <col min="2562" max="2562" width="11.42578125" style="50"/>
    <col min="2563" max="2563" width="2.28515625" style="50" customWidth="1"/>
    <col min="2564" max="2811" width="11.42578125" style="50"/>
    <col min="2812" max="2812" width="4.5703125" style="50" customWidth="1"/>
    <col min="2813" max="2813" width="7" style="50" customWidth="1"/>
    <col min="2814" max="2814" width="23.42578125" style="50" customWidth="1"/>
    <col min="2815" max="2815" width="4.7109375" style="50" customWidth="1"/>
    <col min="2816" max="2816" width="8.28515625" style="50" customWidth="1"/>
    <col min="2817" max="2817" width="2.28515625" style="50" customWidth="1"/>
    <col min="2818" max="2818" width="11.42578125" style="50"/>
    <col min="2819" max="2819" width="2.28515625" style="50" customWidth="1"/>
    <col min="2820" max="3067" width="11.42578125" style="50"/>
    <col min="3068" max="3068" width="4.5703125" style="50" customWidth="1"/>
    <col min="3069" max="3069" width="7" style="50" customWidth="1"/>
    <col min="3070" max="3070" width="23.42578125" style="50" customWidth="1"/>
    <col min="3071" max="3071" width="4.7109375" style="50" customWidth="1"/>
    <col min="3072" max="3072" width="8.28515625" style="50" customWidth="1"/>
    <col min="3073" max="3073" width="2.28515625" style="50" customWidth="1"/>
    <col min="3074" max="3074" width="11.42578125" style="50"/>
    <col min="3075" max="3075" width="2.28515625" style="50" customWidth="1"/>
    <col min="3076" max="3323" width="11.42578125" style="50"/>
    <col min="3324" max="3324" width="4.5703125" style="50" customWidth="1"/>
    <col min="3325" max="3325" width="7" style="50" customWidth="1"/>
    <col min="3326" max="3326" width="23.42578125" style="50" customWidth="1"/>
    <col min="3327" max="3327" width="4.7109375" style="50" customWidth="1"/>
    <col min="3328" max="3328" width="8.28515625" style="50" customWidth="1"/>
    <col min="3329" max="3329" width="2.28515625" style="50" customWidth="1"/>
    <col min="3330" max="3330" width="11.42578125" style="50"/>
    <col min="3331" max="3331" width="2.28515625" style="50" customWidth="1"/>
    <col min="3332" max="3579" width="11.42578125" style="50"/>
    <col min="3580" max="3580" width="4.5703125" style="50" customWidth="1"/>
    <col min="3581" max="3581" width="7" style="50" customWidth="1"/>
    <col min="3582" max="3582" width="23.42578125" style="50" customWidth="1"/>
    <col min="3583" max="3583" width="4.7109375" style="50" customWidth="1"/>
    <col min="3584" max="3584" width="8.28515625" style="50" customWidth="1"/>
    <col min="3585" max="3585" width="2.28515625" style="50" customWidth="1"/>
    <col min="3586" max="3586" width="11.42578125" style="50"/>
    <col min="3587" max="3587" width="2.28515625" style="50" customWidth="1"/>
    <col min="3588" max="3835" width="11.42578125" style="50"/>
    <col min="3836" max="3836" width="4.5703125" style="50" customWidth="1"/>
    <col min="3837" max="3837" width="7" style="50" customWidth="1"/>
    <col min="3838" max="3838" width="23.42578125" style="50" customWidth="1"/>
    <col min="3839" max="3839" width="4.7109375" style="50" customWidth="1"/>
    <col min="3840" max="3840" width="8.28515625" style="50" customWidth="1"/>
    <col min="3841" max="3841" width="2.28515625" style="50" customWidth="1"/>
    <col min="3842" max="3842" width="11.42578125" style="50"/>
    <col min="3843" max="3843" width="2.28515625" style="50" customWidth="1"/>
    <col min="3844" max="4091" width="11.42578125" style="50"/>
    <col min="4092" max="4092" width="4.5703125" style="50" customWidth="1"/>
    <col min="4093" max="4093" width="7" style="50" customWidth="1"/>
    <col min="4094" max="4094" width="23.42578125" style="50" customWidth="1"/>
    <col min="4095" max="4095" width="4.7109375" style="50" customWidth="1"/>
    <col min="4096" max="4096" width="8.28515625" style="50" customWidth="1"/>
    <col min="4097" max="4097" width="2.28515625" style="50" customWidth="1"/>
    <col min="4098" max="4098" width="11.42578125" style="50"/>
    <col min="4099" max="4099" width="2.28515625" style="50" customWidth="1"/>
    <col min="4100" max="4347" width="11.42578125" style="50"/>
    <col min="4348" max="4348" width="4.5703125" style="50" customWidth="1"/>
    <col min="4349" max="4349" width="7" style="50" customWidth="1"/>
    <col min="4350" max="4350" width="23.42578125" style="50" customWidth="1"/>
    <col min="4351" max="4351" width="4.7109375" style="50" customWidth="1"/>
    <col min="4352" max="4352" width="8.28515625" style="50" customWidth="1"/>
    <col min="4353" max="4353" width="2.28515625" style="50" customWidth="1"/>
    <col min="4354" max="4354" width="11.42578125" style="50"/>
    <col min="4355" max="4355" width="2.28515625" style="50" customWidth="1"/>
    <col min="4356" max="4603" width="11.42578125" style="50"/>
    <col min="4604" max="4604" width="4.5703125" style="50" customWidth="1"/>
    <col min="4605" max="4605" width="7" style="50" customWidth="1"/>
    <col min="4606" max="4606" width="23.42578125" style="50" customWidth="1"/>
    <col min="4607" max="4607" width="4.7109375" style="50" customWidth="1"/>
    <col min="4608" max="4608" width="8.28515625" style="50" customWidth="1"/>
    <col min="4609" max="4609" width="2.28515625" style="50" customWidth="1"/>
    <col min="4610" max="4610" width="11.42578125" style="50"/>
    <col min="4611" max="4611" width="2.28515625" style="50" customWidth="1"/>
    <col min="4612" max="4859" width="11.42578125" style="50"/>
    <col min="4860" max="4860" width="4.5703125" style="50" customWidth="1"/>
    <col min="4861" max="4861" width="7" style="50" customWidth="1"/>
    <col min="4862" max="4862" width="23.42578125" style="50" customWidth="1"/>
    <col min="4863" max="4863" width="4.7109375" style="50" customWidth="1"/>
    <col min="4864" max="4864" width="8.28515625" style="50" customWidth="1"/>
    <col min="4865" max="4865" width="2.28515625" style="50" customWidth="1"/>
    <col min="4866" max="4866" width="11.42578125" style="50"/>
    <col min="4867" max="4867" width="2.28515625" style="50" customWidth="1"/>
    <col min="4868" max="5115" width="11.42578125" style="50"/>
    <col min="5116" max="5116" width="4.5703125" style="50" customWidth="1"/>
    <col min="5117" max="5117" width="7" style="50" customWidth="1"/>
    <col min="5118" max="5118" width="23.42578125" style="50" customWidth="1"/>
    <col min="5119" max="5119" width="4.7109375" style="50" customWidth="1"/>
    <col min="5120" max="5120" width="8.28515625" style="50" customWidth="1"/>
    <col min="5121" max="5121" width="2.28515625" style="50" customWidth="1"/>
    <col min="5122" max="5122" width="11.42578125" style="50"/>
    <col min="5123" max="5123" width="2.28515625" style="50" customWidth="1"/>
    <col min="5124" max="5371" width="11.42578125" style="50"/>
    <col min="5372" max="5372" width="4.5703125" style="50" customWidth="1"/>
    <col min="5373" max="5373" width="7" style="50" customWidth="1"/>
    <col min="5374" max="5374" width="23.42578125" style="50" customWidth="1"/>
    <col min="5375" max="5375" width="4.7109375" style="50" customWidth="1"/>
    <col min="5376" max="5376" width="8.28515625" style="50" customWidth="1"/>
    <col min="5377" max="5377" width="2.28515625" style="50" customWidth="1"/>
    <col min="5378" max="5378" width="11.42578125" style="50"/>
    <col min="5379" max="5379" width="2.28515625" style="50" customWidth="1"/>
    <col min="5380" max="5627" width="11.42578125" style="50"/>
    <col min="5628" max="5628" width="4.5703125" style="50" customWidth="1"/>
    <col min="5629" max="5629" width="7" style="50" customWidth="1"/>
    <col min="5630" max="5630" width="23.42578125" style="50" customWidth="1"/>
    <col min="5631" max="5631" width="4.7109375" style="50" customWidth="1"/>
    <col min="5632" max="5632" width="8.28515625" style="50" customWidth="1"/>
    <col min="5633" max="5633" width="2.28515625" style="50" customWidth="1"/>
    <col min="5634" max="5634" width="11.42578125" style="50"/>
    <col min="5635" max="5635" width="2.28515625" style="50" customWidth="1"/>
    <col min="5636" max="5883" width="11.42578125" style="50"/>
    <col min="5884" max="5884" width="4.5703125" style="50" customWidth="1"/>
    <col min="5885" max="5885" width="7" style="50" customWidth="1"/>
    <col min="5886" max="5886" width="23.42578125" style="50" customWidth="1"/>
    <col min="5887" max="5887" width="4.7109375" style="50" customWidth="1"/>
    <col min="5888" max="5888" width="8.28515625" style="50" customWidth="1"/>
    <col min="5889" max="5889" width="2.28515625" style="50" customWidth="1"/>
    <col min="5890" max="5890" width="11.42578125" style="50"/>
    <col min="5891" max="5891" width="2.28515625" style="50" customWidth="1"/>
    <col min="5892" max="6139" width="11.42578125" style="50"/>
    <col min="6140" max="6140" width="4.5703125" style="50" customWidth="1"/>
    <col min="6141" max="6141" width="7" style="50" customWidth="1"/>
    <col min="6142" max="6142" width="23.42578125" style="50" customWidth="1"/>
    <col min="6143" max="6143" width="4.7109375" style="50" customWidth="1"/>
    <col min="6144" max="6144" width="8.28515625" style="50" customWidth="1"/>
    <col min="6145" max="6145" width="2.28515625" style="50" customWidth="1"/>
    <col min="6146" max="6146" width="11.42578125" style="50"/>
    <col min="6147" max="6147" width="2.28515625" style="50" customWidth="1"/>
    <col min="6148" max="6395" width="11.42578125" style="50"/>
    <col min="6396" max="6396" width="4.5703125" style="50" customWidth="1"/>
    <col min="6397" max="6397" width="7" style="50" customWidth="1"/>
    <col min="6398" max="6398" width="23.42578125" style="50" customWidth="1"/>
    <col min="6399" max="6399" width="4.7109375" style="50" customWidth="1"/>
    <col min="6400" max="6400" width="8.28515625" style="50" customWidth="1"/>
    <col min="6401" max="6401" width="2.28515625" style="50" customWidth="1"/>
    <col min="6402" max="6402" width="11.42578125" style="50"/>
    <col min="6403" max="6403" width="2.28515625" style="50" customWidth="1"/>
    <col min="6404" max="6651" width="11.42578125" style="50"/>
    <col min="6652" max="6652" width="4.5703125" style="50" customWidth="1"/>
    <col min="6653" max="6653" width="7" style="50" customWidth="1"/>
    <col min="6654" max="6654" width="23.42578125" style="50" customWidth="1"/>
    <col min="6655" max="6655" width="4.7109375" style="50" customWidth="1"/>
    <col min="6656" max="6656" width="8.28515625" style="50" customWidth="1"/>
    <col min="6657" max="6657" width="2.28515625" style="50" customWidth="1"/>
    <col min="6658" max="6658" width="11.42578125" style="50"/>
    <col min="6659" max="6659" width="2.28515625" style="50" customWidth="1"/>
    <col min="6660" max="6907" width="11.42578125" style="50"/>
    <col min="6908" max="6908" width="4.5703125" style="50" customWidth="1"/>
    <col min="6909" max="6909" width="7" style="50" customWidth="1"/>
    <col min="6910" max="6910" width="23.42578125" style="50" customWidth="1"/>
    <col min="6911" max="6911" width="4.7109375" style="50" customWidth="1"/>
    <col min="6912" max="6912" width="8.28515625" style="50" customWidth="1"/>
    <col min="6913" max="6913" width="2.28515625" style="50" customWidth="1"/>
    <col min="6914" max="6914" width="11.42578125" style="50"/>
    <col min="6915" max="6915" width="2.28515625" style="50" customWidth="1"/>
    <col min="6916" max="7163" width="11.42578125" style="50"/>
    <col min="7164" max="7164" width="4.5703125" style="50" customWidth="1"/>
    <col min="7165" max="7165" width="7" style="50" customWidth="1"/>
    <col min="7166" max="7166" width="23.42578125" style="50" customWidth="1"/>
    <col min="7167" max="7167" width="4.7109375" style="50" customWidth="1"/>
    <col min="7168" max="7168" width="8.28515625" style="50" customWidth="1"/>
    <col min="7169" max="7169" width="2.28515625" style="50" customWidth="1"/>
    <col min="7170" max="7170" width="11.42578125" style="50"/>
    <col min="7171" max="7171" width="2.28515625" style="50" customWidth="1"/>
    <col min="7172" max="7419" width="11.42578125" style="50"/>
    <col min="7420" max="7420" width="4.5703125" style="50" customWidth="1"/>
    <col min="7421" max="7421" width="7" style="50" customWidth="1"/>
    <col min="7422" max="7422" width="23.42578125" style="50" customWidth="1"/>
    <col min="7423" max="7423" width="4.7109375" style="50" customWidth="1"/>
    <col min="7424" max="7424" width="8.28515625" style="50" customWidth="1"/>
    <col min="7425" max="7425" width="2.28515625" style="50" customWidth="1"/>
    <col min="7426" max="7426" width="11.42578125" style="50"/>
    <col min="7427" max="7427" width="2.28515625" style="50" customWidth="1"/>
    <col min="7428" max="7675" width="11.42578125" style="50"/>
    <col min="7676" max="7676" width="4.5703125" style="50" customWidth="1"/>
    <col min="7677" max="7677" width="7" style="50" customWidth="1"/>
    <col min="7678" max="7678" width="23.42578125" style="50" customWidth="1"/>
    <col min="7679" max="7679" width="4.7109375" style="50" customWidth="1"/>
    <col min="7680" max="7680" width="8.28515625" style="50" customWidth="1"/>
    <col min="7681" max="7681" width="2.28515625" style="50" customWidth="1"/>
    <col min="7682" max="7682" width="11.42578125" style="50"/>
    <col min="7683" max="7683" width="2.28515625" style="50" customWidth="1"/>
    <col min="7684" max="7931" width="11.42578125" style="50"/>
    <col min="7932" max="7932" width="4.5703125" style="50" customWidth="1"/>
    <col min="7933" max="7933" width="7" style="50" customWidth="1"/>
    <col min="7934" max="7934" width="23.42578125" style="50" customWidth="1"/>
    <col min="7935" max="7935" width="4.7109375" style="50" customWidth="1"/>
    <col min="7936" max="7936" width="8.28515625" style="50" customWidth="1"/>
    <col min="7937" max="7937" width="2.28515625" style="50" customWidth="1"/>
    <col min="7938" max="7938" width="11.42578125" style="50"/>
    <col min="7939" max="7939" width="2.28515625" style="50" customWidth="1"/>
    <col min="7940" max="8187" width="11.42578125" style="50"/>
    <col min="8188" max="8188" width="4.5703125" style="50" customWidth="1"/>
    <col min="8189" max="8189" width="7" style="50" customWidth="1"/>
    <col min="8190" max="8190" width="23.42578125" style="50" customWidth="1"/>
    <col min="8191" max="8191" width="4.7109375" style="50" customWidth="1"/>
    <col min="8192" max="8192" width="8.28515625" style="50" customWidth="1"/>
    <col min="8193" max="8193" width="2.28515625" style="50" customWidth="1"/>
    <col min="8194" max="8194" width="11.42578125" style="50"/>
    <col min="8195" max="8195" width="2.28515625" style="50" customWidth="1"/>
    <col min="8196" max="8443" width="11.42578125" style="50"/>
    <col min="8444" max="8444" width="4.5703125" style="50" customWidth="1"/>
    <col min="8445" max="8445" width="7" style="50" customWidth="1"/>
    <col min="8446" max="8446" width="23.42578125" style="50" customWidth="1"/>
    <col min="8447" max="8447" width="4.7109375" style="50" customWidth="1"/>
    <col min="8448" max="8448" width="8.28515625" style="50" customWidth="1"/>
    <col min="8449" max="8449" width="2.28515625" style="50" customWidth="1"/>
    <col min="8450" max="8450" width="11.42578125" style="50"/>
    <col min="8451" max="8451" width="2.28515625" style="50" customWidth="1"/>
    <col min="8452" max="8699" width="11.42578125" style="50"/>
    <col min="8700" max="8700" width="4.5703125" style="50" customWidth="1"/>
    <col min="8701" max="8701" width="7" style="50" customWidth="1"/>
    <col min="8702" max="8702" width="23.42578125" style="50" customWidth="1"/>
    <col min="8703" max="8703" width="4.7109375" style="50" customWidth="1"/>
    <col min="8704" max="8704" width="8.28515625" style="50" customWidth="1"/>
    <col min="8705" max="8705" width="2.28515625" style="50" customWidth="1"/>
    <col min="8706" max="8706" width="11.42578125" style="50"/>
    <col min="8707" max="8707" width="2.28515625" style="50" customWidth="1"/>
    <col min="8708" max="8955" width="11.42578125" style="50"/>
    <col min="8956" max="8956" width="4.5703125" style="50" customWidth="1"/>
    <col min="8957" max="8957" width="7" style="50" customWidth="1"/>
    <col min="8958" max="8958" width="23.42578125" style="50" customWidth="1"/>
    <col min="8959" max="8959" width="4.7109375" style="50" customWidth="1"/>
    <col min="8960" max="8960" width="8.28515625" style="50" customWidth="1"/>
    <col min="8961" max="8961" width="2.28515625" style="50" customWidth="1"/>
    <col min="8962" max="8962" width="11.42578125" style="50"/>
    <col min="8963" max="8963" width="2.28515625" style="50" customWidth="1"/>
    <col min="8964" max="9211" width="11.42578125" style="50"/>
    <col min="9212" max="9212" width="4.5703125" style="50" customWidth="1"/>
    <col min="9213" max="9213" width="7" style="50" customWidth="1"/>
    <col min="9214" max="9214" width="23.42578125" style="50" customWidth="1"/>
    <col min="9215" max="9215" width="4.7109375" style="50" customWidth="1"/>
    <col min="9216" max="9216" width="8.28515625" style="50" customWidth="1"/>
    <col min="9217" max="9217" width="2.28515625" style="50" customWidth="1"/>
    <col min="9218" max="9218" width="11.42578125" style="50"/>
    <col min="9219" max="9219" width="2.28515625" style="50" customWidth="1"/>
    <col min="9220" max="9467" width="11.42578125" style="50"/>
    <col min="9468" max="9468" width="4.5703125" style="50" customWidth="1"/>
    <col min="9469" max="9469" width="7" style="50" customWidth="1"/>
    <col min="9470" max="9470" width="23.42578125" style="50" customWidth="1"/>
    <col min="9471" max="9471" width="4.7109375" style="50" customWidth="1"/>
    <col min="9472" max="9472" width="8.28515625" style="50" customWidth="1"/>
    <col min="9473" max="9473" width="2.28515625" style="50" customWidth="1"/>
    <col min="9474" max="9474" width="11.42578125" style="50"/>
    <col min="9475" max="9475" width="2.28515625" style="50" customWidth="1"/>
    <col min="9476" max="9723" width="11.42578125" style="50"/>
    <col min="9724" max="9724" width="4.5703125" style="50" customWidth="1"/>
    <col min="9725" max="9725" width="7" style="50" customWidth="1"/>
    <col min="9726" max="9726" width="23.42578125" style="50" customWidth="1"/>
    <col min="9727" max="9727" width="4.7109375" style="50" customWidth="1"/>
    <col min="9728" max="9728" width="8.28515625" style="50" customWidth="1"/>
    <col min="9729" max="9729" width="2.28515625" style="50" customWidth="1"/>
    <col min="9730" max="9730" width="11.42578125" style="50"/>
    <col min="9731" max="9731" width="2.28515625" style="50" customWidth="1"/>
    <col min="9732" max="9979" width="11.42578125" style="50"/>
    <col min="9980" max="9980" width="4.5703125" style="50" customWidth="1"/>
    <col min="9981" max="9981" width="7" style="50" customWidth="1"/>
    <col min="9982" max="9982" width="23.42578125" style="50" customWidth="1"/>
    <col min="9983" max="9983" width="4.7109375" style="50" customWidth="1"/>
    <col min="9984" max="9984" width="8.28515625" style="50" customWidth="1"/>
    <col min="9985" max="9985" width="2.28515625" style="50" customWidth="1"/>
    <col min="9986" max="9986" width="11.42578125" style="50"/>
    <col min="9987" max="9987" width="2.28515625" style="50" customWidth="1"/>
    <col min="9988" max="10235" width="11.42578125" style="50"/>
    <col min="10236" max="10236" width="4.5703125" style="50" customWidth="1"/>
    <col min="10237" max="10237" width="7" style="50" customWidth="1"/>
    <col min="10238" max="10238" width="23.42578125" style="50" customWidth="1"/>
    <col min="10239" max="10239" width="4.7109375" style="50" customWidth="1"/>
    <col min="10240" max="10240" width="8.28515625" style="50" customWidth="1"/>
    <col min="10241" max="10241" width="2.28515625" style="50" customWidth="1"/>
    <col min="10242" max="10242" width="11.42578125" style="50"/>
    <col min="10243" max="10243" width="2.28515625" style="50" customWidth="1"/>
    <col min="10244" max="10491" width="11.42578125" style="50"/>
    <col min="10492" max="10492" width="4.5703125" style="50" customWidth="1"/>
    <col min="10493" max="10493" width="7" style="50" customWidth="1"/>
    <col min="10494" max="10494" width="23.42578125" style="50" customWidth="1"/>
    <col min="10495" max="10495" width="4.7109375" style="50" customWidth="1"/>
    <col min="10496" max="10496" width="8.28515625" style="50" customWidth="1"/>
    <col min="10497" max="10497" width="2.28515625" style="50" customWidth="1"/>
    <col min="10498" max="10498" width="11.42578125" style="50"/>
    <col min="10499" max="10499" width="2.28515625" style="50" customWidth="1"/>
    <col min="10500" max="10747" width="11.42578125" style="50"/>
    <col min="10748" max="10748" width="4.5703125" style="50" customWidth="1"/>
    <col min="10749" max="10749" width="7" style="50" customWidth="1"/>
    <col min="10750" max="10750" width="23.42578125" style="50" customWidth="1"/>
    <col min="10751" max="10751" width="4.7109375" style="50" customWidth="1"/>
    <col min="10752" max="10752" width="8.28515625" style="50" customWidth="1"/>
    <col min="10753" max="10753" width="2.28515625" style="50" customWidth="1"/>
    <col min="10754" max="10754" width="11.42578125" style="50"/>
    <col min="10755" max="10755" width="2.28515625" style="50" customWidth="1"/>
    <col min="10756" max="11003" width="11.42578125" style="50"/>
    <col min="11004" max="11004" width="4.5703125" style="50" customWidth="1"/>
    <col min="11005" max="11005" width="7" style="50" customWidth="1"/>
    <col min="11006" max="11006" width="23.42578125" style="50" customWidth="1"/>
    <col min="11007" max="11007" width="4.7109375" style="50" customWidth="1"/>
    <col min="11008" max="11008" width="8.28515625" style="50" customWidth="1"/>
    <col min="11009" max="11009" width="2.28515625" style="50" customWidth="1"/>
    <col min="11010" max="11010" width="11.42578125" style="50"/>
    <col min="11011" max="11011" width="2.28515625" style="50" customWidth="1"/>
    <col min="11012" max="11259" width="11.42578125" style="50"/>
    <col min="11260" max="11260" width="4.5703125" style="50" customWidth="1"/>
    <col min="11261" max="11261" width="7" style="50" customWidth="1"/>
    <col min="11262" max="11262" width="23.42578125" style="50" customWidth="1"/>
    <col min="11263" max="11263" width="4.7109375" style="50" customWidth="1"/>
    <col min="11264" max="11264" width="8.28515625" style="50" customWidth="1"/>
    <col min="11265" max="11265" width="2.28515625" style="50" customWidth="1"/>
    <col min="11266" max="11266" width="11.42578125" style="50"/>
    <col min="11267" max="11267" width="2.28515625" style="50" customWidth="1"/>
    <col min="11268" max="11515" width="11.42578125" style="50"/>
    <col min="11516" max="11516" width="4.5703125" style="50" customWidth="1"/>
    <col min="11517" max="11517" width="7" style="50" customWidth="1"/>
    <col min="11518" max="11518" width="23.42578125" style="50" customWidth="1"/>
    <col min="11519" max="11519" width="4.7109375" style="50" customWidth="1"/>
    <col min="11520" max="11520" width="8.28515625" style="50" customWidth="1"/>
    <col min="11521" max="11521" width="2.28515625" style="50" customWidth="1"/>
    <col min="11522" max="11522" width="11.42578125" style="50"/>
    <col min="11523" max="11523" width="2.28515625" style="50" customWidth="1"/>
    <col min="11524" max="11771" width="11.42578125" style="50"/>
    <col min="11772" max="11772" width="4.5703125" style="50" customWidth="1"/>
    <col min="11773" max="11773" width="7" style="50" customWidth="1"/>
    <col min="11774" max="11774" width="23.42578125" style="50" customWidth="1"/>
    <col min="11775" max="11775" width="4.7109375" style="50" customWidth="1"/>
    <col min="11776" max="11776" width="8.28515625" style="50" customWidth="1"/>
    <col min="11777" max="11777" width="2.28515625" style="50" customWidth="1"/>
    <col min="11778" max="11778" width="11.42578125" style="50"/>
    <col min="11779" max="11779" width="2.28515625" style="50" customWidth="1"/>
    <col min="11780" max="12027" width="11.42578125" style="50"/>
    <col min="12028" max="12028" width="4.5703125" style="50" customWidth="1"/>
    <col min="12029" max="12029" width="7" style="50" customWidth="1"/>
    <col min="12030" max="12030" width="23.42578125" style="50" customWidth="1"/>
    <col min="12031" max="12031" width="4.7109375" style="50" customWidth="1"/>
    <col min="12032" max="12032" width="8.28515625" style="50" customWidth="1"/>
    <col min="12033" max="12033" width="2.28515625" style="50" customWidth="1"/>
    <col min="12034" max="12034" width="11.42578125" style="50"/>
    <col min="12035" max="12035" width="2.28515625" style="50" customWidth="1"/>
    <col min="12036" max="12283" width="11.42578125" style="50"/>
    <col min="12284" max="12284" width="4.5703125" style="50" customWidth="1"/>
    <col min="12285" max="12285" width="7" style="50" customWidth="1"/>
    <col min="12286" max="12286" width="23.42578125" style="50" customWidth="1"/>
    <col min="12287" max="12287" width="4.7109375" style="50" customWidth="1"/>
    <col min="12288" max="12288" width="8.28515625" style="50" customWidth="1"/>
    <col min="12289" max="12289" width="2.28515625" style="50" customWidth="1"/>
    <col min="12290" max="12290" width="11.42578125" style="50"/>
    <col min="12291" max="12291" width="2.28515625" style="50" customWidth="1"/>
    <col min="12292" max="12539" width="11.42578125" style="50"/>
    <col min="12540" max="12540" width="4.5703125" style="50" customWidth="1"/>
    <col min="12541" max="12541" width="7" style="50" customWidth="1"/>
    <col min="12542" max="12542" width="23.42578125" style="50" customWidth="1"/>
    <col min="12543" max="12543" width="4.7109375" style="50" customWidth="1"/>
    <col min="12544" max="12544" width="8.28515625" style="50" customWidth="1"/>
    <col min="12545" max="12545" width="2.28515625" style="50" customWidth="1"/>
    <col min="12546" max="12546" width="11.42578125" style="50"/>
    <col min="12547" max="12547" width="2.28515625" style="50" customWidth="1"/>
    <col min="12548" max="12795" width="11.42578125" style="50"/>
    <col min="12796" max="12796" width="4.5703125" style="50" customWidth="1"/>
    <col min="12797" max="12797" width="7" style="50" customWidth="1"/>
    <col min="12798" max="12798" width="23.42578125" style="50" customWidth="1"/>
    <col min="12799" max="12799" width="4.7109375" style="50" customWidth="1"/>
    <col min="12800" max="12800" width="8.28515625" style="50" customWidth="1"/>
    <col min="12801" max="12801" width="2.28515625" style="50" customWidth="1"/>
    <col min="12802" max="12802" width="11.42578125" style="50"/>
    <col min="12803" max="12803" width="2.28515625" style="50" customWidth="1"/>
    <col min="12804" max="13051" width="11.42578125" style="50"/>
    <col min="13052" max="13052" width="4.5703125" style="50" customWidth="1"/>
    <col min="13053" max="13053" width="7" style="50" customWidth="1"/>
    <col min="13054" max="13054" width="23.42578125" style="50" customWidth="1"/>
    <col min="13055" max="13055" width="4.7109375" style="50" customWidth="1"/>
    <col min="13056" max="13056" width="8.28515625" style="50" customWidth="1"/>
    <col min="13057" max="13057" width="2.28515625" style="50" customWidth="1"/>
    <col min="13058" max="13058" width="11.42578125" style="50"/>
    <col min="13059" max="13059" width="2.28515625" style="50" customWidth="1"/>
    <col min="13060" max="13307" width="11.42578125" style="50"/>
    <col min="13308" max="13308" width="4.5703125" style="50" customWidth="1"/>
    <col min="13309" max="13309" width="7" style="50" customWidth="1"/>
    <col min="13310" max="13310" width="23.42578125" style="50" customWidth="1"/>
    <col min="13311" max="13311" width="4.7109375" style="50" customWidth="1"/>
    <col min="13312" max="13312" width="8.28515625" style="50" customWidth="1"/>
    <col min="13313" max="13313" width="2.28515625" style="50" customWidth="1"/>
    <col min="13314" max="13314" width="11.42578125" style="50"/>
    <col min="13315" max="13315" width="2.28515625" style="50" customWidth="1"/>
    <col min="13316" max="13563" width="11.42578125" style="50"/>
    <col min="13564" max="13564" width="4.5703125" style="50" customWidth="1"/>
    <col min="13565" max="13565" width="7" style="50" customWidth="1"/>
    <col min="13566" max="13566" width="23.42578125" style="50" customWidth="1"/>
    <col min="13567" max="13567" width="4.7109375" style="50" customWidth="1"/>
    <col min="13568" max="13568" width="8.28515625" style="50" customWidth="1"/>
    <col min="13569" max="13569" width="2.28515625" style="50" customWidth="1"/>
    <col min="13570" max="13570" width="11.42578125" style="50"/>
    <col min="13571" max="13571" width="2.28515625" style="50" customWidth="1"/>
    <col min="13572" max="13819" width="11.42578125" style="50"/>
    <col min="13820" max="13820" width="4.5703125" style="50" customWidth="1"/>
    <col min="13821" max="13821" width="7" style="50" customWidth="1"/>
    <col min="13822" max="13822" width="23.42578125" style="50" customWidth="1"/>
    <col min="13823" max="13823" width="4.7109375" style="50" customWidth="1"/>
    <col min="13824" max="13824" width="8.28515625" style="50" customWidth="1"/>
    <col min="13825" max="13825" width="2.28515625" style="50" customWidth="1"/>
    <col min="13826" max="13826" width="11.42578125" style="50"/>
    <col min="13827" max="13827" width="2.28515625" style="50" customWidth="1"/>
    <col min="13828" max="14075" width="11.42578125" style="50"/>
    <col min="14076" max="14076" width="4.5703125" style="50" customWidth="1"/>
    <col min="14077" max="14077" width="7" style="50" customWidth="1"/>
    <col min="14078" max="14078" width="23.42578125" style="50" customWidth="1"/>
    <col min="14079" max="14079" width="4.7109375" style="50" customWidth="1"/>
    <col min="14080" max="14080" width="8.28515625" style="50" customWidth="1"/>
    <col min="14081" max="14081" width="2.28515625" style="50" customWidth="1"/>
    <col min="14082" max="14082" width="11.42578125" style="50"/>
    <col min="14083" max="14083" width="2.28515625" style="50" customWidth="1"/>
    <col min="14084" max="14331" width="11.42578125" style="50"/>
    <col min="14332" max="14332" width="4.5703125" style="50" customWidth="1"/>
    <col min="14333" max="14333" width="7" style="50" customWidth="1"/>
    <col min="14334" max="14334" width="23.42578125" style="50" customWidth="1"/>
    <col min="14335" max="14335" width="4.7109375" style="50" customWidth="1"/>
    <col min="14336" max="14336" width="8.28515625" style="50" customWidth="1"/>
    <col min="14337" max="14337" width="2.28515625" style="50" customWidth="1"/>
    <col min="14338" max="14338" width="11.42578125" style="50"/>
    <col min="14339" max="14339" width="2.28515625" style="50" customWidth="1"/>
    <col min="14340" max="14587" width="11.42578125" style="50"/>
    <col min="14588" max="14588" width="4.5703125" style="50" customWidth="1"/>
    <col min="14589" max="14589" width="7" style="50" customWidth="1"/>
    <col min="14590" max="14590" width="23.42578125" style="50" customWidth="1"/>
    <col min="14591" max="14591" width="4.7109375" style="50" customWidth="1"/>
    <col min="14592" max="14592" width="8.28515625" style="50" customWidth="1"/>
    <col min="14593" max="14593" width="2.28515625" style="50" customWidth="1"/>
    <col min="14594" max="14594" width="11.42578125" style="50"/>
    <col min="14595" max="14595" width="2.28515625" style="50" customWidth="1"/>
    <col min="14596" max="14843" width="11.42578125" style="50"/>
    <col min="14844" max="14844" width="4.5703125" style="50" customWidth="1"/>
    <col min="14845" max="14845" width="7" style="50" customWidth="1"/>
    <col min="14846" max="14846" width="23.42578125" style="50" customWidth="1"/>
    <col min="14847" max="14847" width="4.7109375" style="50" customWidth="1"/>
    <col min="14848" max="14848" width="8.28515625" style="50" customWidth="1"/>
    <col min="14849" max="14849" width="2.28515625" style="50" customWidth="1"/>
    <col min="14850" max="14850" width="11.42578125" style="50"/>
    <col min="14851" max="14851" width="2.28515625" style="50" customWidth="1"/>
    <col min="14852" max="15099" width="11.42578125" style="50"/>
    <col min="15100" max="15100" width="4.5703125" style="50" customWidth="1"/>
    <col min="15101" max="15101" width="7" style="50" customWidth="1"/>
    <col min="15102" max="15102" width="23.42578125" style="50" customWidth="1"/>
    <col min="15103" max="15103" width="4.7109375" style="50" customWidth="1"/>
    <col min="15104" max="15104" width="8.28515625" style="50" customWidth="1"/>
    <col min="15105" max="15105" width="2.28515625" style="50" customWidth="1"/>
    <col min="15106" max="15106" width="11.42578125" style="50"/>
    <col min="15107" max="15107" width="2.28515625" style="50" customWidth="1"/>
    <col min="15108" max="15355" width="11.42578125" style="50"/>
    <col min="15356" max="15356" width="4.5703125" style="50" customWidth="1"/>
    <col min="15357" max="15357" width="7" style="50" customWidth="1"/>
    <col min="15358" max="15358" width="23.42578125" style="50" customWidth="1"/>
    <col min="15359" max="15359" width="4.7109375" style="50" customWidth="1"/>
    <col min="15360" max="15360" width="8.28515625" style="50" customWidth="1"/>
    <col min="15361" max="15361" width="2.28515625" style="50" customWidth="1"/>
    <col min="15362" max="15362" width="11.42578125" style="50"/>
    <col min="15363" max="15363" width="2.28515625" style="50" customWidth="1"/>
    <col min="15364" max="15611" width="11.42578125" style="50"/>
    <col min="15612" max="15612" width="4.5703125" style="50" customWidth="1"/>
    <col min="15613" max="15613" width="7" style="50" customWidth="1"/>
    <col min="15614" max="15614" width="23.42578125" style="50" customWidth="1"/>
    <col min="15615" max="15615" width="4.7109375" style="50" customWidth="1"/>
    <col min="15616" max="15616" width="8.28515625" style="50" customWidth="1"/>
    <col min="15617" max="15617" width="2.28515625" style="50" customWidth="1"/>
    <col min="15618" max="15618" width="11.42578125" style="50"/>
    <col min="15619" max="15619" width="2.28515625" style="50" customWidth="1"/>
    <col min="15620" max="15867" width="11.42578125" style="50"/>
    <col min="15868" max="15868" width="4.5703125" style="50" customWidth="1"/>
    <col min="15869" max="15869" width="7" style="50" customWidth="1"/>
    <col min="15870" max="15870" width="23.42578125" style="50" customWidth="1"/>
    <col min="15871" max="15871" width="4.7109375" style="50" customWidth="1"/>
    <col min="15872" max="15872" width="8.28515625" style="50" customWidth="1"/>
    <col min="15873" max="15873" width="2.28515625" style="50" customWidth="1"/>
    <col min="15874" max="15874" width="11.42578125" style="50"/>
    <col min="15875" max="15875" width="2.28515625" style="50" customWidth="1"/>
    <col min="15876" max="16123" width="11.42578125" style="50"/>
    <col min="16124" max="16124" width="4.5703125" style="50" customWidth="1"/>
    <col min="16125" max="16125" width="7" style="50" customWidth="1"/>
    <col min="16126" max="16126" width="23.42578125" style="50" customWidth="1"/>
    <col min="16127" max="16127" width="4.7109375" style="50" customWidth="1"/>
    <col min="16128" max="16128" width="8.28515625" style="50" customWidth="1"/>
    <col min="16129" max="16129" width="2.28515625" style="50" customWidth="1"/>
    <col min="16130" max="16130" width="11.42578125" style="50"/>
    <col min="16131" max="16131" width="2.28515625" style="50" customWidth="1"/>
    <col min="16132" max="16384" width="11.42578125" style="50"/>
  </cols>
  <sheetData>
    <row r="1" spans="1:10" x14ac:dyDescent="0.25">
      <c r="A1" s="54" t="s">
        <v>314</v>
      </c>
    </row>
    <row r="2" spans="1:10" x14ac:dyDescent="0.25">
      <c r="A2" s="51"/>
      <c r="B2" s="52"/>
      <c r="C2" s="52"/>
      <c r="D2" s="52"/>
    </row>
    <row r="3" spans="1:10" s="54" customFormat="1" x14ac:dyDescent="0.25">
      <c r="A3" s="56" t="s">
        <v>241</v>
      </c>
      <c r="B3" s="57" t="s">
        <v>32</v>
      </c>
      <c r="C3" s="57"/>
      <c r="D3" s="57" t="s">
        <v>33</v>
      </c>
    </row>
    <row r="4" spans="1:10" s="49" customFormat="1" ht="15" x14ac:dyDescent="0.25">
      <c r="A4" s="37"/>
      <c r="B4" s="87"/>
      <c r="C4" s="87"/>
      <c r="D4" s="87"/>
    </row>
    <row r="5" spans="1:10" s="49" customFormat="1" ht="15" x14ac:dyDescent="0.25">
      <c r="A5" s="37" t="s">
        <v>231</v>
      </c>
      <c r="B5" s="39">
        <v>67964</v>
      </c>
      <c r="C5" s="39"/>
      <c r="D5" s="39">
        <v>67356</v>
      </c>
    </row>
    <row r="6" spans="1:10" s="49" customFormat="1" ht="15" x14ac:dyDescent="0.25">
      <c r="A6" s="37" t="s">
        <v>293</v>
      </c>
      <c r="B6" s="39">
        <v>680</v>
      </c>
      <c r="C6" s="39"/>
      <c r="D6" s="39">
        <v>648</v>
      </c>
    </row>
    <row r="7" spans="1:10" s="31" customFormat="1" ht="20.25" x14ac:dyDescent="0.3">
      <c r="A7" s="37" t="s">
        <v>232</v>
      </c>
      <c r="B7" s="42">
        <f>SUM(B5:B6)</f>
        <v>68644</v>
      </c>
      <c r="C7" s="39"/>
      <c r="D7" s="42">
        <f>SUM(D5:D6)</f>
        <v>68004</v>
      </c>
      <c r="E7" s="49"/>
      <c r="F7" s="49"/>
      <c r="G7" s="49"/>
      <c r="H7" s="49"/>
    </row>
    <row r="8" spans="1:10" s="31" customFormat="1" ht="20.25" x14ac:dyDescent="0.3">
      <c r="A8" s="37"/>
      <c r="B8" s="39"/>
      <c r="C8" s="39"/>
      <c r="D8" s="39"/>
      <c r="E8" s="49"/>
      <c r="F8" s="49"/>
      <c r="G8" s="49"/>
      <c r="H8" s="49"/>
    </row>
    <row r="9" spans="1:10" s="49" customFormat="1" ht="15" x14ac:dyDescent="0.25">
      <c r="A9" s="37" t="s">
        <v>125</v>
      </c>
      <c r="B9" s="39">
        <v>49197</v>
      </c>
      <c r="C9" s="39"/>
      <c r="D9" s="39">
        <v>49233</v>
      </c>
    </row>
    <row r="10" spans="1:10" s="49" customFormat="1" ht="15" x14ac:dyDescent="0.25">
      <c r="A10" s="37" t="s">
        <v>243</v>
      </c>
      <c r="B10" s="39">
        <v>10034</v>
      </c>
      <c r="C10" s="39"/>
      <c r="D10" s="39">
        <v>9798</v>
      </c>
    </row>
    <row r="11" spans="1:10" s="49" customFormat="1" ht="15" x14ac:dyDescent="0.25">
      <c r="A11" s="37" t="s">
        <v>233</v>
      </c>
      <c r="B11" s="39">
        <v>794</v>
      </c>
      <c r="C11" s="39"/>
      <c r="D11" s="39">
        <v>928</v>
      </c>
    </row>
    <row r="12" spans="1:10" s="49" customFormat="1" ht="15" x14ac:dyDescent="0.25">
      <c r="A12" s="37" t="s">
        <v>234</v>
      </c>
      <c r="B12" s="64">
        <v>7079</v>
      </c>
      <c r="C12" s="39"/>
      <c r="D12" s="64">
        <v>7066</v>
      </c>
    </row>
    <row r="13" spans="1:10" s="31" customFormat="1" ht="20.25" x14ac:dyDescent="0.3">
      <c r="A13" s="37" t="s">
        <v>235</v>
      </c>
      <c r="B13" s="64">
        <f>SUM(B9:B12)</f>
        <v>67104</v>
      </c>
      <c r="C13" s="39"/>
      <c r="D13" s="64">
        <f>SUM(D9:D12)</f>
        <v>67025</v>
      </c>
      <c r="E13" s="49"/>
      <c r="F13" s="49"/>
      <c r="G13" s="49"/>
      <c r="H13" s="49"/>
      <c r="I13" s="49"/>
      <c r="J13" s="49"/>
    </row>
    <row r="14" spans="1:10" s="31" customFormat="1" ht="20.25" x14ac:dyDescent="0.3">
      <c r="A14" s="38" t="s">
        <v>236</v>
      </c>
      <c r="B14" s="42">
        <f>B7-B13</f>
        <v>1540</v>
      </c>
      <c r="C14" s="39"/>
      <c r="D14" s="42">
        <f>D7-D13</f>
        <v>979</v>
      </c>
      <c r="E14" s="49"/>
      <c r="F14" s="49"/>
      <c r="G14" s="49"/>
      <c r="H14" s="49"/>
    </row>
    <row r="15" spans="1:10" s="88" customFormat="1" ht="11.25" x14ac:dyDescent="0.2">
      <c r="A15" s="44"/>
      <c r="B15" s="45"/>
      <c r="C15" s="45"/>
      <c r="D15" s="45"/>
    </row>
    <row r="16" spans="1:10" s="49" customFormat="1" ht="15" x14ac:dyDescent="0.25">
      <c r="A16" s="37" t="s">
        <v>294</v>
      </c>
      <c r="B16" s="39">
        <v>32</v>
      </c>
      <c r="C16" s="39"/>
      <c r="D16" s="39">
        <v>21</v>
      </c>
    </row>
    <row r="17" spans="1:9" s="49" customFormat="1" ht="15" x14ac:dyDescent="0.25">
      <c r="A17" s="37" t="s">
        <v>244</v>
      </c>
      <c r="B17" s="39">
        <v>134</v>
      </c>
      <c r="C17" s="39"/>
      <c r="D17" s="39">
        <v>100</v>
      </c>
    </row>
    <row r="18" spans="1:9" s="31" customFormat="1" ht="20.25" x14ac:dyDescent="0.3">
      <c r="A18" s="49" t="s">
        <v>237</v>
      </c>
      <c r="B18" s="42">
        <f>B16-B17</f>
        <v>-102</v>
      </c>
      <c r="C18" s="39"/>
      <c r="D18" s="42">
        <f>D16-D17</f>
        <v>-79</v>
      </c>
      <c r="E18" s="49"/>
      <c r="F18" s="49"/>
      <c r="G18" s="49"/>
      <c r="H18" s="49"/>
      <c r="I18" s="49"/>
    </row>
    <row r="19" spans="1:9" s="89" customFormat="1" ht="8.25" x14ac:dyDescent="0.15">
      <c r="A19" s="34"/>
      <c r="B19" s="35"/>
      <c r="C19" s="35"/>
      <c r="D19" s="35"/>
    </row>
    <row r="20" spans="1:9" s="49" customFormat="1" ht="15" x14ac:dyDescent="0.25">
      <c r="A20" s="38" t="s">
        <v>238</v>
      </c>
      <c r="B20" s="39">
        <f>B14+B18</f>
        <v>1438</v>
      </c>
      <c r="C20" s="39">
        <f>C14+C18</f>
        <v>0</v>
      </c>
      <c r="D20" s="39">
        <f>D14+D18</f>
        <v>900</v>
      </c>
    </row>
    <row r="21" spans="1:9" s="89" customFormat="1" ht="8.25" x14ac:dyDescent="0.15">
      <c r="A21" s="47"/>
      <c r="B21" s="35"/>
      <c r="C21" s="35"/>
      <c r="D21" s="35"/>
    </row>
    <row r="22" spans="1:9" s="49" customFormat="1" ht="15" x14ac:dyDescent="0.25">
      <c r="A22" s="37" t="s">
        <v>239</v>
      </c>
      <c r="B22" s="39">
        <v>424</v>
      </c>
      <c r="C22" s="39"/>
      <c r="D22" s="39">
        <v>215</v>
      </c>
    </row>
    <row r="23" spans="1:9" s="89" customFormat="1" ht="8.25" x14ac:dyDescent="0.15">
      <c r="A23" s="34"/>
      <c r="B23" s="35"/>
      <c r="C23" s="35"/>
      <c r="D23" s="35"/>
    </row>
    <row r="24" spans="1:9" s="89" customFormat="1" ht="8.25" x14ac:dyDescent="0.15">
      <c r="A24" s="34"/>
      <c r="B24" s="35"/>
      <c r="C24" s="35"/>
      <c r="D24" s="35"/>
    </row>
    <row r="25" spans="1:9" s="49" customFormat="1" ht="15" x14ac:dyDescent="0.25">
      <c r="A25" s="38" t="s">
        <v>240</v>
      </c>
      <c r="B25" s="64">
        <f>B20-B22</f>
        <v>1014</v>
      </c>
      <c r="C25" s="39"/>
      <c r="D25" s="64">
        <f>D20-D22</f>
        <v>685</v>
      </c>
    </row>
    <row r="26" spans="1:9" s="49" customFormat="1" ht="15" x14ac:dyDescent="0.25">
      <c r="A26" s="37"/>
      <c r="B26" s="39"/>
      <c r="C26" s="39"/>
      <c r="D26" s="39"/>
    </row>
    <row r="27" spans="1:9" s="49" customFormat="1" ht="15" x14ac:dyDescent="0.25">
      <c r="A27" s="41" t="s">
        <v>295</v>
      </c>
      <c r="B27" s="39"/>
      <c r="C27" s="39"/>
      <c r="D27" s="39"/>
    </row>
    <row r="28" spans="1:9" s="49" customFormat="1" ht="15" x14ac:dyDescent="0.25">
      <c r="A28" s="41" t="s">
        <v>296</v>
      </c>
      <c r="B28" s="39"/>
      <c r="C28" s="39"/>
      <c r="D28" s="39"/>
    </row>
    <row r="29" spans="1:9" s="49" customFormat="1" ht="15" x14ac:dyDescent="0.25">
      <c r="A29" s="37" t="s">
        <v>297</v>
      </c>
      <c r="B29" s="39">
        <v>1000</v>
      </c>
      <c r="C29" s="39"/>
      <c r="D29" s="39">
        <v>500</v>
      </c>
    </row>
    <row r="30" spans="1:9" s="49" customFormat="1" ht="15" x14ac:dyDescent="0.25">
      <c r="A30" s="37" t="s">
        <v>534</v>
      </c>
      <c r="B30" s="39">
        <v>14</v>
      </c>
      <c r="C30" s="39"/>
      <c r="D30" s="39">
        <v>185</v>
      </c>
    </row>
    <row r="31" spans="1:9" s="31" customFormat="1" ht="20.25" x14ac:dyDescent="0.3">
      <c r="A31" s="37" t="s">
        <v>24</v>
      </c>
      <c r="B31" s="42">
        <f>SUM(B29:B30)</f>
        <v>1014</v>
      </c>
      <c r="C31" s="39"/>
      <c r="D31" s="42">
        <f>SUM(D29:D30)</f>
        <v>685</v>
      </c>
      <c r="E31" s="49"/>
      <c r="F31" s="49"/>
      <c r="G31" s="49"/>
      <c r="H31" s="49"/>
    </row>
    <row r="32" spans="1:9" s="49" customFormat="1" ht="15" x14ac:dyDescent="0.25">
      <c r="B32" s="72"/>
      <c r="C32" s="72"/>
      <c r="D32" s="72"/>
    </row>
    <row r="33" spans="1:11" s="49" customFormat="1" ht="15" x14ac:dyDescent="0.25">
      <c r="B33" s="72"/>
      <c r="C33" s="72"/>
      <c r="D33" s="72"/>
    </row>
    <row r="34" spans="1:11" s="49" customFormat="1" ht="15" x14ac:dyDescent="0.25">
      <c r="A34" s="49" t="s">
        <v>232</v>
      </c>
      <c r="B34" s="72">
        <f>B7</f>
        <v>68644</v>
      </c>
      <c r="C34" s="72"/>
      <c r="D34" s="72">
        <f t="shared" ref="D34" si="0">D7</f>
        <v>68004</v>
      </c>
      <c r="F34" s="80"/>
    </row>
    <row r="35" spans="1:11" s="49" customFormat="1" ht="15" x14ac:dyDescent="0.25">
      <c r="A35" s="49" t="s">
        <v>299</v>
      </c>
      <c r="B35" s="64">
        <f>B9</f>
        <v>49197</v>
      </c>
      <c r="C35" s="72"/>
      <c r="D35" s="64">
        <f t="shared" ref="D35" si="1">D9</f>
        <v>49233</v>
      </c>
    </row>
    <row r="36" spans="1:11" s="31" customFormat="1" ht="20.25" x14ac:dyDescent="0.3">
      <c r="A36" s="49" t="s">
        <v>300</v>
      </c>
      <c r="B36" s="42">
        <f>B34-B35</f>
        <v>19447</v>
      </c>
      <c r="C36" s="72"/>
      <c r="D36" s="42">
        <f t="shared" ref="D36" si="2">D34-D35</f>
        <v>18771</v>
      </c>
      <c r="E36" s="49"/>
      <c r="F36" s="49"/>
      <c r="G36" s="49"/>
      <c r="H36" s="49"/>
      <c r="I36" s="49"/>
      <c r="J36" s="49"/>
      <c r="K36" s="49"/>
    </row>
    <row r="37" spans="1:11" s="49" customFormat="1" ht="15" x14ac:dyDescent="0.25">
      <c r="B37" s="72"/>
      <c r="C37" s="72"/>
      <c r="D37" s="72"/>
    </row>
    <row r="38" spans="1:11" s="49" customFormat="1" ht="15" x14ac:dyDescent="0.25">
      <c r="A38" s="130" t="s">
        <v>285</v>
      </c>
      <c r="B38" s="72"/>
      <c r="C38" s="72"/>
      <c r="D38" s="72"/>
    </row>
    <row r="39" spans="1:11" s="49" customFormat="1" ht="15" x14ac:dyDescent="0.25">
      <c r="A39" s="37" t="s">
        <v>243</v>
      </c>
      <c r="B39" s="72">
        <f>B10</f>
        <v>10034</v>
      </c>
      <c r="C39" s="72">
        <f t="shared" ref="C39:D39" si="3">C10</f>
        <v>0</v>
      </c>
      <c r="D39" s="72">
        <f t="shared" si="3"/>
        <v>9798</v>
      </c>
    </row>
    <row r="40" spans="1:11" s="49" customFormat="1" ht="15" x14ac:dyDescent="0.25">
      <c r="A40" s="37" t="s">
        <v>233</v>
      </c>
      <c r="B40" s="72">
        <f>B11</f>
        <v>794</v>
      </c>
      <c r="C40" s="72">
        <f t="shared" ref="C40:D40" si="4">C11</f>
        <v>0</v>
      </c>
      <c r="D40" s="72">
        <f t="shared" si="4"/>
        <v>928</v>
      </c>
    </row>
    <row r="41" spans="1:11" s="49" customFormat="1" ht="15" x14ac:dyDescent="0.25">
      <c r="A41" s="37" t="s">
        <v>234</v>
      </c>
      <c r="B41" s="72">
        <f>B12</f>
        <v>7079</v>
      </c>
      <c r="C41" s="72">
        <f t="shared" ref="C41:D41" si="5">C12</f>
        <v>0</v>
      </c>
      <c r="D41" s="72">
        <f t="shared" si="5"/>
        <v>7066</v>
      </c>
    </row>
    <row r="42" spans="1:11" s="49" customFormat="1" ht="15" x14ac:dyDescent="0.25">
      <c r="A42" s="49" t="s">
        <v>244</v>
      </c>
      <c r="B42" s="72">
        <f>B17</f>
        <v>134</v>
      </c>
      <c r="C42" s="72">
        <f t="shared" ref="C42:D42" si="6">C17</f>
        <v>0</v>
      </c>
      <c r="D42" s="72">
        <f t="shared" si="6"/>
        <v>100</v>
      </c>
    </row>
    <row r="43" spans="1:11" s="31" customFormat="1" ht="20.25" x14ac:dyDescent="0.3">
      <c r="A43" s="49" t="s">
        <v>287</v>
      </c>
      <c r="B43" s="42">
        <f>SUM(B39:B42)</f>
        <v>18041</v>
      </c>
      <c r="C43" s="72"/>
      <c r="D43" s="42">
        <f>SUM(D39:D42)</f>
        <v>17892</v>
      </c>
      <c r="E43" s="49"/>
      <c r="F43" s="72"/>
      <c r="G43" s="49"/>
      <c r="H43" s="80"/>
      <c r="I43" s="49"/>
      <c r="J43" s="49"/>
    </row>
    <row r="44" spans="1:11" s="49" customFormat="1" ht="15" x14ac:dyDescent="0.25">
      <c r="B44" s="72"/>
      <c r="C44" s="72"/>
      <c r="D44" s="72"/>
    </row>
    <row r="45" spans="1:11" s="49" customFormat="1" ht="15" x14ac:dyDescent="0.25">
      <c r="A45" s="49" t="s">
        <v>288</v>
      </c>
      <c r="B45" s="64">
        <f>B36-B43</f>
        <v>1406</v>
      </c>
      <c r="C45" s="72">
        <f t="shared" ref="C45:D45" si="7">C36-C43</f>
        <v>0</v>
      </c>
      <c r="D45" s="64">
        <f t="shared" si="7"/>
        <v>879</v>
      </c>
    </row>
    <row r="46" spans="1:11" s="49" customFormat="1" ht="15" x14ac:dyDescent="0.25">
      <c r="B46" s="72"/>
      <c r="C46" s="72"/>
      <c r="D46" s="72"/>
    </row>
    <row r="47" spans="1:11" s="49" customFormat="1" ht="15" x14ac:dyDescent="0.25">
      <c r="A47" s="49" t="s">
        <v>289</v>
      </c>
      <c r="B47" s="80">
        <f>B36/B34</f>
        <v>0.2833022551133384</v>
      </c>
      <c r="C47" s="80"/>
      <c r="D47" s="80">
        <f t="shared" ref="D47" si="8">D36/D34</f>
        <v>0.27602788071289924</v>
      </c>
    </row>
    <row r="48" spans="1:11" s="49" customFormat="1" ht="15" x14ac:dyDescent="0.25">
      <c r="A48" s="49" t="s">
        <v>290</v>
      </c>
      <c r="B48" s="72">
        <f>B43/B47</f>
        <v>63681.102689360821</v>
      </c>
      <c r="C48" s="72"/>
      <c r="D48" s="72">
        <f t="shared" ref="D48" si="9">D43/D47</f>
        <v>64819.539076234614</v>
      </c>
    </row>
    <row r="49" spans="1:4" s="49" customFormat="1" ht="15" x14ac:dyDescent="0.25">
      <c r="A49" s="49" t="s">
        <v>291</v>
      </c>
      <c r="B49" s="72">
        <f>B34-B48</f>
        <v>4962.8973106391786</v>
      </c>
      <c r="C49" s="72"/>
      <c r="D49" s="72">
        <f t="shared" ref="D49" si="10">D34-D48</f>
        <v>3184.4609237653858</v>
      </c>
    </row>
    <row r="50" spans="1:4" s="49" customFormat="1" ht="15" x14ac:dyDescent="0.25">
      <c r="A50" s="49" t="s">
        <v>292</v>
      </c>
      <c r="B50" s="80">
        <f>B49/B34</f>
        <v>7.229906926518237E-2</v>
      </c>
      <c r="C50" s="72"/>
      <c r="D50" s="80">
        <f t="shared" ref="D50" si="11">D49/D34</f>
        <v>4.6827553140482703E-2</v>
      </c>
    </row>
    <row r="51" spans="1:4" s="49" customFormat="1" ht="15" x14ac:dyDescent="0.25">
      <c r="B51" s="72"/>
      <c r="C51" s="72"/>
      <c r="D51" s="72"/>
    </row>
    <row r="52" spans="1:4" s="49" customFormat="1" ht="15" x14ac:dyDescent="0.25">
      <c r="A52" s="49" t="s">
        <v>301</v>
      </c>
      <c r="B52" s="72"/>
      <c r="C52" s="72"/>
      <c r="D52" s="72"/>
    </row>
    <row r="53" spans="1:4" s="49" customFormat="1" ht="15" x14ac:dyDescent="0.25">
      <c r="A53" s="49" t="s">
        <v>302</v>
      </c>
      <c r="B53" s="72"/>
      <c r="C53" s="72"/>
      <c r="D53" s="72"/>
    </row>
    <row r="54" spans="1:4" s="49" customFormat="1" ht="15" x14ac:dyDescent="0.25">
      <c r="A54" s="49" t="s">
        <v>303</v>
      </c>
      <c r="B54" s="72"/>
      <c r="C54" s="72"/>
      <c r="D54" s="72"/>
    </row>
    <row r="55" spans="1:4" s="49" customFormat="1" ht="15" x14ac:dyDescent="0.25">
      <c r="B55" s="72"/>
      <c r="C55" s="72"/>
      <c r="D55" s="72"/>
    </row>
    <row r="56" spans="1:4" s="49" customFormat="1" ht="15" x14ac:dyDescent="0.25">
      <c r="A56" s="49" t="s">
        <v>304</v>
      </c>
      <c r="B56" s="72"/>
      <c r="C56" s="72"/>
      <c r="D56" s="72"/>
    </row>
    <row r="57" spans="1:4" s="49" customFormat="1" ht="15" x14ac:dyDescent="0.25">
      <c r="A57" s="49" t="s">
        <v>305</v>
      </c>
      <c r="B57" s="72"/>
      <c r="C57" s="72"/>
      <c r="D57" s="72"/>
    </row>
    <row r="58" spans="1:4" s="49" customFormat="1" ht="15" x14ac:dyDescent="0.25">
      <c r="A58" s="49" t="s">
        <v>306</v>
      </c>
      <c r="B58" s="72"/>
      <c r="C58" s="72"/>
      <c r="D58" s="72"/>
    </row>
    <row r="59" spans="1:4" x14ac:dyDescent="0.25">
      <c r="A59" s="50" t="s">
        <v>307</v>
      </c>
    </row>
    <row r="61" spans="1:4" x14ac:dyDescent="0.25">
      <c r="A61" s="50" t="s">
        <v>308</v>
      </c>
    </row>
    <row r="62" spans="1:4" x14ac:dyDescent="0.25">
      <c r="A62" s="50" t="s">
        <v>309</v>
      </c>
    </row>
    <row r="63" spans="1:4" x14ac:dyDescent="0.25">
      <c r="A63" s="50" t="s">
        <v>310</v>
      </c>
    </row>
    <row r="65" spans="1:4" x14ac:dyDescent="0.25">
      <c r="A65" s="37" t="s">
        <v>243</v>
      </c>
      <c r="B65" s="59">
        <f>B39/D39</f>
        <v>1.0240865482751582</v>
      </c>
      <c r="D65" s="59">
        <f>D39/D39</f>
        <v>1</v>
      </c>
    </row>
    <row r="66" spans="1:4" x14ac:dyDescent="0.25">
      <c r="A66" s="37" t="s">
        <v>233</v>
      </c>
      <c r="B66" s="59">
        <f t="shared" ref="B66:B68" si="12">B40/D40</f>
        <v>0.8556034482758621</v>
      </c>
      <c r="D66" s="59">
        <f t="shared" ref="D66:D68" si="13">D40/D40</f>
        <v>1</v>
      </c>
    </row>
    <row r="67" spans="1:4" x14ac:dyDescent="0.25">
      <c r="A67" s="37" t="s">
        <v>234</v>
      </c>
      <c r="B67" s="59">
        <f t="shared" si="12"/>
        <v>1.0018397962071894</v>
      </c>
      <c r="D67" s="59">
        <f t="shared" si="13"/>
        <v>1</v>
      </c>
    </row>
    <row r="68" spans="1:4" x14ac:dyDescent="0.25">
      <c r="A68" s="49" t="s">
        <v>412</v>
      </c>
      <c r="B68" s="59">
        <f t="shared" si="12"/>
        <v>1.34</v>
      </c>
      <c r="C68" s="59"/>
      <c r="D68" s="59">
        <f t="shared" si="13"/>
        <v>1</v>
      </c>
    </row>
    <row r="69" spans="1:4" x14ac:dyDescent="0.25">
      <c r="A69" s="49"/>
      <c r="B69" s="59"/>
    </row>
    <row r="70" spans="1:4" x14ac:dyDescent="0.25">
      <c r="A70" s="50" t="s">
        <v>311</v>
      </c>
    </row>
    <row r="71" spans="1:4" x14ac:dyDescent="0.25">
      <c r="A71" s="50" t="s">
        <v>312</v>
      </c>
    </row>
    <row r="72" spans="1:4" x14ac:dyDescent="0.25">
      <c r="A72" s="50" t="s">
        <v>413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showGridLines="0" showZeros="0" workbookViewId="0"/>
  </sheetViews>
  <sheetFormatPr baseColWidth="10" defaultRowHeight="15.75" x14ac:dyDescent="0.25"/>
  <cols>
    <col min="1" max="1" width="4.5703125" style="50" customWidth="1"/>
    <col min="2" max="2" width="7" style="50" customWidth="1"/>
    <col min="3" max="3" width="26" style="50" customWidth="1"/>
    <col min="4" max="4" width="9.140625" style="60" customWidth="1"/>
    <col min="5" max="5" width="7.7109375" style="50" customWidth="1"/>
    <col min="6" max="251" width="11.42578125" style="50"/>
    <col min="252" max="252" width="4.5703125" style="50" customWidth="1"/>
    <col min="253" max="253" width="7" style="50" customWidth="1"/>
    <col min="254" max="254" width="23.42578125" style="50" customWidth="1"/>
    <col min="255" max="255" width="4.7109375" style="50" customWidth="1"/>
    <col min="256" max="256" width="8.28515625" style="50" customWidth="1"/>
    <col min="257" max="257" width="2.28515625" style="50" customWidth="1"/>
    <col min="258" max="258" width="11.42578125" style="50"/>
    <col min="259" max="259" width="2.28515625" style="50" customWidth="1"/>
    <col min="260" max="507" width="11.42578125" style="50"/>
    <col min="508" max="508" width="4.5703125" style="50" customWidth="1"/>
    <col min="509" max="509" width="7" style="50" customWidth="1"/>
    <col min="510" max="510" width="23.42578125" style="50" customWidth="1"/>
    <col min="511" max="511" width="4.7109375" style="50" customWidth="1"/>
    <col min="512" max="512" width="8.28515625" style="50" customWidth="1"/>
    <col min="513" max="513" width="2.28515625" style="50" customWidth="1"/>
    <col min="514" max="514" width="11.42578125" style="50"/>
    <col min="515" max="515" width="2.28515625" style="50" customWidth="1"/>
    <col min="516" max="763" width="11.42578125" style="50"/>
    <col min="764" max="764" width="4.5703125" style="50" customWidth="1"/>
    <col min="765" max="765" width="7" style="50" customWidth="1"/>
    <col min="766" max="766" width="23.42578125" style="50" customWidth="1"/>
    <col min="767" max="767" width="4.7109375" style="50" customWidth="1"/>
    <col min="768" max="768" width="8.28515625" style="50" customWidth="1"/>
    <col min="769" max="769" width="2.28515625" style="50" customWidth="1"/>
    <col min="770" max="770" width="11.42578125" style="50"/>
    <col min="771" max="771" width="2.28515625" style="50" customWidth="1"/>
    <col min="772" max="1019" width="11.42578125" style="50"/>
    <col min="1020" max="1020" width="4.5703125" style="50" customWidth="1"/>
    <col min="1021" max="1021" width="7" style="50" customWidth="1"/>
    <col min="1022" max="1022" width="23.42578125" style="50" customWidth="1"/>
    <col min="1023" max="1023" width="4.7109375" style="50" customWidth="1"/>
    <col min="1024" max="1024" width="8.28515625" style="50" customWidth="1"/>
    <col min="1025" max="1025" width="2.28515625" style="50" customWidth="1"/>
    <col min="1026" max="1026" width="11.42578125" style="50"/>
    <col min="1027" max="1027" width="2.28515625" style="50" customWidth="1"/>
    <col min="1028" max="1275" width="11.42578125" style="50"/>
    <col min="1276" max="1276" width="4.5703125" style="50" customWidth="1"/>
    <col min="1277" max="1277" width="7" style="50" customWidth="1"/>
    <col min="1278" max="1278" width="23.42578125" style="50" customWidth="1"/>
    <col min="1279" max="1279" width="4.7109375" style="50" customWidth="1"/>
    <col min="1280" max="1280" width="8.28515625" style="50" customWidth="1"/>
    <col min="1281" max="1281" width="2.28515625" style="50" customWidth="1"/>
    <col min="1282" max="1282" width="11.42578125" style="50"/>
    <col min="1283" max="1283" width="2.28515625" style="50" customWidth="1"/>
    <col min="1284" max="1531" width="11.42578125" style="50"/>
    <col min="1532" max="1532" width="4.5703125" style="50" customWidth="1"/>
    <col min="1533" max="1533" width="7" style="50" customWidth="1"/>
    <col min="1534" max="1534" width="23.42578125" style="50" customWidth="1"/>
    <col min="1535" max="1535" width="4.7109375" style="50" customWidth="1"/>
    <col min="1536" max="1536" width="8.28515625" style="50" customWidth="1"/>
    <col min="1537" max="1537" width="2.28515625" style="50" customWidth="1"/>
    <col min="1538" max="1538" width="11.42578125" style="50"/>
    <col min="1539" max="1539" width="2.28515625" style="50" customWidth="1"/>
    <col min="1540" max="1787" width="11.42578125" style="50"/>
    <col min="1788" max="1788" width="4.5703125" style="50" customWidth="1"/>
    <col min="1789" max="1789" width="7" style="50" customWidth="1"/>
    <col min="1790" max="1790" width="23.42578125" style="50" customWidth="1"/>
    <col min="1791" max="1791" width="4.7109375" style="50" customWidth="1"/>
    <col min="1792" max="1792" width="8.28515625" style="50" customWidth="1"/>
    <col min="1793" max="1793" width="2.28515625" style="50" customWidth="1"/>
    <col min="1794" max="1794" width="11.42578125" style="50"/>
    <col min="1795" max="1795" width="2.28515625" style="50" customWidth="1"/>
    <col min="1796" max="2043" width="11.42578125" style="50"/>
    <col min="2044" max="2044" width="4.5703125" style="50" customWidth="1"/>
    <col min="2045" max="2045" width="7" style="50" customWidth="1"/>
    <col min="2046" max="2046" width="23.42578125" style="50" customWidth="1"/>
    <col min="2047" max="2047" width="4.7109375" style="50" customWidth="1"/>
    <col min="2048" max="2048" width="8.28515625" style="50" customWidth="1"/>
    <col min="2049" max="2049" width="2.28515625" style="50" customWidth="1"/>
    <col min="2050" max="2050" width="11.42578125" style="50"/>
    <col min="2051" max="2051" width="2.28515625" style="50" customWidth="1"/>
    <col min="2052" max="2299" width="11.42578125" style="50"/>
    <col min="2300" max="2300" width="4.5703125" style="50" customWidth="1"/>
    <col min="2301" max="2301" width="7" style="50" customWidth="1"/>
    <col min="2302" max="2302" width="23.42578125" style="50" customWidth="1"/>
    <col min="2303" max="2303" width="4.7109375" style="50" customWidth="1"/>
    <col min="2304" max="2304" width="8.28515625" style="50" customWidth="1"/>
    <col min="2305" max="2305" width="2.28515625" style="50" customWidth="1"/>
    <col min="2306" max="2306" width="11.42578125" style="50"/>
    <col min="2307" max="2307" width="2.28515625" style="50" customWidth="1"/>
    <col min="2308" max="2555" width="11.42578125" style="50"/>
    <col min="2556" max="2556" width="4.5703125" style="50" customWidth="1"/>
    <col min="2557" max="2557" width="7" style="50" customWidth="1"/>
    <col min="2558" max="2558" width="23.42578125" style="50" customWidth="1"/>
    <col min="2559" max="2559" width="4.7109375" style="50" customWidth="1"/>
    <col min="2560" max="2560" width="8.28515625" style="50" customWidth="1"/>
    <col min="2561" max="2561" width="2.28515625" style="50" customWidth="1"/>
    <col min="2562" max="2562" width="11.42578125" style="50"/>
    <col min="2563" max="2563" width="2.28515625" style="50" customWidth="1"/>
    <col min="2564" max="2811" width="11.42578125" style="50"/>
    <col min="2812" max="2812" width="4.5703125" style="50" customWidth="1"/>
    <col min="2813" max="2813" width="7" style="50" customWidth="1"/>
    <col min="2814" max="2814" width="23.42578125" style="50" customWidth="1"/>
    <col min="2815" max="2815" width="4.7109375" style="50" customWidth="1"/>
    <col min="2816" max="2816" width="8.28515625" style="50" customWidth="1"/>
    <col min="2817" max="2817" width="2.28515625" style="50" customWidth="1"/>
    <col min="2818" max="2818" width="11.42578125" style="50"/>
    <col min="2819" max="2819" width="2.28515625" style="50" customWidth="1"/>
    <col min="2820" max="3067" width="11.42578125" style="50"/>
    <col min="3068" max="3068" width="4.5703125" style="50" customWidth="1"/>
    <col min="3069" max="3069" width="7" style="50" customWidth="1"/>
    <col min="3070" max="3070" width="23.42578125" style="50" customWidth="1"/>
    <col min="3071" max="3071" width="4.7109375" style="50" customWidth="1"/>
    <col min="3072" max="3072" width="8.28515625" style="50" customWidth="1"/>
    <col min="3073" max="3073" width="2.28515625" style="50" customWidth="1"/>
    <col min="3074" max="3074" width="11.42578125" style="50"/>
    <col min="3075" max="3075" width="2.28515625" style="50" customWidth="1"/>
    <col min="3076" max="3323" width="11.42578125" style="50"/>
    <col min="3324" max="3324" width="4.5703125" style="50" customWidth="1"/>
    <col min="3325" max="3325" width="7" style="50" customWidth="1"/>
    <col min="3326" max="3326" width="23.42578125" style="50" customWidth="1"/>
    <col min="3327" max="3327" width="4.7109375" style="50" customWidth="1"/>
    <col min="3328" max="3328" width="8.28515625" style="50" customWidth="1"/>
    <col min="3329" max="3329" width="2.28515625" style="50" customWidth="1"/>
    <col min="3330" max="3330" width="11.42578125" style="50"/>
    <col min="3331" max="3331" width="2.28515625" style="50" customWidth="1"/>
    <col min="3332" max="3579" width="11.42578125" style="50"/>
    <col min="3580" max="3580" width="4.5703125" style="50" customWidth="1"/>
    <col min="3581" max="3581" width="7" style="50" customWidth="1"/>
    <col min="3582" max="3582" width="23.42578125" style="50" customWidth="1"/>
    <col min="3583" max="3583" width="4.7109375" style="50" customWidth="1"/>
    <col min="3584" max="3584" width="8.28515625" style="50" customWidth="1"/>
    <col min="3585" max="3585" width="2.28515625" style="50" customWidth="1"/>
    <col min="3586" max="3586" width="11.42578125" style="50"/>
    <col min="3587" max="3587" width="2.28515625" style="50" customWidth="1"/>
    <col min="3588" max="3835" width="11.42578125" style="50"/>
    <col min="3836" max="3836" width="4.5703125" style="50" customWidth="1"/>
    <col min="3837" max="3837" width="7" style="50" customWidth="1"/>
    <col min="3838" max="3838" width="23.42578125" style="50" customWidth="1"/>
    <col min="3839" max="3839" width="4.7109375" style="50" customWidth="1"/>
    <col min="3840" max="3840" width="8.28515625" style="50" customWidth="1"/>
    <col min="3841" max="3841" width="2.28515625" style="50" customWidth="1"/>
    <col min="3842" max="3842" width="11.42578125" style="50"/>
    <col min="3843" max="3843" width="2.28515625" style="50" customWidth="1"/>
    <col min="3844" max="4091" width="11.42578125" style="50"/>
    <col min="4092" max="4092" width="4.5703125" style="50" customWidth="1"/>
    <col min="4093" max="4093" width="7" style="50" customWidth="1"/>
    <col min="4094" max="4094" width="23.42578125" style="50" customWidth="1"/>
    <col min="4095" max="4095" width="4.7109375" style="50" customWidth="1"/>
    <col min="4096" max="4096" width="8.28515625" style="50" customWidth="1"/>
    <col min="4097" max="4097" width="2.28515625" style="50" customWidth="1"/>
    <col min="4098" max="4098" width="11.42578125" style="50"/>
    <col min="4099" max="4099" width="2.28515625" style="50" customWidth="1"/>
    <col min="4100" max="4347" width="11.42578125" style="50"/>
    <col min="4348" max="4348" width="4.5703125" style="50" customWidth="1"/>
    <col min="4349" max="4349" width="7" style="50" customWidth="1"/>
    <col min="4350" max="4350" width="23.42578125" style="50" customWidth="1"/>
    <col min="4351" max="4351" width="4.7109375" style="50" customWidth="1"/>
    <col min="4352" max="4352" width="8.28515625" style="50" customWidth="1"/>
    <col min="4353" max="4353" width="2.28515625" style="50" customWidth="1"/>
    <col min="4354" max="4354" width="11.42578125" style="50"/>
    <col min="4355" max="4355" width="2.28515625" style="50" customWidth="1"/>
    <col min="4356" max="4603" width="11.42578125" style="50"/>
    <col min="4604" max="4604" width="4.5703125" style="50" customWidth="1"/>
    <col min="4605" max="4605" width="7" style="50" customWidth="1"/>
    <col min="4606" max="4606" width="23.42578125" style="50" customWidth="1"/>
    <col min="4607" max="4607" width="4.7109375" style="50" customWidth="1"/>
    <col min="4608" max="4608" width="8.28515625" style="50" customWidth="1"/>
    <col min="4609" max="4609" width="2.28515625" style="50" customWidth="1"/>
    <col min="4610" max="4610" width="11.42578125" style="50"/>
    <col min="4611" max="4611" width="2.28515625" style="50" customWidth="1"/>
    <col min="4612" max="4859" width="11.42578125" style="50"/>
    <col min="4860" max="4860" width="4.5703125" style="50" customWidth="1"/>
    <col min="4861" max="4861" width="7" style="50" customWidth="1"/>
    <col min="4862" max="4862" width="23.42578125" style="50" customWidth="1"/>
    <col min="4863" max="4863" width="4.7109375" style="50" customWidth="1"/>
    <col min="4864" max="4864" width="8.28515625" style="50" customWidth="1"/>
    <col min="4865" max="4865" width="2.28515625" style="50" customWidth="1"/>
    <col min="4866" max="4866" width="11.42578125" style="50"/>
    <col min="4867" max="4867" width="2.28515625" style="50" customWidth="1"/>
    <col min="4868" max="5115" width="11.42578125" style="50"/>
    <col min="5116" max="5116" width="4.5703125" style="50" customWidth="1"/>
    <col min="5117" max="5117" width="7" style="50" customWidth="1"/>
    <col min="5118" max="5118" width="23.42578125" style="50" customWidth="1"/>
    <col min="5119" max="5119" width="4.7109375" style="50" customWidth="1"/>
    <col min="5120" max="5120" width="8.28515625" style="50" customWidth="1"/>
    <col min="5121" max="5121" width="2.28515625" style="50" customWidth="1"/>
    <col min="5122" max="5122" width="11.42578125" style="50"/>
    <col min="5123" max="5123" width="2.28515625" style="50" customWidth="1"/>
    <col min="5124" max="5371" width="11.42578125" style="50"/>
    <col min="5372" max="5372" width="4.5703125" style="50" customWidth="1"/>
    <col min="5373" max="5373" width="7" style="50" customWidth="1"/>
    <col min="5374" max="5374" width="23.42578125" style="50" customWidth="1"/>
    <col min="5375" max="5375" width="4.7109375" style="50" customWidth="1"/>
    <col min="5376" max="5376" width="8.28515625" style="50" customWidth="1"/>
    <col min="5377" max="5377" width="2.28515625" style="50" customWidth="1"/>
    <col min="5378" max="5378" width="11.42578125" style="50"/>
    <col min="5379" max="5379" width="2.28515625" style="50" customWidth="1"/>
    <col min="5380" max="5627" width="11.42578125" style="50"/>
    <col min="5628" max="5628" width="4.5703125" style="50" customWidth="1"/>
    <col min="5629" max="5629" width="7" style="50" customWidth="1"/>
    <col min="5630" max="5630" width="23.42578125" style="50" customWidth="1"/>
    <col min="5631" max="5631" width="4.7109375" style="50" customWidth="1"/>
    <col min="5632" max="5632" width="8.28515625" style="50" customWidth="1"/>
    <col min="5633" max="5633" width="2.28515625" style="50" customWidth="1"/>
    <col min="5634" max="5634" width="11.42578125" style="50"/>
    <col min="5635" max="5635" width="2.28515625" style="50" customWidth="1"/>
    <col min="5636" max="5883" width="11.42578125" style="50"/>
    <col min="5884" max="5884" width="4.5703125" style="50" customWidth="1"/>
    <col min="5885" max="5885" width="7" style="50" customWidth="1"/>
    <col min="5886" max="5886" width="23.42578125" style="50" customWidth="1"/>
    <col min="5887" max="5887" width="4.7109375" style="50" customWidth="1"/>
    <col min="5888" max="5888" width="8.28515625" style="50" customWidth="1"/>
    <col min="5889" max="5889" width="2.28515625" style="50" customWidth="1"/>
    <col min="5890" max="5890" width="11.42578125" style="50"/>
    <col min="5891" max="5891" width="2.28515625" style="50" customWidth="1"/>
    <col min="5892" max="6139" width="11.42578125" style="50"/>
    <col min="6140" max="6140" width="4.5703125" style="50" customWidth="1"/>
    <col min="6141" max="6141" width="7" style="50" customWidth="1"/>
    <col min="6142" max="6142" width="23.42578125" style="50" customWidth="1"/>
    <col min="6143" max="6143" width="4.7109375" style="50" customWidth="1"/>
    <col min="6144" max="6144" width="8.28515625" style="50" customWidth="1"/>
    <col min="6145" max="6145" width="2.28515625" style="50" customWidth="1"/>
    <col min="6146" max="6146" width="11.42578125" style="50"/>
    <col min="6147" max="6147" width="2.28515625" style="50" customWidth="1"/>
    <col min="6148" max="6395" width="11.42578125" style="50"/>
    <col min="6396" max="6396" width="4.5703125" style="50" customWidth="1"/>
    <col min="6397" max="6397" width="7" style="50" customWidth="1"/>
    <col min="6398" max="6398" width="23.42578125" style="50" customWidth="1"/>
    <col min="6399" max="6399" width="4.7109375" style="50" customWidth="1"/>
    <col min="6400" max="6400" width="8.28515625" style="50" customWidth="1"/>
    <col min="6401" max="6401" width="2.28515625" style="50" customWidth="1"/>
    <col min="6402" max="6402" width="11.42578125" style="50"/>
    <col min="6403" max="6403" width="2.28515625" style="50" customWidth="1"/>
    <col min="6404" max="6651" width="11.42578125" style="50"/>
    <col min="6652" max="6652" width="4.5703125" style="50" customWidth="1"/>
    <col min="6653" max="6653" width="7" style="50" customWidth="1"/>
    <col min="6654" max="6654" width="23.42578125" style="50" customWidth="1"/>
    <col min="6655" max="6655" width="4.7109375" style="50" customWidth="1"/>
    <col min="6656" max="6656" width="8.28515625" style="50" customWidth="1"/>
    <col min="6657" max="6657" width="2.28515625" style="50" customWidth="1"/>
    <col min="6658" max="6658" width="11.42578125" style="50"/>
    <col min="6659" max="6659" width="2.28515625" style="50" customWidth="1"/>
    <col min="6660" max="6907" width="11.42578125" style="50"/>
    <col min="6908" max="6908" width="4.5703125" style="50" customWidth="1"/>
    <col min="6909" max="6909" width="7" style="50" customWidth="1"/>
    <col min="6910" max="6910" width="23.42578125" style="50" customWidth="1"/>
    <col min="6911" max="6911" width="4.7109375" style="50" customWidth="1"/>
    <col min="6912" max="6912" width="8.28515625" style="50" customWidth="1"/>
    <col min="6913" max="6913" width="2.28515625" style="50" customWidth="1"/>
    <col min="6914" max="6914" width="11.42578125" style="50"/>
    <col min="6915" max="6915" width="2.28515625" style="50" customWidth="1"/>
    <col min="6916" max="7163" width="11.42578125" style="50"/>
    <col min="7164" max="7164" width="4.5703125" style="50" customWidth="1"/>
    <col min="7165" max="7165" width="7" style="50" customWidth="1"/>
    <col min="7166" max="7166" width="23.42578125" style="50" customWidth="1"/>
    <col min="7167" max="7167" width="4.7109375" style="50" customWidth="1"/>
    <col min="7168" max="7168" width="8.28515625" style="50" customWidth="1"/>
    <col min="7169" max="7169" width="2.28515625" style="50" customWidth="1"/>
    <col min="7170" max="7170" width="11.42578125" style="50"/>
    <col min="7171" max="7171" width="2.28515625" style="50" customWidth="1"/>
    <col min="7172" max="7419" width="11.42578125" style="50"/>
    <col min="7420" max="7420" width="4.5703125" style="50" customWidth="1"/>
    <col min="7421" max="7421" width="7" style="50" customWidth="1"/>
    <col min="7422" max="7422" width="23.42578125" style="50" customWidth="1"/>
    <col min="7423" max="7423" width="4.7109375" style="50" customWidth="1"/>
    <col min="7424" max="7424" width="8.28515625" style="50" customWidth="1"/>
    <col min="7425" max="7425" width="2.28515625" style="50" customWidth="1"/>
    <col min="7426" max="7426" width="11.42578125" style="50"/>
    <col min="7427" max="7427" width="2.28515625" style="50" customWidth="1"/>
    <col min="7428" max="7675" width="11.42578125" style="50"/>
    <col min="7676" max="7676" width="4.5703125" style="50" customWidth="1"/>
    <col min="7677" max="7677" width="7" style="50" customWidth="1"/>
    <col min="7678" max="7678" width="23.42578125" style="50" customWidth="1"/>
    <col min="7679" max="7679" width="4.7109375" style="50" customWidth="1"/>
    <col min="7680" max="7680" width="8.28515625" style="50" customWidth="1"/>
    <col min="7681" max="7681" width="2.28515625" style="50" customWidth="1"/>
    <col min="7682" max="7682" width="11.42578125" style="50"/>
    <col min="7683" max="7683" width="2.28515625" style="50" customWidth="1"/>
    <col min="7684" max="7931" width="11.42578125" style="50"/>
    <col min="7932" max="7932" width="4.5703125" style="50" customWidth="1"/>
    <col min="7933" max="7933" width="7" style="50" customWidth="1"/>
    <col min="7934" max="7934" width="23.42578125" style="50" customWidth="1"/>
    <col min="7935" max="7935" width="4.7109375" style="50" customWidth="1"/>
    <col min="7936" max="7936" width="8.28515625" style="50" customWidth="1"/>
    <col min="7937" max="7937" width="2.28515625" style="50" customWidth="1"/>
    <col min="7938" max="7938" width="11.42578125" style="50"/>
    <col min="7939" max="7939" width="2.28515625" style="50" customWidth="1"/>
    <col min="7940" max="8187" width="11.42578125" style="50"/>
    <col min="8188" max="8188" width="4.5703125" style="50" customWidth="1"/>
    <col min="8189" max="8189" width="7" style="50" customWidth="1"/>
    <col min="8190" max="8190" width="23.42578125" style="50" customWidth="1"/>
    <col min="8191" max="8191" width="4.7109375" style="50" customWidth="1"/>
    <col min="8192" max="8192" width="8.28515625" style="50" customWidth="1"/>
    <col min="8193" max="8193" width="2.28515625" style="50" customWidth="1"/>
    <col min="8194" max="8194" width="11.42578125" style="50"/>
    <col min="8195" max="8195" width="2.28515625" style="50" customWidth="1"/>
    <col min="8196" max="8443" width="11.42578125" style="50"/>
    <col min="8444" max="8444" width="4.5703125" style="50" customWidth="1"/>
    <col min="8445" max="8445" width="7" style="50" customWidth="1"/>
    <col min="8446" max="8446" width="23.42578125" style="50" customWidth="1"/>
    <col min="8447" max="8447" width="4.7109375" style="50" customWidth="1"/>
    <col min="8448" max="8448" width="8.28515625" style="50" customWidth="1"/>
    <col min="8449" max="8449" width="2.28515625" style="50" customWidth="1"/>
    <col min="8450" max="8450" width="11.42578125" style="50"/>
    <col min="8451" max="8451" width="2.28515625" style="50" customWidth="1"/>
    <col min="8452" max="8699" width="11.42578125" style="50"/>
    <col min="8700" max="8700" width="4.5703125" style="50" customWidth="1"/>
    <col min="8701" max="8701" width="7" style="50" customWidth="1"/>
    <col min="8702" max="8702" width="23.42578125" style="50" customWidth="1"/>
    <col min="8703" max="8703" width="4.7109375" style="50" customWidth="1"/>
    <col min="8704" max="8704" width="8.28515625" style="50" customWidth="1"/>
    <col min="8705" max="8705" width="2.28515625" style="50" customWidth="1"/>
    <col min="8706" max="8706" width="11.42578125" style="50"/>
    <col min="8707" max="8707" width="2.28515625" style="50" customWidth="1"/>
    <col min="8708" max="8955" width="11.42578125" style="50"/>
    <col min="8956" max="8956" width="4.5703125" style="50" customWidth="1"/>
    <col min="8957" max="8957" width="7" style="50" customWidth="1"/>
    <col min="8958" max="8958" width="23.42578125" style="50" customWidth="1"/>
    <col min="8959" max="8959" width="4.7109375" style="50" customWidth="1"/>
    <col min="8960" max="8960" width="8.28515625" style="50" customWidth="1"/>
    <col min="8961" max="8961" width="2.28515625" style="50" customWidth="1"/>
    <col min="8962" max="8962" width="11.42578125" style="50"/>
    <col min="8963" max="8963" width="2.28515625" style="50" customWidth="1"/>
    <col min="8964" max="9211" width="11.42578125" style="50"/>
    <col min="9212" max="9212" width="4.5703125" style="50" customWidth="1"/>
    <col min="9213" max="9213" width="7" style="50" customWidth="1"/>
    <col min="9214" max="9214" width="23.42578125" style="50" customWidth="1"/>
    <col min="9215" max="9215" width="4.7109375" style="50" customWidth="1"/>
    <col min="9216" max="9216" width="8.28515625" style="50" customWidth="1"/>
    <col min="9217" max="9217" width="2.28515625" style="50" customWidth="1"/>
    <col min="9218" max="9218" width="11.42578125" style="50"/>
    <col min="9219" max="9219" width="2.28515625" style="50" customWidth="1"/>
    <col min="9220" max="9467" width="11.42578125" style="50"/>
    <col min="9468" max="9468" width="4.5703125" style="50" customWidth="1"/>
    <col min="9469" max="9469" width="7" style="50" customWidth="1"/>
    <col min="9470" max="9470" width="23.42578125" style="50" customWidth="1"/>
    <col min="9471" max="9471" width="4.7109375" style="50" customWidth="1"/>
    <col min="9472" max="9472" width="8.28515625" style="50" customWidth="1"/>
    <col min="9473" max="9473" width="2.28515625" style="50" customWidth="1"/>
    <col min="9474" max="9474" width="11.42578125" style="50"/>
    <col min="9475" max="9475" width="2.28515625" style="50" customWidth="1"/>
    <col min="9476" max="9723" width="11.42578125" style="50"/>
    <col min="9724" max="9724" width="4.5703125" style="50" customWidth="1"/>
    <col min="9725" max="9725" width="7" style="50" customWidth="1"/>
    <col min="9726" max="9726" width="23.42578125" style="50" customWidth="1"/>
    <col min="9727" max="9727" width="4.7109375" style="50" customWidth="1"/>
    <col min="9728" max="9728" width="8.28515625" style="50" customWidth="1"/>
    <col min="9729" max="9729" width="2.28515625" style="50" customWidth="1"/>
    <col min="9730" max="9730" width="11.42578125" style="50"/>
    <col min="9731" max="9731" width="2.28515625" style="50" customWidth="1"/>
    <col min="9732" max="9979" width="11.42578125" style="50"/>
    <col min="9980" max="9980" width="4.5703125" style="50" customWidth="1"/>
    <col min="9981" max="9981" width="7" style="50" customWidth="1"/>
    <col min="9982" max="9982" width="23.42578125" style="50" customWidth="1"/>
    <col min="9983" max="9983" width="4.7109375" style="50" customWidth="1"/>
    <col min="9984" max="9984" width="8.28515625" style="50" customWidth="1"/>
    <col min="9985" max="9985" width="2.28515625" style="50" customWidth="1"/>
    <col min="9986" max="9986" width="11.42578125" style="50"/>
    <col min="9987" max="9987" width="2.28515625" style="50" customWidth="1"/>
    <col min="9988" max="10235" width="11.42578125" style="50"/>
    <col min="10236" max="10236" width="4.5703125" style="50" customWidth="1"/>
    <col min="10237" max="10237" width="7" style="50" customWidth="1"/>
    <col min="10238" max="10238" width="23.42578125" style="50" customWidth="1"/>
    <col min="10239" max="10239" width="4.7109375" style="50" customWidth="1"/>
    <col min="10240" max="10240" width="8.28515625" style="50" customWidth="1"/>
    <col min="10241" max="10241" width="2.28515625" style="50" customWidth="1"/>
    <col min="10242" max="10242" width="11.42578125" style="50"/>
    <col min="10243" max="10243" width="2.28515625" style="50" customWidth="1"/>
    <col min="10244" max="10491" width="11.42578125" style="50"/>
    <col min="10492" max="10492" width="4.5703125" style="50" customWidth="1"/>
    <col min="10493" max="10493" width="7" style="50" customWidth="1"/>
    <col min="10494" max="10494" width="23.42578125" style="50" customWidth="1"/>
    <col min="10495" max="10495" width="4.7109375" style="50" customWidth="1"/>
    <col min="10496" max="10496" width="8.28515625" style="50" customWidth="1"/>
    <col min="10497" max="10497" width="2.28515625" style="50" customWidth="1"/>
    <col min="10498" max="10498" width="11.42578125" style="50"/>
    <col min="10499" max="10499" width="2.28515625" style="50" customWidth="1"/>
    <col min="10500" max="10747" width="11.42578125" style="50"/>
    <col min="10748" max="10748" width="4.5703125" style="50" customWidth="1"/>
    <col min="10749" max="10749" width="7" style="50" customWidth="1"/>
    <col min="10750" max="10750" width="23.42578125" style="50" customWidth="1"/>
    <col min="10751" max="10751" width="4.7109375" style="50" customWidth="1"/>
    <col min="10752" max="10752" width="8.28515625" style="50" customWidth="1"/>
    <col min="10753" max="10753" width="2.28515625" style="50" customWidth="1"/>
    <col min="10754" max="10754" width="11.42578125" style="50"/>
    <col min="10755" max="10755" width="2.28515625" style="50" customWidth="1"/>
    <col min="10756" max="11003" width="11.42578125" style="50"/>
    <col min="11004" max="11004" width="4.5703125" style="50" customWidth="1"/>
    <col min="11005" max="11005" width="7" style="50" customWidth="1"/>
    <col min="11006" max="11006" width="23.42578125" style="50" customWidth="1"/>
    <col min="11007" max="11007" width="4.7109375" style="50" customWidth="1"/>
    <col min="11008" max="11008" width="8.28515625" style="50" customWidth="1"/>
    <col min="11009" max="11009" width="2.28515625" style="50" customWidth="1"/>
    <col min="11010" max="11010" width="11.42578125" style="50"/>
    <col min="11011" max="11011" width="2.28515625" style="50" customWidth="1"/>
    <col min="11012" max="11259" width="11.42578125" style="50"/>
    <col min="11260" max="11260" width="4.5703125" style="50" customWidth="1"/>
    <col min="11261" max="11261" width="7" style="50" customWidth="1"/>
    <col min="11262" max="11262" width="23.42578125" style="50" customWidth="1"/>
    <col min="11263" max="11263" width="4.7109375" style="50" customWidth="1"/>
    <col min="11264" max="11264" width="8.28515625" style="50" customWidth="1"/>
    <col min="11265" max="11265" width="2.28515625" style="50" customWidth="1"/>
    <col min="11266" max="11266" width="11.42578125" style="50"/>
    <col min="11267" max="11267" width="2.28515625" style="50" customWidth="1"/>
    <col min="11268" max="11515" width="11.42578125" style="50"/>
    <col min="11516" max="11516" width="4.5703125" style="50" customWidth="1"/>
    <col min="11517" max="11517" width="7" style="50" customWidth="1"/>
    <col min="11518" max="11518" width="23.42578125" style="50" customWidth="1"/>
    <col min="11519" max="11519" width="4.7109375" style="50" customWidth="1"/>
    <col min="11520" max="11520" width="8.28515625" style="50" customWidth="1"/>
    <col min="11521" max="11521" width="2.28515625" style="50" customWidth="1"/>
    <col min="11522" max="11522" width="11.42578125" style="50"/>
    <col min="11523" max="11523" width="2.28515625" style="50" customWidth="1"/>
    <col min="11524" max="11771" width="11.42578125" style="50"/>
    <col min="11772" max="11772" width="4.5703125" style="50" customWidth="1"/>
    <col min="11773" max="11773" width="7" style="50" customWidth="1"/>
    <col min="11774" max="11774" width="23.42578125" style="50" customWidth="1"/>
    <col min="11775" max="11775" width="4.7109375" style="50" customWidth="1"/>
    <col min="11776" max="11776" width="8.28515625" style="50" customWidth="1"/>
    <col min="11777" max="11777" width="2.28515625" style="50" customWidth="1"/>
    <col min="11778" max="11778" width="11.42578125" style="50"/>
    <col min="11779" max="11779" width="2.28515625" style="50" customWidth="1"/>
    <col min="11780" max="12027" width="11.42578125" style="50"/>
    <col min="12028" max="12028" width="4.5703125" style="50" customWidth="1"/>
    <col min="12029" max="12029" width="7" style="50" customWidth="1"/>
    <col min="12030" max="12030" width="23.42578125" style="50" customWidth="1"/>
    <col min="12031" max="12031" width="4.7109375" style="50" customWidth="1"/>
    <col min="12032" max="12032" width="8.28515625" style="50" customWidth="1"/>
    <col min="12033" max="12033" width="2.28515625" style="50" customWidth="1"/>
    <col min="12034" max="12034" width="11.42578125" style="50"/>
    <col min="12035" max="12035" width="2.28515625" style="50" customWidth="1"/>
    <col min="12036" max="12283" width="11.42578125" style="50"/>
    <col min="12284" max="12284" width="4.5703125" style="50" customWidth="1"/>
    <col min="12285" max="12285" width="7" style="50" customWidth="1"/>
    <col min="12286" max="12286" width="23.42578125" style="50" customWidth="1"/>
    <col min="12287" max="12287" width="4.7109375" style="50" customWidth="1"/>
    <col min="12288" max="12288" width="8.28515625" style="50" customWidth="1"/>
    <col min="12289" max="12289" width="2.28515625" style="50" customWidth="1"/>
    <col min="12290" max="12290" width="11.42578125" style="50"/>
    <col min="12291" max="12291" width="2.28515625" style="50" customWidth="1"/>
    <col min="12292" max="12539" width="11.42578125" style="50"/>
    <col min="12540" max="12540" width="4.5703125" style="50" customWidth="1"/>
    <col min="12541" max="12541" width="7" style="50" customWidth="1"/>
    <col min="12542" max="12542" width="23.42578125" style="50" customWidth="1"/>
    <col min="12543" max="12543" width="4.7109375" style="50" customWidth="1"/>
    <col min="12544" max="12544" width="8.28515625" style="50" customWidth="1"/>
    <col min="12545" max="12545" width="2.28515625" style="50" customWidth="1"/>
    <col min="12546" max="12546" width="11.42578125" style="50"/>
    <col min="12547" max="12547" width="2.28515625" style="50" customWidth="1"/>
    <col min="12548" max="12795" width="11.42578125" style="50"/>
    <col min="12796" max="12796" width="4.5703125" style="50" customWidth="1"/>
    <col min="12797" max="12797" width="7" style="50" customWidth="1"/>
    <col min="12798" max="12798" width="23.42578125" style="50" customWidth="1"/>
    <col min="12799" max="12799" width="4.7109375" style="50" customWidth="1"/>
    <col min="12800" max="12800" width="8.28515625" style="50" customWidth="1"/>
    <col min="12801" max="12801" width="2.28515625" style="50" customWidth="1"/>
    <col min="12802" max="12802" width="11.42578125" style="50"/>
    <col min="12803" max="12803" width="2.28515625" style="50" customWidth="1"/>
    <col min="12804" max="13051" width="11.42578125" style="50"/>
    <col min="13052" max="13052" width="4.5703125" style="50" customWidth="1"/>
    <col min="13053" max="13053" width="7" style="50" customWidth="1"/>
    <col min="13054" max="13054" width="23.42578125" style="50" customWidth="1"/>
    <col min="13055" max="13055" width="4.7109375" style="50" customWidth="1"/>
    <col min="13056" max="13056" width="8.28515625" style="50" customWidth="1"/>
    <col min="13057" max="13057" width="2.28515625" style="50" customWidth="1"/>
    <col min="13058" max="13058" width="11.42578125" style="50"/>
    <col min="13059" max="13059" width="2.28515625" style="50" customWidth="1"/>
    <col min="13060" max="13307" width="11.42578125" style="50"/>
    <col min="13308" max="13308" width="4.5703125" style="50" customWidth="1"/>
    <col min="13309" max="13309" width="7" style="50" customWidth="1"/>
    <col min="13310" max="13310" width="23.42578125" style="50" customWidth="1"/>
    <col min="13311" max="13311" width="4.7109375" style="50" customWidth="1"/>
    <col min="13312" max="13312" width="8.28515625" style="50" customWidth="1"/>
    <col min="13313" max="13313" width="2.28515625" style="50" customWidth="1"/>
    <col min="13314" max="13314" width="11.42578125" style="50"/>
    <col min="13315" max="13315" width="2.28515625" style="50" customWidth="1"/>
    <col min="13316" max="13563" width="11.42578125" style="50"/>
    <col min="13564" max="13564" width="4.5703125" style="50" customWidth="1"/>
    <col min="13565" max="13565" width="7" style="50" customWidth="1"/>
    <col min="13566" max="13566" width="23.42578125" style="50" customWidth="1"/>
    <col min="13567" max="13567" width="4.7109375" style="50" customWidth="1"/>
    <col min="13568" max="13568" width="8.28515625" style="50" customWidth="1"/>
    <col min="13569" max="13569" width="2.28515625" style="50" customWidth="1"/>
    <col min="13570" max="13570" width="11.42578125" style="50"/>
    <col min="13571" max="13571" width="2.28515625" style="50" customWidth="1"/>
    <col min="13572" max="13819" width="11.42578125" style="50"/>
    <col min="13820" max="13820" width="4.5703125" style="50" customWidth="1"/>
    <col min="13821" max="13821" width="7" style="50" customWidth="1"/>
    <col min="13822" max="13822" width="23.42578125" style="50" customWidth="1"/>
    <col min="13823" max="13823" width="4.7109375" style="50" customWidth="1"/>
    <col min="13824" max="13824" width="8.28515625" style="50" customWidth="1"/>
    <col min="13825" max="13825" width="2.28515625" style="50" customWidth="1"/>
    <col min="13826" max="13826" width="11.42578125" style="50"/>
    <col min="13827" max="13827" width="2.28515625" style="50" customWidth="1"/>
    <col min="13828" max="14075" width="11.42578125" style="50"/>
    <col min="14076" max="14076" width="4.5703125" style="50" customWidth="1"/>
    <col min="14077" max="14077" width="7" style="50" customWidth="1"/>
    <col min="14078" max="14078" width="23.42578125" style="50" customWidth="1"/>
    <col min="14079" max="14079" width="4.7109375" style="50" customWidth="1"/>
    <col min="14080" max="14080" width="8.28515625" style="50" customWidth="1"/>
    <col min="14081" max="14081" width="2.28515625" style="50" customWidth="1"/>
    <col min="14082" max="14082" width="11.42578125" style="50"/>
    <col min="14083" max="14083" width="2.28515625" style="50" customWidth="1"/>
    <col min="14084" max="14331" width="11.42578125" style="50"/>
    <col min="14332" max="14332" width="4.5703125" style="50" customWidth="1"/>
    <col min="14333" max="14333" width="7" style="50" customWidth="1"/>
    <col min="14334" max="14334" width="23.42578125" style="50" customWidth="1"/>
    <col min="14335" max="14335" width="4.7109375" style="50" customWidth="1"/>
    <col min="14336" max="14336" width="8.28515625" style="50" customWidth="1"/>
    <col min="14337" max="14337" width="2.28515625" style="50" customWidth="1"/>
    <col min="14338" max="14338" width="11.42578125" style="50"/>
    <col min="14339" max="14339" width="2.28515625" style="50" customWidth="1"/>
    <col min="14340" max="14587" width="11.42578125" style="50"/>
    <col min="14588" max="14588" width="4.5703125" style="50" customWidth="1"/>
    <col min="14589" max="14589" width="7" style="50" customWidth="1"/>
    <col min="14590" max="14590" width="23.42578125" style="50" customWidth="1"/>
    <col min="14591" max="14591" width="4.7109375" style="50" customWidth="1"/>
    <col min="14592" max="14592" width="8.28515625" style="50" customWidth="1"/>
    <col min="14593" max="14593" width="2.28515625" style="50" customWidth="1"/>
    <col min="14594" max="14594" width="11.42578125" style="50"/>
    <col min="14595" max="14595" width="2.28515625" style="50" customWidth="1"/>
    <col min="14596" max="14843" width="11.42578125" style="50"/>
    <col min="14844" max="14844" width="4.5703125" style="50" customWidth="1"/>
    <col min="14845" max="14845" width="7" style="50" customWidth="1"/>
    <col min="14846" max="14846" width="23.42578125" style="50" customWidth="1"/>
    <col min="14847" max="14847" width="4.7109375" style="50" customWidth="1"/>
    <col min="14848" max="14848" width="8.28515625" style="50" customWidth="1"/>
    <col min="14849" max="14849" width="2.28515625" style="50" customWidth="1"/>
    <col min="14850" max="14850" width="11.42578125" style="50"/>
    <col min="14851" max="14851" width="2.28515625" style="50" customWidth="1"/>
    <col min="14852" max="15099" width="11.42578125" style="50"/>
    <col min="15100" max="15100" width="4.5703125" style="50" customWidth="1"/>
    <col min="15101" max="15101" width="7" style="50" customWidth="1"/>
    <col min="15102" max="15102" width="23.42578125" style="50" customWidth="1"/>
    <col min="15103" max="15103" width="4.7109375" style="50" customWidth="1"/>
    <col min="15104" max="15104" width="8.28515625" style="50" customWidth="1"/>
    <col min="15105" max="15105" width="2.28515625" style="50" customWidth="1"/>
    <col min="15106" max="15106" width="11.42578125" style="50"/>
    <col min="15107" max="15107" width="2.28515625" style="50" customWidth="1"/>
    <col min="15108" max="15355" width="11.42578125" style="50"/>
    <col min="15356" max="15356" width="4.5703125" style="50" customWidth="1"/>
    <col min="15357" max="15357" width="7" style="50" customWidth="1"/>
    <col min="15358" max="15358" width="23.42578125" style="50" customWidth="1"/>
    <col min="15359" max="15359" width="4.7109375" style="50" customWidth="1"/>
    <col min="15360" max="15360" width="8.28515625" style="50" customWidth="1"/>
    <col min="15361" max="15361" width="2.28515625" style="50" customWidth="1"/>
    <col min="15362" max="15362" width="11.42578125" style="50"/>
    <col min="15363" max="15363" width="2.28515625" style="50" customWidth="1"/>
    <col min="15364" max="15611" width="11.42578125" style="50"/>
    <col min="15612" max="15612" width="4.5703125" style="50" customWidth="1"/>
    <col min="15613" max="15613" width="7" style="50" customWidth="1"/>
    <col min="15614" max="15614" width="23.42578125" style="50" customWidth="1"/>
    <col min="15615" max="15615" width="4.7109375" style="50" customWidth="1"/>
    <col min="15616" max="15616" width="8.28515625" style="50" customWidth="1"/>
    <col min="15617" max="15617" width="2.28515625" style="50" customWidth="1"/>
    <col min="15618" max="15618" width="11.42578125" style="50"/>
    <col min="15619" max="15619" width="2.28515625" style="50" customWidth="1"/>
    <col min="15620" max="15867" width="11.42578125" style="50"/>
    <col min="15868" max="15868" width="4.5703125" style="50" customWidth="1"/>
    <col min="15869" max="15869" width="7" style="50" customWidth="1"/>
    <col min="15870" max="15870" width="23.42578125" style="50" customWidth="1"/>
    <col min="15871" max="15871" width="4.7109375" style="50" customWidth="1"/>
    <col min="15872" max="15872" width="8.28515625" style="50" customWidth="1"/>
    <col min="15873" max="15873" width="2.28515625" style="50" customWidth="1"/>
    <col min="15874" max="15874" width="11.42578125" style="50"/>
    <col min="15875" max="15875" width="2.28515625" style="50" customWidth="1"/>
    <col min="15876" max="16123" width="11.42578125" style="50"/>
    <col min="16124" max="16124" width="4.5703125" style="50" customWidth="1"/>
    <col min="16125" max="16125" width="7" style="50" customWidth="1"/>
    <col min="16126" max="16126" width="23.42578125" style="50" customWidth="1"/>
    <col min="16127" max="16127" width="4.7109375" style="50" customWidth="1"/>
    <col min="16128" max="16128" width="8.28515625" style="50" customWidth="1"/>
    <col min="16129" max="16129" width="2.28515625" style="50" customWidth="1"/>
    <col min="16130" max="16130" width="11.42578125" style="50"/>
    <col min="16131" max="16131" width="2.28515625" style="50" customWidth="1"/>
    <col min="16132" max="16384" width="11.42578125" style="50"/>
  </cols>
  <sheetData>
    <row r="1" spans="1:10" s="54" customFormat="1" x14ac:dyDescent="0.25">
      <c r="A1" s="54" t="s">
        <v>313</v>
      </c>
      <c r="B1" s="56"/>
      <c r="D1" s="91"/>
    </row>
    <row r="2" spans="1:10" s="138" customFormat="1" ht="6.75" x14ac:dyDescent="0.15">
      <c r="B2" s="139"/>
      <c r="C2" s="139"/>
      <c r="D2" s="173"/>
    </row>
    <row r="3" spans="1:10" s="74" customFormat="1" ht="14.25" x14ac:dyDescent="0.2">
      <c r="B3" s="38" t="s">
        <v>241</v>
      </c>
      <c r="C3" s="38"/>
      <c r="D3" s="90" t="s">
        <v>230</v>
      </c>
    </row>
    <row r="4" spans="1:10" s="138" customFormat="1" ht="6.75" x14ac:dyDescent="0.15">
      <c r="B4" s="139"/>
      <c r="C4" s="139"/>
      <c r="D4" s="140"/>
    </row>
    <row r="5" spans="1:10" s="49" customFormat="1" ht="15" x14ac:dyDescent="0.25">
      <c r="B5" s="37" t="s">
        <v>231</v>
      </c>
      <c r="C5" s="37"/>
      <c r="D5" s="39">
        <v>7565</v>
      </c>
    </row>
    <row r="6" spans="1:10" s="49" customFormat="1" ht="15" x14ac:dyDescent="0.25">
      <c r="B6" s="37" t="s">
        <v>242</v>
      </c>
      <c r="C6" s="37"/>
      <c r="D6" s="39">
        <v>40</v>
      </c>
    </row>
    <row r="7" spans="1:10" s="31" customFormat="1" ht="20.25" x14ac:dyDescent="0.3">
      <c r="A7" s="49"/>
      <c r="B7" s="37" t="s">
        <v>232</v>
      </c>
      <c r="C7" s="37"/>
      <c r="D7" s="42">
        <f>SUM(D5:D6)</f>
        <v>7605</v>
      </c>
      <c r="E7" s="49"/>
      <c r="F7" s="49"/>
      <c r="G7" s="49"/>
      <c r="H7" s="49"/>
    </row>
    <row r="8" spans="1:10" s="89" customFormat="1" ht="8.25" x14ac:dyDescent="0.15">
      <c r="B8" s="34"/>
      <c r="C8" s="34"/>
      <c r="D8" s="35"/>
    </row>
    <row r="9" spans="1:10" s="49" customFormat="1" ht="15" x14ac:dyDescent="0.25">
      <c r="B9" s="37" t="s">
        <v>125</v>
      </c>
      <c r="C9" s="37"/>
      <c r="D9" s="39">
        <v>3750</v>
      </c>
    </row>
    <row r="10" spans="1:10" s="49" customFormat="1" ht="15" x14ac:dyDescent="0.25">
      <c r="B10" s="37" t="s">
        <v>243</v>
      </c>
      <c r="C10" s="37"/>
      <c r="D10" s="39">
        <v>1455</v>
      </c>
    </row>
    <row r="11" spans="1:10" s="49" customFormat="1" ht="15" x14ac:dyDescent="0.25">
      <c r="B11" s="37" t="s">
        <v>233</v>
      </c>
      <c r="C11" s="37"/>
      <c r="D11" s="39">
        <v>375</v>
      </c>
    </row>
    <row r="12" spans="1:10" s="49" customFormat="1" ht="15" x14ac:dyDescent="0.25">
      <c r="B12" s="37" t="s">
        <v>234</v>
      </c>
      <c r="C12" s="37"/>
      <c r="D12" s="64">
        <v>750</v>
      </c>
    </row>
    <row r="13" spans="1:10" s="31" customFormat="1" ht="20.25" x14ac:dyDescent="0.3">
      <c r="A13" s="49"/>
      <c r="B13" s="37" t="s">
        <v>235</v>
      </c>
      <c r="C13" s="37"/>
      <c r="D13" s="64">
        <f>SUM(D9:D12)</f>
        <v>6330</v>
      </c>
      <c r="E13" s="49"/>
      <c r="F13" s="49"/>
      <c r="G13" s="49"/>
      <c r="H13" s="49"/>
      <c r="I13" s="49"/>
      <c r="J13" s="49"/>
    </row>
    <row r="14" spans="1:10" s="31" customFormat="1" ht="20.25" x14ac:dyDescent="0.3">
      <c r="A14" s="49"/>
      <c r="B14" s="38" t="s">
        <v>236</v>
      </c>
      <c r="C14" s="37"/>
      <c r="D14" s="42">
        <f>D7-D13</f>
        <v>1275</v>
      </c>
      <c r="E14" s="49"/>
      <c r="F14" s="49"/>
      <c r="G14" s="49"/>
      <c r="H14" s="49"/>
    </row>
    <row r="15" spans="1:10" s="88" customFormat="1" ht="11.25" x14ac:dyDescent="0.2">
      <c r="B15" s="44"/>
      <c r="C15" s="44"/>
      <c r="D15" s="92"/>
    </row>
    <row r="16" spans="1:10" s="49" customFormat="1" ht="15" x14ac:dyDescent="0.25">
      <c r="B16" s="37" t="s">
        <v>244</v>
      </c>
      <c r="C16" s="37"/>
      <c r="D16" s="64">
        <v>75</v>
      </c>
    </row>
    <row r="17" spans="1:9" s="31" customFormat="1" ht="20.25" x14ac:dyDescent="0.3">
      <c r="A17" s="49"/>
      <c r="B17" s="49" t="s">
        <v>237</v>
      </c>
      <c r="C17" s="49"/>
      <c r="D17" s="42">
        <f>-D16</f>
        <v>-75</v>
      </c>
      <c r="E17" s="49"/>
      <c r="F17" s="49"/>
      <c r="G17" s="49"/>
      <c r="H17" s="49"/>
      <c r="I17" s="49"/>
    </row>
    <row r="18" spans="1:9" s="89" customFormat="1" ht="8.25" x14ac:dyDescent="0.15">
      <c r="B18" s="34"/>
      <c r="C18" s="34"/>
      <c r="D18" s="35"/>
    </row>
    <row r="19" spans="1:9" s="49" customFormat="1" ht="15" x14ac:dyDescent="0.25">
      <c r="B19" s="38" t="s">
        <v>238</v>
      </c>
      <c r="C19" s="37"/>
      <c r="D19" s="39">
        <f>D14+D17</f>
        <v>1200</v>
      </c>
    </row>
    <row r="20" spans="1:9" s="89" customFormat="1" ht="8.25" x14ac:dyDescent="0.15">
      <c r="B20" s="47"/>
      <c r="C20" s="34"/>
      <c r="D20" s="35"/>
    </row>
    <row r="21" spans="1:9" s="49" customFormat="1" ht="15" x14ac:dyDescent="0.25">
      <c r="B21" s="37" t="s">
        <v>239</v>
      </c>
      <c r="C21" s="37"/>
      <c r="D21" s="39">
        <v>375</v>
      </c>
    </row>
    <row r="22" spans="1:9" s="89" customFormat="1" ht="8.25" x14ac:dyDescent="0.15">
      <c r="B22" s="34"/>
      <c r="C22" s="34"/>
      <c r="D22" s="35"/>
    </row>
    <row r="23" spans="1:9" s="49" customFormat="1" ht="15" x14ac:dyDescent="0.25">
      <c r="B23" s="38" t="s">
        <v>240</v>
      </c>
      <c r="C23" s="37"/>
      <c r="D23" s="64">
        <f>D19-D21</f>
        <v>825</v>
      </c>
      <c r="I23" s="93"/>
    </row>
    <row r="24" spans="1:9" s="49" customFormat="1" ht="15" x14ac:dyDescent="0.25">
      <c r="B24" s="37"/>
      <c r="C24" s="37"/>
      <c r="D24" s="39"/>
    </row>
    <row r="25" spans="1:9" s="49" customFormat="1" ht="15" x14ac:dyDescent="0.25">
      <c r="D25" s="72"/>
    </row>
    <row r="26" spans="1:9" s="49" customFormat="1" ht="15" x14ac:dyDescent="0.25">
      <c r="A26" s="49" t="s">
        <v>65</v>
      </c>
      <c r="B26" s="49" t="s">
        <v>245</v>
      </c>
      <c r="D26" s="72"/>
    </row>
    <row r="27" spans="1:9" s="49" customFormat="1" ht="15" x14ac:dyDescent="0.25">
      <c r="D27" s="72"/>
    </row>
    <row r="28" spans="1:9" s="49" customFormat="1" ht="15" x14ac:dyDescent="0.25">
      <c r="A28" s="49" t="s">
        <v>74</v>
      </c>
      <c r="B28" s="49" t="s">
        <v>246</v>
      </c>
      <c r="D28" s="72"/>
      <c r="E28" s="94">
        <f>1200/2250</f>
        <v>0.53333333333333333</v>
      </c>
    </row>
    <row r="29" spans="1:9" s="49" customFormat="1" ht="15" x14ac:dyDescent="0.25">
      <c r="D29" s="72"/>
    </row>
    <row r="30" spans="1:9" s="49" customFormat="1" ht="15" x14ac:dyDescent="0.25">
      <c r="A30" s="49" t="s">
        <v>119</v>
      </c>
      <c r="B30" s="49" t="s">
        <v>247</v>
      </c>
      <c r="E30" s="94">
        <f>1275/7605</f>
        <v>0.16765285996055226</v>
      </c>
    </row>
    <row r="31" spans="1:9" s="49" customFormat="1" ht="15" x14ac:dyDescent="0.25">
      <c r="D31" s="72"/>
    </row>
    <row r="32" spans="1:9" s="49" customFormat="1" ht="15" x14ac:dyDescent="0.25">
      <c r="B32" s="49" t="s">
        <v>248</v>
      </c>
      <c r="D32" s="72"/>
      <c r="E32" s="95">
        <f>7605/3750</f>
        <v>2.028</v>
      </c>
    </row>
    <row r="33" spans="1:10" s="49" customFormat="1" ht="15" x14ac:dyDescent="0.25">
      <c r="D33" s="72"/>
    </row>
    <row r="34" spans="1:10" s="49" customFormat="1" ht="15" x14ac:dyDescent="0.25">
      <c r="A34" s="49" t="s">
        <v>249</v>
      </c>
      <c r="B34" s="49" t="s">
        <v>250</v>
      </c>
      <c r="D34" s="72"/>
    </row>
    <row r="35" spans="1:10" s="49" customFormat="1" ht="15" x14ac:dyDescent="0.25">
      <c r="B35" s="49" t="s">
        <v>251</v>
      </c>
      <c r="D35" s="72"/>
    </row>
    <row r="36" spans="1:10" s="49" customFormat="1" ht="15" x14ac:dyDescent="0.25">
      <c r="B36" s="49" t="s">
        <v>252</v>
      </c>
      <c r="D36" s="72"/>
    </row>
    <row r="38" spans="1:10" s="49" customFormat="1" ht="15" x14ac:dyDescent="0.25">
      <c r="A38" s="49" t="s">
        <v>253</v>
      </c>
      <c r="B38" s="49" t="s">
        <v>254</v>
      </c>
      <c r="D38" s="72">
        <v>3750</v>
      </c>
    </row>
    <row r="39" spans="1:10" s="49" customFormat="1" ht="15" x14ac:dyDescent="0.25">
      <c r="A39" s="97" t="s">
        <v>256</v>
      </c>
      <c r="B39" s="49" t="s">
        <v>255</v>
      </c>
      <c r="D39" s="72">
        <v>2250</v>
      </c>
    </row>
    <row r="40" spans="1:10" s="31" customFormat="1" ht="20.25" x14ac:dyDescent="0.3">
      <c r="A40" s="96" t="s">
        <v>128</v>
      </c>
      <c r="B40" s="49" t="s">
        <v>257</v>
      </c>
      <c r="C40" s="49"/>
      <c r="D40" s="42">
        <f>D38-D39</f>
        <v>1500</v>
      </c>
      <c r="E40" s="49"/>
      <c r="F40" s="49"/>
      <c r="G40" s="49"/>
      <c r="H40" s="49"/>
      <c r="I40" s="49"/>
      <c r="J40" s="49"/>
    </row>
    <row r="41" spans="1:10" s="49" customFormat="1" ht="15" x14ac:dyDescent="0.25">
      <c r="D41" s="72"/>
    </row>
    <row r="42" spans="1:10" s="49" customFormat="1" ht="15" x14ac:dyDescent="0.25">
      <c r="B42" s="49" t="s">
        <v>258</v>
      </c>
      <c r="D42" s="72"/>
      <c r="E42" s="98">
        <f>75/1500</f>
        <v>0.05</v>
      </c>
    </row>
    <row r="43" spans="1:10" s="49" customFormat="1" ht="15" x14ac:dyDescent="0.25">
      <c r="D43" s="72"/>
    </row>
    <row r="44" spans="1:10" s="49" customFormat="1" ht="15" x14ac:dyDescent="0.25">
      <c r="D44" s="72"/>
    </row>
    <row r="45" spans="1:10" s="49" customFormat="1" ht="15" x14ac:dyDescent="0.25">
      <c r="D45" s="72"/>
    </row>
    <row r="46" spans="1:10" s="49" customFormat="1" ht="15" x14ac:dyDescent="0.25">
      <c r="D46" s="72"/>
    </row>
    <row r="47" spans="1:10" s="49" customFormat="1" ht="15" x14ac:dyDescent="0.25">
      <c r="D47" s="72"/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Footer>&amp;CSide &amp;P av &amp;N</oddFooter>
  </headerFooter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workbookViewId="0"/>
  </sheetViews>
  <sheetFormatPr baseColWidth="10" defaultRowHeight="15" x14ac:dyDescent="0.25"/>
  <cols>
    <col min="1" max="1" width="5.7109375" style="83" customWidth="1"/>
    <col min="2" max="2" width="25.28515625" style="83" customWidth="1"/>
    <col min="3" max="3" width="9.140625" style="100" customWidth="1"/>
    <col min="4" max="4" width="7.140625" style="100" customWidth="1"/>
    <col min="5" max="5" width="9" style="100" customWidth="1"/>
    <col min="6" max="6" width="11.42578125" style="100"/>
    <col min="7" max="16384" width="11.42578125" style="83"/>
  </cols>
  <sheetData>
    <row r="1" spans="1:13" x14ac:dyDescent="0.25">
      <c r="A1" s="99" t="s">
        <v>315</v>
      </c>
    </row>
    <row r="3" spans="1:13" x14ac:dyDescent="0.25">
      <c r="B3" s="83" t="s">
        <v>316</v>
      </c>
      <c r="C3" s="100">
        <v>12000</v>
      </c>
    </row>
    <row r="4" spans="1:13" x14ac:dyDescent="0.25">
      <c r="B4" s="83" t="s">
        <v>257</v>
      </c>
      <c r="C4" s="100">
        <v>7500</v>
      </c>
    </row>
    <row r="5" spans="1:13" x14ac:dyDescent="0.25">
      <c r="B5" s="83" t="s">
        <v>317</v>
      </c>
      <c r="C5" s="100">
        <v>21000</v>
      </c>
    </row>
    <row r="6" spans="1:13" x14ac:dyDescent="0.25">
      <c r="B6" s="83" t="s">
        <v>244</v>
      </c>
      <c r="C6" s="100">
        <v>150</v>
      </c>
    </row>
    <row r="7" spans="1:13" x14ac:dyDescent="0.25">
      <c r="B7" s="83" t="s">
        <v>294</v>
      </c>
      <c r="C7" s="100">
        <v>50</v>
      </c>
    </row>
    <row r="8" spans="1:13" x14ac:dyDescent="0.25">
      <c r="B8" s="83" t="s">
        <v>268</v>
      </c>
      <c r="C8" s="100">
        <v>1320</v>
      </c>
    </row>
    <row r="9" spans="1:13" x14ac:dyDescent="0.25">
      <c r="B9" s="83" t="s">
        <v>318</v>
      </c>
      <c r="C9" s="100">
        <v>960</v>
      </c>
    </row>
    <row r="11" spans="1:13" x14ac:dyDescent="0.25">
      <c r="A11" s="83" t="s">
        <v>65</v>
      </c>
      <c r="B11" s="83" t="s">
        <v>268</v>
      </c>
      <c r="C11" s="100">
        <f>C8</f>
        <v>1320</v>
      </c>
    </row>
    <row r="12" spans="1:13" x14ac:dyDescent="0.25">
      <c r="A12" s="111" t="s">
        <v>127</v>
      </c>
      <c r="B12" s="83" t="s">
        <v>244</v>
      </c>
      <c r="C12" s="100">
        <f>C6</f>
        <v>150</v>
      </c>
    </row>
    <row r="13" spans="1:13" s="5" customFormat="1" ht="20.25" x14ac:dyDescent="0.3">
      <c r="A13" s="111" t="s">
        <v>128</v>
      </c>
      <c r="B13" s="83" t="s">
        <v>319</v>
      </c>
      <c r="C13" s="104">
        <f>SUM(C11:C12)</f>
        <v>1470</v>
      </c>
      <c r="D13" s="100"/>
      <c r="E13" s="100"/>
      <c r="F13" s="100"/>
      <c r="G13" s="83"/>
      <c r="H13" s="83"/>
      <c r="I13" s="83"/>
      <c r="J13" s="83"/>
      <c r="K13" s="83"/>
      <c r="L13" s="83"/>
      <c r="M13" s="83"/>
    </row>
    <row r="15" spans="1:13" x14ac:dyDescent="0.25">
      <c r="B15" s="83" t="s">
        <v>320</v>
      </c>
      <c r="C15" s="108">
        <f>C13/C3</f>
        <v>0.1225</v>
      </c>
    </row>
    <row r="17" spans="1:5" x14ac:dyDescent="0.25">
      <c r="B17" s="83" t="s">
        <v>321</v>
      </c>
      <c r="E17" s="100">
        <f>C3-C4</f>
        <v>4500</v>
      </c>
    </row>
    <row r="19" spans="1:5" x14ac:dyDescent="0.25">
      <c r="B19" s="83" t="s">
        <v>322</v>
      </c>
      <c r="C19" s="108">
        <f>C8/E17</f>
        <v>0.29333333333333333</v>
      </c>
    </row>
    <row r="20" spans="1:5" x14ac:dyDescent="0.25">
      <c r="C20" s="109"/>
    </row>
    <row r="21" spans="1:5" x14ac:dyDescent="0.25">
      <c r="B21" s="83" t="s">
        <v>338</v>
      </c>
      <c r="C21" s="109"/>
    </row>
    <row r="22" spans="1:5" x14ac:dyDescent="0.25">
      <c r="B22" s="83" t="s">
        <v>339</v>
      </c>
      <c r="C22" s="109"/>
    </row>
    <row r="23" spans="1:5" x14ac:dyDescent="0.25">
      <c r="B23" s="83" t="s">
        <v>340</v>
      </c>
      <c r="C23" s="109"/>
    </row>
    <row r="24" spans="1:5" x14ac:dyDescent="0.25">
      <c r="B24" s="83" t="s">
        <v>341</v>
      </c>
      <c r="C24" s="109"/>
    </row>
    <row r="25" spans="1:5" x14ac:dyDescent="0.25">
      <c r="B25" s="83" t="s">
        <v>342</v>
      </c>
      <c r="C25" s="109"/>
    </row>
    <row r="26" spans="1:5" x14ac:dyDescent="0.25">
      <c r="C26" s="109"/>
    </row>
    <row r="27" spans="1:5" x14ac:dyDescent="0.25">
      <c r="A27" s="83" t="s">
        <v>74</v>
      </c>
      <c r="B27" s="83" t="s">
        <v>343</v>
      </c>
      <c r="C27" s="109"/>
    </row>
    <row r="28" spans="1:5" x14ac:dyDescent="0.25">
      <c r="B28" s="83" t="s">
        <v>476</v>
      </c>
      <c r="C28" s="109"/>
    </row>
    <row r="29" spans="1:5" x14ac:dyDescent="0.25">
      <c r="B29" s="83" t="s">
        <v>475</v>
      </c>
      <c r="C29" s="109"/>
    </row>
    <row r="30" spans="1:5" x14ac:dyDescent="0.25">
      <c r="C30" s="109"/>
    </row>
    <row r="31" spans="1:5" x14ac:dyDescent="0.25">
      <c r="A31" s="83" t="s">
        <v>119</v>
      </c>
      <c r="B31" s="83" t="s">
        <v>323</v>
      </c>
      <c r="C31" s="131">
        <f>C6/C4</f>
        <v>0.02</v>
      </c>
    </row>
    <row r="33" spans="1:2" x14ac:dyDescent="0.25">
      <c r="B33" s="83" t="s">
        <v>324</v>
      </c>
    </row>
    <row r="34" spans="1:2" ht="16.5" x14ac:dyDescent="0.3">
      <c r="B34" s="83" t="s">
        <v>325</v>
      </c>
    </row>
    <row r="35" spans="1:2" x14ac:dyDescent="0.25">
      <c r="B35" s="83" t="s">
        <v>326</v>
      </c>
    </row>
    <row r="36" spans="1:2" x14ac:dyDescent="0.25">
      <c r="B36" s="83" t="s">
        <v>327</v>
      </c>
    </row>
    <row r="37" spans="1:2" x14ac:dyDescent="0.25">
      <c r="B37" s="83" t="s">
        <v>328</v>
      </c>
    </row>
    <row r="39" spans="1:2" x14ac:dyDescent="0.25">
      <c r="A39" s="83" t="s">
        <v>249</v>
      </c>
      <c r="B39" s="83" t="s">
        <v>329</v>
      </c>
    </row>
    <row r="40" spans="1:2" x14ac:dyDescent="0.25">
      <c r="B40" s="83" t="s">
        <v>330</v>
      </c>
    </row>
    <row r="41" spans="1:2" x14ac:dyDescent="0.25">
      <c r="B41" s="83" t="s">
        <v>331</v>
      </c>
    </row>
    <row r="42" spans="1:2" x14ac:dyDescent="0.25">
      <c r="B42" s="83" t="s">
        <v>332</v>
      </c>
    </row>
    <row r="43" spans="1:2" x14ac:dyDescent="0.25">
      <c r="B43" s="83" t="s">
        <v>333</v>
      </c>
    </row>
    <row r="44" spans="1:2" x14ac:dyDescent="0.25">
      <c r="B44" s="83" t="s">
        <v>334</v>
      </c>
    </row>
    <row r="45" spans="1:2" x14ac:dyDescent="0.25">
      <c r="B45" s="83" t="s">
        <v>335</v>
      </c>
    </row>
    <row r="47" spans="1:2" x14ac:dyDescent="0.25">
      <c r="B47" s="83" t="s">
        <v>336</v>
      </c>
    </row>
    <row r="48" spans="1:2" x14ac:dyDescent="0.25">
      <c r="B48" s="83" t="s">
        <v>337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/>
  </sheetViews>
  <sheetFormatPr baseColWidth="10" defaultRowHeight="15.75" x14ac:dyDescent="0.25"/>
  <cols>
    <col min="1" max="1" width="6.5703125" style="2" customWidth="1"/>
    <col min="2" max="2" width="30.42578125" style="2" bestFit="1" customWidth="1"/>
    <col min="3" max="4" width="11.42578125" style="3"/>
    <col min="5" max="5" width="7.28515625" style="3" customWidth="1"/>
    <col min="6" max="6" width="10.5703125" style="3" customWidth="1"/>
    <col min="7" max="16384" width="11.42578125" style="2"/>
  </cols>
  <sheetData>
    <row r="1" spans="1:8" x14ac:dyDescent="0.25">
      <c r="A1" s="7" t="s">
        <v>344</v>
      </c>
    </row>
    <row r="3" spans="1:8" x14ac:dyDescent="0.25">
      <c r="A3" s="2" t="s">
        <v>65</v>
      </c>
      <c r="B3" s="2" t="s">
        <v>405</v>
      </c>
      <c r="F3" s="3">
        <f>15000000*0.2</f>
        <v>3000000</v>
      </c>
    </row>
    <row r="4" spans="1:8" x14ac:dyDescent="0.25">
      <c r="B4" s="2" t="s">
        <v>409</v>
      </c>
      <c r="D4" s="3">
        <f>15000000*0.4</f>
        <v>6000000</v>
      </c>
    </row>
    <row r="5" spans="1:8" x14ac:dyDescent="0.25">
      <c r="B5" s="2" t="s">
        <v>406</v>
      </c>
    </row>
    <row r="7" spans="1:8" x14ac:dyDescent="0.25">
      <c r="B7" s="2" t="s">
        <v>535</v>
      </c>
    </row>
    <row r="8" spans="1:8" x14ac:dyDescent="0.25">
      <c r="B8" s="2" t="s">
        <v>407</v>
      </c>
      <c r="D8" s="3">
        <f>F3-180000</f>
        <v>2820000</v>
      </c>
    </row>
    <row r="10" spans="1:8" x14ac:dyDescent="0.25">
      <c r="B10" s="2" t="s">
        <v>408</v>
      </c>
      <c r="E10" s="153">
        <f>D8/D4</f>
        <v>0.47</v>
      </c>
    </row>
    <row r="12" spans="1:8" x14ac:dyDescent="0.25">
      <c r="A12" s="2" t="s">
        <v>74</v>
      </c>
      <c r="B12" s="2" t="s">
        <v>236</v>
      </c>
      <c r="C12" s="4">
        <f>C18-C16</f>
        <v>2990000</v>
      </c>
    </row>
    <row r="14" spans="1:8" x14ac:dyDescent="0.25">
      <c r="B14" s="2" t="s">
        <v>294</v>
      </c>
      <c r="C14" s="3">
        <v>10000</v>
      </c>
    </row>
    <row r="15" spans="1:8" x14ac:dyDescent="0.25">
      <c r="B15" s="2" t="s">
        <v>244</v>
      </c>
      <c r="C15" s="3">
        <v>180000</v>
      </c>
    </row>
    <row r="16" spans="1:8" s="5" customFormat="1" ht="20.25" x14ac:dyDescent="0.3">
      <c r="A16" s="2"/>
      <c r="B16" s="2" t="s">
        <v>237</v>
      </c>
      <c r="C16" s="6">
        <f>C14-C15</f>
        <v>-170000</v>
      </c>
      <c r="D16" s="3"/>
      <c r="E16" s="3"/>
      <c r="F16" s="3"/>
      <c r="G16" s="2"/>
      <c r="H16" s="2"/>
    </row>
    <row r="18" spans="2:3" x14ac:dyDescent="0.25">
      <c r="B18" s="2" t="s">
        <v>268</v>
      </c>
      <c r="C18" s="3">
        <f>D8</f>
        <v>2820000</v>
      </c>
    </row>
    <row r="20" spans="2:3" x14ac:dyDescent="0.25">
      <c r="B20" s="2" t="s">
        <v>536</v>
      </c>
    </row>
    <row r="21" spans="2:3" x14ac:dyDescent="0.25">
      <c r="B21" s="2" t="s">
        <v>537</v>
      </c>
    </row>
    <row r="22" spans="2:3" x14ac:dyDescent="0.25">
      <c r="B22" s="2" t="s">
        <v>538</v>
      </c>
    </row>
    <row r="24" spans="2:3" x14ac:dyDescent="0.25">
      <c r="B24" s="2" t="s">
        <v>539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2"/>
  <sheetViews>
    <sheetView showGridLines="0" showZeros="0" workbookViewId="0"/>
  </sheetViews>
  <sheetFormatPr baseColWidth="10" defaultRowHeight="12.75" x14ac:dyDescent="0.2"/>
  <cols>
    <col min="1" max="1" width="6.5703125" style="33" customWidth="1"/>
    <col min="2" max="2" width="29.42578125" style="33" customWidth="1"/>
    <col min="3" max="3" width="8.7109375" style="33" customWidth="1"/>
    <col min="4" max="4" width="2.28515625" style="73" customWidth="1"/>
    <col min="5" max="5" width="8.7109375" style="33" customWidth="1"/>
    <col min="6" max="6" width="2.28515625" style="33" customWidth="1"/>
    <col min="7" max="7" width="8.7109375" style="33" customWidth="1"/>
    <col min="8" max="253" width="11.42578125" style="33"/>
    <col min="254" max="254" width="4.85546875" style="33" customWidth="1"/>
    <col min="255" max="255" width="6.5703125" style="33" customWidth="1"/>
    <col min="256" max="256" width="29.42578125" style="33" customWidth="1"/>
    <col min="257" max="257" width="7.5703125" style="33" customWidth="1"/>
    <col min="258" max="258" width="2.28515625" style="33" customWidth="1"/>
    <col min="259" max="259" width="11.42578125" style="33"/>
    <col min="260" max="260" width="2.28515625" style="33" customWidth="1"/>
    <col min="261" max="509" width="11.42578125" style="33"/>
    <col min="510" max="510" width="4.85546875" style="33" customWidth="1"/>
    <col min="511" max="511" width="6.5703125" style="33" customWidth="1"/>
    <col min="512" max="512" width="29.42578125" style="33" customWidth="1"/>
    <col min="513" max="513" width="7.5703125" style="33" customWidth="1"/>
    <col min="514" max="514" width="2.28515625" style="33" customWidth="1"/>
    <col min="515" max="515" width="11.42578125" style="33"/>
    <col min="516" max="516" width="2.28515625" style="33" customWidth="1"/>
    <col min="517" max="765" width="11.42578125" style="33"/>
    <col min="766" max="766" width="4.85546875" style="33" customWidth="1"/>
    <col min="767" max="767" width="6.5703125" style="33" customWidth="1"/>
    <col min="768" max="768" width="29.42578125" style="33" customWidth="1"/>
    <col min="769" max="769" width="7.5703125" style="33" customWidth="1"/>
    <col min="770" max="770" width="2.28515625" style="33" customWidth="1"/>
    <col min="771" max="771" width="11.42578125" style="33"/>
    <col min="772" max="772" width="2.28515625" style="33" customWidth="1"/>
    <col min="773" max="1021" width="11.42578125" style="33"/>
    <col min="1022" max="1022" width="4.85546875" style="33" customWidth="1"/>
    <col min="1023" max="1023" width="6.5703125" style="33" customWidth="1"/>
    <col min="1024" max="1024" width="29.42578125" style="33" customWidth="1"/>
    <col min="1025" max="1025" width="7.5703125" style="33" customWidth="1"/>
    <col min="1026" max="1026" width="2.28515625" style="33" customWidth="1"/>
    <col min="1027" max="1027" width="11.42578125" style="33"/>
    <col min="1028" max="1028" width="2.28515625" style="33" customWidth="1"/>
    <col min="1029" max="1277" width="11.42578125" style="33"/>
    <col min="1278" max="1278" width="4.85546875" style="33" customWidth="1"/>
    <col min="1279" max="1279" width="6.5703125" style="33" customWidth="1"/>
    <col min="1280" max="1280" width="29.42578125" style="33" customWidth="1"/>
    <col min="1281" max="1281" width="7.5703125" style="33" customWidth="1"/>
    <col min="1282" max="1282" width="2.28515625" style="33" customWidth="1"/>
    <col min="1283" max="1283" width="11.42578125" style="33"/>
    <col min="1284" max="1284" width="2.28515625" style="33" customWidth="1"/>
    <col min="1285" max="1533" width="11.42578125" style="33"/>
    <col min="1534" max="1534" width="4.85546875" style="33" customWidth="1"/>
    <col min="1535" max="1535" width="6.5703125" style="33" customWidth="1"/>
    <col min="1536" max="1536" width="29.42578125" style="33" customWidth="1"/>
    <col min="1537" max="1537" width="7.5703125" style="33" customWidth="1"/>
    <col min="1538" max="1538" width="2.28515625" style="33" customWidth="1"/>
    <col min="1539" max="1539" width="11.42578125" style="33"/>
    <col min="1540" max="1540" width="2.28515625" style="33" customWidth="1"/>
    <col min="1541" max="1789" width="11.42578125" style="33"/>
    <col min="1790" max="1790" width="4.85546875" style="33" customWidth="1"/>
    <col min="1791" max="1791" width="6.5703125" style="33" customWidth="1"/>
    <col min="1792" max="1792" width="29.42578125" style="33" customWidth="1"/>
    <col min="1793" max="1793" width="7.5703125" style="33" customWidth="1"/>
    <col min="1794" max="1794" width="2.28515625" style="33" customWidth="1"/>
    <col min="1795" max="1795" width="11.42578125" style="33"/>
    <col min="1796" max="1796" width="2.28515625" style="33" customWidth="1"/>
    <col min="1797" max="2045" width="11.42578125" style="33"/>
    <col min="2046" max="2046" width="4.85546875" style="33" customWidth="1"/>
    <col min="2047" max="2047" width="6.5703125" style="33" customWidth="1"/>
    <col min="2048" max="2048" width="29.42578125" style="33" customWidth="1"/>
    <col min="2049" max="2049" width="7.5703125" style="33" customWidth="1"/>
    <col min="2050" max="2050" width="2.28515625" style="33" customWidth="1"/>
    <col min="2051" max="2051" width="11.42578125" style="33"/>
    <col min="2052" max="2052" width="2.28515625" style="33" customWidth="1"/>
    <col min="2053" max="2301" width="11.42578125" style="33"/>
    <col min="2302" max="2302" width="4.85546875" style="33" customWidth="1"/>
    <col min="2303" max="2303" width="6.5703125" style="33" customWidth="1"/>
    <col min="2304" max="2304" width="29.42578125" style="33" customWidth="1"/>
    <col min="2305" max="2305" width="7.5703125" style="33" customWidth="1"/>
    <col min="2306" max="2306" width="2.28515625" style="33" customWidth="1"/>
    <col min="2307" max="2307" width="11.42578125" style="33"/>
    <col min="2308" max="2308" width="2.28515625" style="33" customWidth="1"/>
    <col min="2309" max="2557" width="11.42578125" style="33"/>
    <col min="2558" max="2558" width="4.85546875" style="33" customWidth="1"/>
    <col min="2559" max="2559" width="6.5703125" style="33" customWidth="1"/>
    <col min="2560" max="2560" width="29.42578125" style="33" customWidth="1"/>
    <col min="2561" max="2561" width="7.5703125" style="33" customWidth="1"/>
    <col min="2562" max="2562" width="2.28515625" style="33" customWidth="1"/>
    <col min="2563" max="2563" width="11.42578125" style="33"/>
    <col min="2564" max="2564" width="2.28515625" style="33" customWidth="1"/>
    <col min="2565" max="2813" width="11.42578125" style="33"/>
    <col min="2814" max="2814" width="4.85546875" style="33" customWidth="1"/>
    <col min="2815" max="2815" width="6.5703125" style="33" customWidth="1"/>
    <col min="2816" max="2816" width="29.42578125" style="33" customWidth="1"/>
    <col min="2817" max="2817" width="7.5703125" style="33" customWidth="1"/>
    <col min="2818" max="2818" width="2.28515625" style="33" customWidth="1"/>
    <col min="2819" max="2819" width="11.42578125" style="33"/>
    <col min="2820" max="2820" width="2.28515625" style="33" customWidth="1"/>
    <col min="2821" max="3069" width="11.42578125" style="33"/>
    <col min="3070" max="3070" width="4.85546875" style="33" customWidth="1"/>
    <col min="3071" max="3071" width="6.5703125" style="33" customWidth="1"/>
    <col min="3072" max="3072" width="29.42578125" style="33" customWidth="1"/>
    <col min="3073" max="3073" width="7.5703125" style="33" customWidth="1"/>
    <col min="3074" max="3074" width="2.28515625" style="33" customWidth="1"/>
    <col min="3075" max="3075" width="11.42578125" style="33"/>
    <col min="3076" max="3076" width="2.28515625" style="33" customWidth="1"/>
    <col min="3077" max="3325" width="11.42578125" style="33"/>
    <col min="3326" max="3326" width="4.85546875" style="33" customWidth="1"/>
    <col min="3327" max="3327" width="6.5703125" style="33" customWidth="1"/>
    <col min="3328" max="3328" width="29.42578125" style="33" customWidth="1"/>
    <col min="3329" max="3329" width="7.5703125" style="33" customWidth="1"/>
    <col min="3330" max="3330" width="2.28515625" style="33" customWidth="1"/>
    <col min="3331" max="3331" width="11.42578125" style="33"/>
    <col min="3332" max="3332" width="2.28515625" style="33" customWidth="1"/>
    <col min="3333" max="3581" width="11.42578125" style="33"/>
    <col min="3582" max="3582" width="4.85546875" style="33" customWidth="1"/>
    <col min="3583" max="3583" width="6.5703125" style="33" customWidth="1"/>
    <col min="3584" max="3584" width="29.42578125" style="33" customWidth="1"/>
    <col min="3585" max="3585" width="7.5703125" style="33" customWidth="1"/>
    <col min="3586" max="3586" width="2.28515625" style="33" customWidth="1"/>
    <col min="3587" max="3587" width="11.42578125" style="33"/>
    <col min="3588" max="3588" width="2.28515625" style="33" customWidth="1"/>
    <col min="3589" max="3837" width="11.42578125" style="33"/>
    <col min="3838" max="3838" width="4.85546875" style="33" customWidth="1"/>
    <col min="3839" max="3839" width="6.5703125" style="33" customWidth="1"/>
    <col min="3840" max="3840" width="29.42578125" style="33" customWidth="1"/>
    <col min="3841" max="3841" width="7.5703125" style="33" customWidth="1"/>
    <col min="3842" max="3842" width="2.28515625" style="33" customWidth="1"/>
    <col min="3843" max="3843" width="11.42578125" style="33"/>
    <col min="3844" max="3844" width="2.28515625" style="33" customWidth="1"/>
    <col min="3845" max="4093" width="11.42578125" style="33"/>
    <col min="4094" max="4094" width="4.85546875" style="33" customWidth="1"/>
    <col min="4095" max="4095" width="6.5703125" style="33" customWidth="1"/>
    <col min="4096" max="4096" width="29.42578125" style="33" customWidth="1"/>
    <col min="4097" max="4097" width="7.5703125" style="33" customWidth="1"/>
    <col min="4098" max="4098" width="2.28515625" style="33" customWidth="1"/>
    <col min="4099" max="4099" width="11.42578125" style="33"/>
    <col min="4100" max="4100" width="2.28515625" style="33" customWidth="1"/>
    <col min="4101" max="4349" width="11.42578125" style="33"/>
    <col min="4350" max="4350" width="4.85546875" style="33" customWidth="1"/>
    <col min="4351" max="4351" width="6.5703125" style="33" customWidth="1"/>
    <col min="4352" max="4352" width="29.42578125" style="33" customWidth="1"/>
    <col min="4353" max="4353" width="7.5703125" style="33" customWidth="1"/>
    <col min="4354" max="4354" width="2.28515625" style="33" customWidth="1"/>
    <col min="4355" max="4355" width="11.42578125" style="33"/>
    <col min="4356" max="4356" width="2.28515625" style="33" customWidth="1"/>
    <col min="4357" max="4605" width="11.42578125" style="33"/>
    <col min="4606" max="4606" width="4.85546875" style="33" customWidth="1"/>
    <col min="4607" max="4607" width="6.5703125" style="33" customWidth="1"/>
    <col min="4608" max="4608" width="29.42578125" style="33" customWidth="1"/>
    <col min="4609" max="4609" width="7.5703125" style="33" customWidth="1"/>
    <col min="4610" max="4610" width="2.28515625" style="33" customWidth="1"/>
    <col min="4611" max="4611" width="11.42578125" style="33"/>
    <col min="4612" max="4612" width="2.28515625" style="33" customWidth="1"/>
    <col min="4613" max="4861" width="11.42578125" style="33"/>
    <col min="4862" max="4862" width="4.85546875" style="33" customWidth="1"/>
    <col min="4863" max="4863" width="6.5703125" style="33" customWidth="1"/>
    <col min="4864" max="4864" width="29.42578125" style="33" customWidth="1"/>
    <col min="4865" max="4865" width="7.5703125" style="33" customWidth="1"/>
    <col min="4866" max="4866" width="2.28515625" style="33" customWidth="1"/>
    <col min="4867" max="4867" width="11.42578125" style="33"/>
    <col min="4868" max="4868" width="2.28515625" style="33" customWidth="1"/>
    <col min="4869" max="5117" width="11.42578125" style="33"/>
    <col min="5118" max="5118" width="4.85546875" style="33" customWidth="1"/>
    <col min="5119" max="5119" width="6.5703125" style="33" customWidth="1"/>
    <col min="5120" max="5120" width="29.42578125" style="33" customWidth="1"/>
    <col min="5121" max="5121" width="7.5703125" style="33" customWidth="1"/>
    <col min="5122" max="5122" width="2.28515625" style="33" customWidth="1"/>
    <col min="5123" max="5123" width="11.42578125" style="33"/>
    <col min="5124" max="5124" width="2.28515625" style="33" customWidth="1"/>
    <col min="5125" max="5373" width="11.42578125" style="33"/>
    <col min="5374" max="5374" width="4.85546875" style="33" customWidth="1"/>
    <col min="5375" max="5375" width="6.5703125" style="33" customWidth="1"/>
    <col min="5376" max="5376" width="29.42578125" style="33" customWidth="1"/>
    <col min="5377" max="5377" width="7.5703125" style="33" customWidth="1"/>
    <col min="5378" max="5378" width="2.28515625" style="33" customWidth="1"/>
    <col min="5379" max="5379" width="11.42578125" style="33"/>
    <col min="5380" max="5380" width="2.28515625" style="33" customWidth="1"/>
    <col min="5381" max="5629" width="11.42578125" style="33"/>
    <col min="5630" max="5630" width="4.85546875" style="33" customWidth="1"/>
    <col min="5631" max="5631" width="6.5703125" style="33" customWidth="1"/>
    <col min="5632" max="5632" width="29.42578125" style="33" customWidth="1"/>
    <col min="5633" max="5633" width="7.5703125" style="33" customWidth="1"/>
    <col min="5634" max="5634" width="2.28515625" style="33" customWidth="1"/>
    <col min="5635" max="5635" width="11.42578125" style="33"/>
    <col min="5636" max="5636" width="2.28515625" style="33" customWidth="1"/>
    <col min="5637" max="5885" width="11.42578125" style="33"/>
    <col min="5886" max="5886" width="4.85546875" style="33" customWidth="1"/>
    <col min="5887" max="5887" width="6.5703125" style="33" customWidth="1"/>
    <col min="5888" max="5888" width="29.42578125" style="33" customWidth="1"/>
    <col min="5889" max="5889" width="7.5703125" style="33" customWidth="1"/>
    <col min="5890" max="5890" width="2.28515625" style="33" customWidth="1"/>
    <col min="5891" max="5891" width="11.42578125" style="33"/>
    <col min="5892" max="5892" width="2.28515625" style="33" customWidth="1"/>
    <col min="5893" max="6141" width="11.42578125" style="33"/>
    <col min="6142" max="6142" width="4.85546875" style="33" customWidth="1"/>
    <col min="6143" max="6143" width="6.5703125" style="33" customWidth="1"/>
    <col min="6144" max="6144" width="29.42578125" style="33" customWidth="1"/>
    <col min="6145" max="6145" width="7.5703125" style="33" customWidth="1"/>
    <col min="6146" max="6146" width="2.28515625" style="33" customWidth="1"/>
    <col min="6147" max="6147" width="11.42578125" style="33"/>
    <col min="6148" max="6148" width="2.28515625" style="33" customWidth="1"/>
    <col min="6149" max="6397" width="11.42578125" style="33"/>
    <col min="6398" max="6398" width="4.85546875" style="33" customWidth="1"/>
    <col min="6399" max="6399" width="6.5703125" style="33" customWidth="1"/>
    <col min="6400" max="6400" width="29.42578125" style="33" customWidth="1"/>
    <col min="6401" max="6401" width="7.5703125" style="33" customWidth="1"/>
    <col min="6402" max="6402" width="2.28515625" style="33" customWidth="1"/>
    <col min="6403" max="6403" width="11.42578125" style="33"/>
    <col min="6404" max="6404" width="2.28515625" style="33" customWidth="1"/>
    <col min="6405" max="6653" width="11.42578125" style="33"/>
    <col min="6654" max="6654" width="4.85546875" style="33" customWidth="1"/>
    <col min="6655" max="6655" width="6.5703125" style="33" customWidth="1"/>
    <col min="6656" max="6656" width="29.42578125" style="33" customWidth="1"/>
    <col min="6657" max="6657" width="7.5703125" style="33" customWidth="1"/>
    <col min="6658" max="6658" width="2.28515625" style="33" customWidth="1"/>
    <col min="6659" max="6659" width="11.42578125" style="33"/>
    <col min="6660" max="6660" width="2.28515625" style="33" customWidth="1"/>
    <col min="6661" max="6909" width="11.42578125" style="33"/>
    <col min="6910" max="6910" width="4.85546875" style="33" customWidth="1"/>
    <col min="6911" max="6911" width="6.5703125" style="33" customWidth="1"/>
    <col min="6912" max="6912" width="29.42578125" style="33" customWidth="1"/>
    <col min="6913" max="6913" width="7.5703125" style="33" customWidth="1"/>
    <col min="6914" max="6914" width="2.28515625" style="33" customWidth="1"/>
    <col min="6915" max="6915" width="11.42578125" style="33"/>
    <col min="6916" max="6916" width="2.28515625" style="33" customWidth="1"/>
    <col min="6917" max="7165" width="11.42578125" style="33"/>
    <col min="7166" max="7166" width="4.85546875" style="33" customWidth="1"/>
    <col min="7167" max="7167" width="6.5703125" style="33" customWidth="1"/>
    <col min="7168" max="7168" width="29.42578125" style="33" customWidth="1"/>
    <col min="7169" max="7169" width="7.5703125" style="33" customWidth="1"/>
    <col min="7170" max="7170" width="2.28515625" style="33" customWidth="1"/>
    <col min="7171" max="7171" width="11.42578125" style="33"/>
    <col min="7172" max="7172" width="2.28515625" style="33" customWidth="1"/>
    <col min="7173" max="7421" width="11.42578125" style="33"/>
    <col min="7422" max="7422" width="4.85546875" style="33" customWidth="1"/>
    <col min="7423" max="7423" width="6.5703125" style="33" customWidth="1"/>
    <col min="7424" max="7424" width="29.42578125" style="33" customWidth="1"/>
    <col min="7425" max="7425" width="7.5703125" style="33" customWidth="1"/>
    <col min="7426" max="7426" width="2.28515625" style="33" customWidth="1"/>
    <col min="7427" max="7427" width="11.42578125" style="33"/>
    <col min="7428" max="7428" width="2.28515625" style="33" customWidth="1"/>
    <col min="7429" max="7677" width="11.42578125" style="33"/>
    <col min="7678" max="7678" width="4.85546875" style="33" customWidth="1"/>
    <col min="7679" max="7679" width="6.5703125" style="33" customWidth="1"/>
    <col min="7680" max="7680" width="29.42578125" style="33" customWidth="1"/>
    <col min="7681" max="7681" width="7.5703125" style="33" customWidth="1"/>
    <col min="7682" max="7682" width="2.28515625" style="33" customWidth="1"/>
    <col min="7683" max="7683" width="11.42578125" style="33"/>
    <col min="7684" max="7684" width="2.28515625" style="33" customWidth="1"/>
    <col min="7685" max="7933" width="11.42578125" style="33"/>
    <col min="7934" max="7934" width="4.85546875" style="33" customWidth="1"/>
    <col min="7935" max="7935" width="6.5703125" style="33" customWidth="1"/>
    <col min="7936" max="7936" width="29.42578125" style="33" customWidth="1"/>
    <col min="7937" max="7937" width="7.5703125" style="33" customWidth="1"/>
    <col min="7938" max="7938" width="2.28515625" style="33" customWidth="1"/>
    <col min="7939" max="7939" width="11.42578125" style="33"/>
    <col min="7940" max="7940" width="2.28515625" style="33" customWidth="1"/>
    <col min="7941" max="8189" width="11.42578125" style="33"/>
    <col min="8190" max="8190" width="4.85546875" style="33" customWidth="1"/>
    <col min="8191" max="8191" width="6.5703125" style="33" customWidth="1"/>
    <col min="8192" max="8192" width="29.42578125" style="33" customWidth="1"/>
    <col min="8193" max="8193" width="7.5703125" style="33" customWidth="1"/>
    <col min="8194" max="8194" width="2.28515625" style="33" customWidth="1"/>
    <col min="8195" max="8195" width="11.42578125" style="33"/>
    <col min="8196" max="8196" width="2.28515625" style="33" customWidth="1"/>
    <col min="8197" max="8445" width="11.42578125" style="33"/>
    <col min="8446" max="8446" width="4.85546875" style="33" customWidth="1"/>
    <col min="8447" max="8447" width="6.5703125" style="33" customWidth="1"/>
    <col min="8448" max="8448" width="29.42578125" style="33" customWidth="1"/>
    <col min="8449" max="8449" width="7.5703125" style="33" customWidth="1"/>
    <col min="8450" max="8450" width="2.28515625" style="33" customWidth="1"/>
    <col min="8451" max="8451" width="11.42578125" style="33"/>
    <col min="8452" max="8452" width="2.28515625" style="33" customWidth="1"/>
    <col min="8453" max="8701" width="11.42578125" style="33"/>
    <col min="8702" max="8702" width="4.85546875" style="33" customWidth="1"/>
    <col min="8703" max="8703" width="6.5703125" style="33" customWidth="1"/>
    <col min="8704" max="8704" width="29.42578125" style="33" customWidth="1"/>
    <col min="8705" max="8705" width="7.5703125" style="33" customWidth="1"/>
    <col min="8706" max="8706" width="2.28515625" style="33" customWidth="1"/>
    <col min="8707" max="8707" width="11.42578125" style="33"/>
    <col min="8708" max="8708" width="2.28515625" style="33" customWidth="1"/>
    <col min="8709" max="8957" width="11.42578125" style="33"/>
    <col min="8958" max="8958" width="4.85546875" style="33" customWidth="1"/>
    <col min="8959" max="8959" width="6.5703125" style="33" customWidth="1"/>
    <col min="8960" max="8960" width="29.42578125" style="33" customWidth="1"/>
    <col min="8961" max="8961" width="7.5703125" style="33" customWidth="1"/>
    <col min="8962" max="8962" width="2.28515625" style="33" customWidth="1"/>
    <col min="8963" max="8963" width="11.42578125" style="33"/>
    <col min="8964" max="8964" width="2.28515625" style="33" customWidth="1"/>
    <col min="8965" max="9213" width="11.42578125" style="33"/>
    <col min="9214" max="9214" width="4.85546875" style="33" customWidth="1"/>
    <col min="9215" max="9215" width="6.5703125" style="33" customWidth="1"/>
    <col min="9216" max="9216" width="29.42578125" style="33" customWidth="1"/>
    <col min="9217" max="9217" width="7.5703125" style="33" customWidth="1"/>
    <col min="9218" max="9218" width="2.28515625" style="33" customWidth="1"/>
    <col min="9219" max="9219" width="11.42578125" style="33"/>
    <col min="9220" max="9220" width="2.28515625" style="33" customWidth="1"/>
    <col min="9221" max="9469" width="11.42578125" style="33"/>
    <col min="9470" max="9470" width="4.85546875" style="33" customWidth="1"/>
    <col min="9471" max="9471" width="6.5703125" style="33" customWidth="1"/>
    <col min="9472" max="9472" width="29.42578125" style="33" customWidth="1"/>
    <col min="9473" max="9473" width="7.5703125" style="33" customWidth="1"/>
    <col min="9474" max="9474" width="2.28515625" style="33" customWidth="1"/>
    <col min="9475" max="9475" width="11.42578125" style="33"/>
    <col min="9476" max="9476" width="2.28515625" style="33" customWidth="1"/>
    <col min="9477" max="9725" width="11.42578125" style="33"/>
    <col min="9726" max="9726" width="4.85546875" style="33" customWidth="1"/>
    <col min="9727" max="9727" width="6.5703125" style="33" customWidth="1"/>
    <col min="9728" max="9728" width="29.42578125" style="33" customWidth="1"/>
    <col min="9729" max="9729" width="7.5703125" style="33" customWidth="1"/>
    <col min="9730" max="9730" width="2.28515625" style="33" customWidth="1"/>
    <col min="9731" max="9731" width="11.42578125" style="33"/>
    <col min="9732" max="9732" width="2.28515625" style="33" customWidth="1"/>
    <col min="9733" max="9981" width="11.42578125" style="33"/>
    <col min="9982" max="9982" width="4.85546875" style="33" customWidth="1"/>
    <col min="9983" max="9983" width="6.5703125" style="33" customWidth="1"/>
    <col min="9984" max="9984" width="29.42578125" style="33" customWidth="1"/>
    <col min="9985" max="9985" width="7.5703125" style="33" customWidth="1"/>
    <col min="9986" max="9986" width="2.28515625" style="33" customWidth="1"/>
    <col min="9987" max="9987" width="11.42578125" style="33"/>
    <col min="9988" max="9988" width="2.28515625" style="33" customWidth="1"/>
    <col min="9989" max="10237" width="11.42578125" style="33"/>
    <col min="10238" max="10238" width="4.85546875" style="33" customWidth="1"/>
    <col min="10239" max="10239" width="6.5703125" style="33" customWidth="1"/>
    <col min="10240" max="10240" width="29.42578125" style="33" customWidth="1"/>
    <col min="10241" max="10241" width="7.5703125" style="33" customWidth="1"/>
    <col min="10242" max="10242" width="2.28515625" style="33" customWidth="1"/>
    <col min="10243" max="10243" width="11.42578125" style="33"/>
    <col min="10244" max="10244" width="2.28515625" style="33" customWidth="1"/>
    <col min="10245" max="10493" width="11.42578125" style="33"/>
    <col min="10494" max="10494" width="4.85546875" style="33" customWidth="1"/>
    <col min="10495" max="10495" width="6.5703125" style="33" customWidth="1"/>
    <col min="10496" max="10496" width="29.42578125" style="33" customWidth="1"/>
    <col min="10497" max="10497" width="7.5703125" style="33" customWidth="1"/>
    <col min="10498" max="10498" width="2.28515625" style="33" customWidth="1"/>
    <col min="10499" max="10499" width="11.42578125" style="33"/>
    <col min="10500" max="10500" width="2.28515625" style="33" customWidth="1"/>
    <col min="10501" max="10749" width="11.42578125" style="33"/>
    <col min="10750" max="10750" width="4.85546875" style="33" customWidth="1"/>
    <col min="10751" max="10751" width="6.5703125" style="33" customWidth="1"/>
    <col min="10752" max="10752" width="29.42578125" style="33" customWidth="1"/>
    <col min="10753" max="10753" width="7.5703125" style="33" customWidth="1"/>
    <col min="10754" max="10754" width="2.28515625" style="33" customWidth="1"/>
    <col min="10755" max="10755" width="11.42578125" style="33"/>
    <col min="10756" max="10756" width="2.28515625" style="33" customWidth="1"/>
    <col min="10757" max="11005" width="11.42578125" style="33"/>
    <col min="11006" max="11006" width="4.85546875" style="33" customWidth="1"/>
    <col min="11007" max="11007" width="6.5703125" style="33" customWidth="1"/>
    <col min="11008" max="11008" width="29.42578125" style="33" customWidth="1"/>
    <col min="11009" max="11009" width="7.5703125" style="33" customWidth="1"/>
    <col min="11010" max="11010" width="2.28515625" style="33" customWidth="1"/>
    <col min="11011" max="11011" width="11.42578125" style="33"/>
    <col min="11012" max="11012" width="2.28515625" style="33" customWidth="1"/>
    <col min="11013" max="11261" width="11.42578125" style="33"/>
    <col min="11262" max="11262" width="4.85546875" style="33" customWidth="1"/>
    <col min="11263" max="11263" width="6.5703125" style="33" customWidth="1"/>
    <col min="11264" max="11264" width="29.42578125" style="33" customWidth="1"/>
    <col min="11265" max="11265" width="7.5703125" style="33" customWidth="1"/>
    <col min="11266" max="11266" width="2.28515625" style="33" customWidth="1"/>
    <col min="11267" max="11267" width="11.42578125" style="33"/>
    <col min="11268" max="11268" width="2.28515625" style="33" customWidth="1"/>
    <col min="11269" max="11517" width="11.42578125" style="33"/>
    <col min="11518" max="11518" width="4.85546875" style="33" customWidth="1"/>
    <col min="11519" max="11519" width="6.5703125" style="33" customWidth="1"/>
    <col min="11520" max="11520" width="29.42578125" style="33" customWidth="1"/>
    <col min="11521" max="11521" width="7.5703125" style="33" customWidth="1"/>
    <col min="11522" max="11522" width="2.28515625" style="33" customWidth="1"/>
    <col min="11523" max="11523" width="11.42578125" style="33"/>
    <col min="11524" max="11524" width="2.28515625" style="33" customWidth="1"/>
    <col min="11525" max="11773" width="11.42578125" style="33"/>
    <col min="11774" max="11774" width="4.85546875" style="33" customWidth="1"/>
    <col min="11775" max="11775" width="6.5703125" style="33" customWidth="1"/>
    <col min="11776" max="11776" width="29.42578125" style="33" customWidth="1"/>
    <col min="11777" max="11777" width="7.5703125" style="33" customWidth="1"/>
    <col min="11778" max="11778" width="2.28515625" style="33" customWidth="1"/>
    <col min="11779" max="11779" width="11.42578125" style="33"/>
    <col min="11780" max="11780" width="2.28515625" style="33" customWidth="1"/>
    <col min="11781" max="12029" width="11.42578125" style="33"/>
    <col min="12030" max="12030" width="4.85546875" style="33" customWidth="1"/>
    <col min="12031" max="12031" width="6.5703125" style="33" customWidth="1"/>
    <col min="12032" max="12032" width="29.42578125" style="33" customWidth="1"/>
    <col min="12033" max="12033" width="7.5703125" style="33" customWidth="1"/>
    <col min="12034" max="12034" width="2.28515625" style="33" customWidth="1"/>
    <col min="12035" max="12035" width="11.42578125" style="33"/>
    <col min="12036" max="12036" width="2.28515625" style="33" customWidth="1"/>
    <col min="12037" max="12285" width="11.42578125" style="33"/>
    <col min="12286" max="12286" width="4.85546875" style="33" customWidth="1"/>
    <col min="12287" max="12287" width="6.5703125" style="33" customWidth="1"/>
    <col min="12288" max="12288" width="29.42578125" style="33" customWidth="1"/>
    <col min="12289" max="12289" width="7.5703125" style="33" customWidth="1"/>
    <col min="12290" max="12290" width="2.28515625" style="33" customWidth="1"/>
    <col min="12291" max="12291" width="11.42578125" style="33"/>
    <col min="12292" max="12292" width="2.28515625" style="33" customWidth="1"/>
    <col min="12293" max="12541" width="11.42578125" style="33"/>
    <col min="12542" max="12542" width="4.85546875" style="33" customWidth="1"/>
    <col min="12543" max="12543" width="6.5703125" style="33" customWidth="1"/>
    <col min="12544" max="12544" width="29.42578125" style="33" customWidth="1"/>
    <col min="12545" max="12545" width="7.5703125" style="33" customWidth="1"/>
    <col min="12546" max="12546" width="2.28515625" style="33" customWidth="1"/>
    <col min="12547" max="12547" width="11.42578125" style="33"/>
    <col min="12548" max="12548" width="2.28515625" style="33" customWidth="1"/>
    <col min="12549" max="12797" width="11.42578125" style="33"/>
    <col min="12798" max="12798" width="4.85546875" style="33" customWidth="1"/>
    <col min="12799" max="12799" width="6.5703125" style="33" customWidth="1"/>
    <col min="12800" max="12800" width="29.42578125" style="33" customWidth="1"/>
    <col min="12801" max="12801" width="7.5703125" style="33" customWidth="1"/>
    <col min="12802" max="12802" width="2.28515625" style="33" customWidth="1"/>
    <col min="12803" max="12803" width="11.42578125" style="33"/>
    <col min="12804" max="12804" width="2.28515625" style="33" customWidth="1"/>
    <col min="12805" max="13053" width="11.42578125" style="33"/>
    <col min="13054" max="13054" width="4.85546875" style="33" customWidth="1"/>
    <col min="13055" max="13055" width="6.5703125" style="33" customWidth="1"/>
    <col min="13056" max="13056" width="29.42578125" style="33" customWidth="1"/>
    <col min="13057" max="13057" width="7.5703125" style="33" customWidth="1"/>
    <col min="13058" max="13058" width="2.28515625" style="33" customWidth="1"/>
    <col min="13059" max="13059" width="11.42578125" style="33"/>
    <col min="13060" max="13060" width="2.28515625" style="33" customWidth="1"/>
    <col min="13061" max="13309" width="11.42578125" style="33"/>
    <col min="13310" max="13310" width="4.85546875" style="33" customWidth="1"/>
    <col min="13311" max="13311" width="6.5703125" style="33" customWidth="1"/>
    <col min="13312" max="13312" width="29.42578125" style="33" customWidth="1"/>
    <col min="13313" max="13313" width="7.5703125" style="33" customWidth="1"/>
    <col min="13314" max="13314" width="2.28515625" style="33" customWidth="1"/>
    <col min="13315" max="13315" width="11.42578125" style="33"/>
    <col min="13316" max="13316" width="2.28515625" style="33" customWidth="1"/>
    <col min="13317" max="13565" width="11.42578125" style="33"/>
    <col min="13566" max="13566" width="4.85546875" style="33" customWidth="1"/>
    <col min="13567" max="13567" width="6.5703125" style="33" customWidth="1"/>
    <col min="13568" max="13568" width="29.42578125" style="33" customWidth="1"/>
    <col min="13569" max="13569" width="7.5703125" style="33" customWidth="1"/>
    <col min="13570" max="13570" width="2.28515625" style="33" customWidth="1"/>
    <col min="13571" max="13571" width="11.42578125" style="33"/>
    <col min="13572" max="13572" width="2.28515625" style="33" customWidth="1"/>
    <col min="13573" max="13821" width="11.42578125" style="33"/>
    <col min="13822" max="13822" width="4.85546875" style="33" customWidth="1"/>
    <col min="13823" max="13823" width="6.5703125" style="33" customWidth="1"/>
    <col min="13824" max="13824" width="29.42578125" style="33" customWidth="1"/>
    <col min="13825" max="13825" width="7.5703125" style="33" customWidth="1"/>
    <col min="13826" max="13826" width="2.28515625" style="33" customWidth="1"/>
    <col min="13827" max="13827" width="11.42578125" style="33"/>
    <col min="13828" max="13828" width="2.28515625" style="33" customWidth="1"/>
    <col min="13829" max="14077" width="11.42578125" style="33"/>
    <col min="14078" max="14078" width="4.85546875" style="33" customWidth="1"/>
    <col min="14079" max="14079" width="6.5703125" style="33" customWidth="1"/>
    <col min="14080" max="14080" width="29.42578125" style="33" customWidth="1"/>
    <col min="14081" max="14081" width="7.5703125" style="33" customWidth="1"/>
    <col min="14082" max="14082" width="2.28515625" style="33" customWidth="1"/>
    <col min="14083" max="14083" width="11.42578125" style="33"/>
    <col min="14084" max="14084" width="2.28515625" style="33" customWidth="1"/>
    <col min="14085" max="14333" width="11.42578125" style="33"/>
    <col min="14334" max="14334" width="4.85546875" style="33" customWidth="1"/>
    <col min="14335" max="14335" width="6.5703125" style="33" customWidth="1"/>
    <col min="14336" max="14336" width="29.42578125" style="33" customWidth="1"/>
    <col min="14337" max="14337" width="7.5703125" style="33" customWidth="1"/>
    <col min="14338" max="14338" width="2.28515625" style="33" customWidth="1"/>
    <col min="14339" max="14339" width="11.42578125" style="33"/>
    <col min="14340" max="14340" width="2.28515625" style="33" customWidth="1"/>
    <col min="14341" max="14589" width="11.42578125" style="33"/>
    <col min="14590" max="14590" width="4.85546875" style="33" customWidth="1"/>
    <col min="14591" max="14591" width="6.5703125" style="33" customWidth="1"/>
    <col min="14592" max="14592" width="29.42578125" style="33" customWidth="1"/>
    <col min="14593" max="14593" width="7.5703125" style="33" customWidth="1"/>
    <col min="14594" max="14594" width="2.28515625" style="33" customWidth="1"/>
    <col min="14595" max="14595" width="11.42578125" style="33"/>
    <col min="14596" max="14596" width="2.28515625" style="33" customWidth="1"/>
    <col min="14597" max="14845" width="11.42578125" style="33"/>
    <col min="14846" max="14846" width="4.85546875" style="33" customWidth="1"/>
    <col min="14847" max="14847" width="6.5703125" style="33" customWidth="1"/>
    <col min="14848" max="14848" width="29.42578125" style="33" customWidth="1"/>
    <col min="14849" max="14849" width="7.5703125" style="33" customWidth="1"/>
    <col min="14850" max="14850" width="2.28515625" style="33" customWidth="1"/>
    <col min="14851" max="14851" width="11.42578125" style="33"/>
    <col min="14852" max="14852" width="2.28515625" style="33" customWidth="1"/>
    <col min="14853" max="15101" width="11.42578125" style="33"/>
    <col min="15102" max="15102" width="4.85546875" style="33" customWidth="1"/>
    <col min="15103" max="15103" width="6.5703125" style="33" customWidth="1"/>
    <col min="15104" max="15104" width="29.42578125" style="33" customWidth="1"/>
    <col min="15105" max="15105" width="7.5703125" style="33" customWidth="1"/>
    <col min="15106" max="15106" width="2.28515625" style="33" customWidth="1"/>
    <col min="15107" max="15107" width="11.42578125" style="33"/>
    <col min="15108" max="15108" width="2.28515625" style="33" customWidth="1"/>
    <col min="15109" max="15357" width="11.42578125" style="33"/>
    <col min="15358" max="15358" width="4.85546875" style="33" customWidth="1"/>
    <col min="15359" max="15359" width="6.5703125" style="33" customWidth="1"/>
    <col min="15360" max="15360" width="29.42578125" style="33" customWidth="1"/>
    <col min="15361" max="15361" width="7.5703125" style="33" customWidth="1"/>
    <col min="15362" max="15362" width="2.28515625" style="33" customWidth="1"/>
    <col min="15363" max="15363" width="11.42578125" style="33"/>
    <col min="15364" max="15364" width="2.28515625" style="33" customWidth="1"/>
    <col min="15365" max="15613" width="11.42578125" style="33"/>
    <col min="15614" max="15614" width="4.85546875" style="33" customWidth="1"/>
    <col min="15615" max="15615" width="6.5703125" style="33" customWidth="1"/>
    <col min="15616" max="15616" width="29.42578125" style="33" customWidth="1"/>
    <col min="15617" max="15617" width="7.5703125" style="33" customWidth="1"/>
    <col min="15618" max="15618" width="2.28515625" style="33" customWidth="1"/>
    <col min="15619" max="15619" width="11.42578125" style="33"/>
    <col min="15620" max="15620" width="2.28515625" style="33" customWidth="1"/>
    <col min="15621" max="15869" width="11.42578125" style="33"/>
    <col min="15870" max="15870" width="4.85546875" style="33" customWidth="1"/>
    <col min="15871" max="15871" width="6.5703125" style="33" customWidth="1"/>
    <col min="15872" max="15872" width="29.42578125" style="33" customWidth="1"/>
    <col min="15873" max="15873" width="7.5703125" style="33" customWidth="1"/>
    <col min="15874" max="15874" width="2.28515625" style="33" customWidth="1"/>
    <col min="15875" max="15875" width="11.42578125" style="33"/>
    <col min="15876" max="15876" width="2.28515625" style="33" customWidth="1"/>
    <col min="15877" max="16125" width="11.42578125" style="33"/>
    <col min="16126" max="16126" width="4.85546875" style="33" customWidth="1"/>
    <col min="16127" max="16127" width="6.5703125" style="33" customWidth="1"/>
    <col min="16128" max="16128" width="29.42578125" style="33" customWidth="1"/>
    <col min="16129" max="16129" width="7.5703125" style="33" customWidth="1"/>
    <col min="16130" max="16130" width="2.28515625" style="33" customWidth="1"/>
    <col min="16131" max="16131" width="11.42578125" style="33"/>
    <col min="16132" max="16132" width="2.28515625" style="33" customWidth="1"/>
    <col min="16133" max="16384" width="11.42578125" style="33"/>
  </cols>
  <sheetData>
    <row r="1" spans="1:22" s="49" customFormat="1" ht="15" x14ac:dyDescent="0.25">
      <c r="A1" s="74" t="s">
        <v>411</v>
      </c>
      <c r="D1" s="37"/>
    </row>
    <row r="2" spans="1:22" s="138" customFormat="1" ht="6.75" x14ac:dyDescent="0.15">
      <c r="A2" s="139"/>
      <c r="B2" s="139"/>
      <c r="C2" s="173"/>
      <c r="D2" s="173"/>
      <c r="E2" s="173"/>
    </row>
    <row r="3" spans="1:22" s="54" customFormat="1" ht="15.75" x14ac:dyDescent="0.25">
      <c r="A3" s="63" t="s">
        <v>352</v>
      </c>
      <c r="B3" s="63"/>
      <c r="C3" s="57" t="s">
        <v>32</v>
      </c>
      <c r="D3" s="57"/>
      <c r="E3" s="57" t="s">
        <v>33</v>
      </c>
      <c r="G3" s="133" t="s">
        <v>353</v>
      </c>
    </row>
    <row r="4" spans="1:22" ht="15" x14ac:dyDescent="0.25">
      <c r="A4" s="38" t="s">
        <v>47</v>
      </c>
      <c r="B4" s="37"/>
      <c r="C4" s="39"/>
      <c r="D4" s="39"/>
      <c r="E4" s="39"/>
    </row>
    <row r="5" spans="1:22" s="53" customFormat="1" ht="15.75" x14ac:dyDescent="0.25">
      <c r="A5" s="51" t="s">
        <v>5</v>
      </c>
      <c r="B5" s="51"/>
      <c r="C5" s="52">
        <v>2117</v>
      </c>
      <c r="D5" s="52"/>
      <c r="E5" s="52">
        <v>2338</v>
      </c>
      <c r="F5" s="134"/>
      <c r="G5" s="52">
        <v>3221</v>
      </c>
    </row>
    <row r="6" spans="1:22" s="53" customFormat="1" ht="15.75" x14ac:dyDescent="0.25">
      <c r="A6" s="51" t="s">
        <v>23</v>
      </c>
      <c r="B6" s="51"/>
      <c r="C6" s="58">
        <v>6666</v>
      </c>
      <c r="D6" s="52"/>
      <c r="E6" s="58">
        <v>6588</v>
      </c>
      <c r="G6" s="58">
        <v>4754</v>
      </c>
    </row>
    <row r="7" spans="1:22" s="31" customFormat="1" ht="20.25" x14ac:dyDescent="0.3">
      <c r="A7" s="63" t="s">
        <v>6</v>
      </c>
      <c r="B7" s="51"/>
      <c r="C7" s="135">
        <f>C5+C6</f>
        <v>8783</v>
      </c>
      <c r="D7" s="52"/>
      <c r="E7" s="135">
        <f>E5+E6</f>
        <v>8926</v>
      </c>
      <c r="F7" s="50"/>
      <c r="G7" s="58">
        <f>G5+G6</f>
        <v>7975</v>
      </c>
      <c r="H7" s="49"/>
      <c r="I7" s="49"/>
      <c r="J7" s="49"/>
      <c r="K7" s="49"/>
    </row>
    <row r="8" spans="1:22" ht="15" x14ac:dyDescent="0.25">
      <c r="A8" s="37"/>
      <c r="B8" s="37"/>
      <c r="C8" s="39"/>
      <c r="D8" s="39"/>
      <c r="E8" s="39"/>
      <c r="G8" s="72"/>
    </row>
    <row r="9" spans="1:22" ht="15" x14ac:dyDescent="0.25">
      <c r="A9" s="38" t="s">
        <v>50</v>
      </c>
      <c r="B9" s="37"/>
      <c r="C9" s="39"/>
      <c r="D9" s="39"/>
      <c r="E9" s="39"/>
      <c r="G9" s="72"/>
    </row>
    <row r="10" spans="1:22" s="53" customFormat="1" ht="15.75" x14ac:dyDescent="0.25">
      <c r="A10" s="51" t="s">
        <v>51</v>
      </c>
      <c r="B10" s="51"/>
      <c r="C10" s="52">
        <v>1705</v>
      </c>
      <c r="D10" s="52"/>
      <c r="E10" s="52">
        <v>1201</v>
      </c>
      <c r="F10" s="134"/>
      <c r="G10" s="52">
        <v>1161</v>
      </c>
      <c r="H10" s="134"/>
      <c r="I10" s="136"/>
      <c r="J10" s="136"/>
      <c r="K10" s="136"/>
    </row>
    <row r="11" spans="1:22" ht="15" x14ac:dyDescent="0.25">
      <c r="A11" s="37" t="s">
        <v>36</v>
      </c>
      <c r="B11" s="37"/>
      <c r="C11" s="39">
        <v>144</v>
      </c>
      <c r="D11" s="39"/>
      <c r="E11" s="39">
        <v>16</v>
      </c>
      <c r="F11" s="73"/>
      <c r="G11" s="39">
        <v>17</v>
      </c>
      <c r="H11" s="73"/>
    </row>
    <row r="12" spans="1:22" ht="15" x14ac:dyDescent="0.25">
      <c r="A12" s="37" t="s">
        <v>53</v>
      </c>
      <c r="B12" s="37"/>
      <c r="C12" s="39">
        <v>63</v>
      </c>
      <c r="D12" s="39"/>
      <c r="E12" s="39">
        <v>207</v>
      </c>
      <c r="F12" s="137"/>
      <c r="G12" s="39">
        <v>163</v>
      </c>
      <c r="H12" s="137"/>
      <c r="I12" s="46"/>
      <c r="J12" s="46"/>
      <c r="K12" s="46"/>
      <c r="L12" s="46"/>
      <c r="M12" s="46"/>
      <c r="N12" s="46"/>
      <c r="O12" s="46"/>
      <c r="P12" s="46"/>
    </row>
    <row r="13" spans="1:22" s="53" customFormat="1" ht="15.75" x14ac:dyDescent="0.25">
      <c r="A13" s="51" t="s">
        <v>13</v>
      </c>
      <c r="B13" s="51"/>
      <c r="C13" s="52">
        <v>6871</v>
      </c>
      <c r="D13" s="52"/>
      <c r="E13" s="52">
        <v>7502</v>
      </c>
      <c r="F13" s="51"/>
      <c r="G13" s="52">
        <v>6634</v>
      </c>
      <c r="H13" s="51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</row>
    <row r="14" spans="1:22" s="43" customFormat="1" ht="20.25" x14ac:dyDescent="0.3">
      <c r="A14" s="51" t="s">
        <v>14</v>
      </c>
      <c r="B14" s="63"/>
      <c r="C14" s="135">
        <f>SUM(C10:C13)</f>
        <v>8783</v>
      </c>
      <c r="D14" s="52"/>
      <c r="E14" s="135">
        <f t="shared" ref="E14:G14" si="0">SUM(E10:E13)</f>
        <v>8926</v>
      </c>
      <c r="F14" s="52"/>
      <c r="G14" s="135">
        <f t="shared" si="0"/>
        <v>7975</v>
      </c>
      <c r="H14" s="55"/>
      <c r="I14" s="55"/>
      <c r="J14" s="55"/>
      <c r="K14" s="55"/>
      <c r="L14" s="55"/>
    </row>
    <row r="15" spans="1:22" s="49" customFormat="1" ht="15" x14ac:dyDescent="0.25">
      <c r="D15" s="37"/>
      <c r="F15" s="37"/>
    </row>
    <row r="16" spans="1:22" s="49" customFormat="1" ht="15" x14ac:dyDescent="0.25">
      <c r="D16" s="37"/>
    </row>
    <row r="17" spans="1:14" s="53" customFormat="1" ht="15.75" x14ac:dyDescent="0.25">
      <c r="A17" s="63" t="s">
        <v>241</v>
      </c>
      <c r="B17" s="63"/>
      <c r="C17" s="57" t="s">
        <v>260</v>
      </c>
      <c r="D17" s="57"/>
      <c r="E17" s="57" t="s">
        <v>32</v>
      </c>
      <c r="F17" s="54"/>
      <c r="G17" s="133" t="s">
        <v>33</v>
      </c>
      <c r="H17" s="50"/>
      <c r="I17" s="50"/>
      <c r="J17" s="50"/>
      <c r="K17" s="50"/>
      <c r="L17" s="50"/>
      <c r="M17" s="50"/>
    </row>
    <row r="18" spans="1:14" s="142" customFormat="1" ht="6.75" x14ac:dyDescent="0.15">
      <c r="A18" s="139"/>
      <c r="B18" s="139"/>
      <c r="C18" s="140"/>
      <c r="D18" s="140"/>
      <c r="E18" s="140"/>
      <c r="F18" s="138"/>
      <c r="G18" s="141"/>
      <c r="H18" s="138"/>
      <c r="I18" s="138"/>
      <c r="J18" s="138"/>
      <c r="K18" s="138"/>
      <c r="L18" s="138"/>
      <c r="M18" s="138"/>
    </row>
    <row r="19" spans="1:14" s="53" customFormat="1" ht="15.75" x14ac:dyDescent="0.25">
      <c r="A19" s="51" t="s">
        <v>231</v>
      </c>
      <c r="B19" s="51"/>
      <c r="C19" s="143">
        <v>40853</v>
      </c>
      <c r="D19" s="52"/>
      <c r="E19" s="143">
        <v>43024</v>
      </c>
      <c r="F19" s="50"/>
      <c r="G19" s="60">
        <v>43585</v>
      </c>
      <c r="H19" s="50"/>
      <c r="I19" s="50"/>
      <c r="J19" s="50"/>
      <c r="K19" s="50"/>
      <c r="L19" s="50"/>
      <c r="M19" s="50"/>
    </row>
    <row r="20" spans="1:14" s="43" customFormat="1" ht="20.25" x14ac:dyDescent="0.3">
      <c r="A20" s="51" t="s">
        <v>232</v>
      </c>
      <c r="B20" s="51"/>
      <c r="C20" s="135">
        <f>SUM(C19:C19)</f>
        <v>40853</v>
      </c>
      <c r="D20" s="52"/>
      <c r="E20" s="135">
        <f>SUM(E19:E19)</f>
        <v>43024</v>
      </c>
      <c r="F20" s="50"/>
      <c r="G20" s="135">
        <f>SUM(G19:G19)</f>
        <v>43585</v>
      </c>
      <c r="H20" s="50"/>
      <c r="I20" s="50"/>
      <c r="J20" s="50"/>
      <c r="K20" s="50"/>
      <c r="L20" s="50"/>
      <c r="M20" s="50"/>
    </row>
    <row r="21" spans="1:14" s="36" customFormat="1" ht="8.25" x14ac:dyDescent="0.15">
      <c r="A21" s="34"/>
      <c r="B21" s="34"/>
      <c r="C21" s="35"/>
      <c r="D21" s="35"/>
      <c r="E21" s="35"/>
      <c r="F21" s="89"/>
      <c r="G21" s="35"/>
      <c r="H21" s="89"/>
      <c r="I21" s="89"/>
      <c r="J21" s="89"/>
      <c r="K21" s="89"/>
      <c r="L21" s="89"/>
      <c r="M21" s="89"/>
    </row>
    <row r="22" spans="1:14" s="53" customFormat="1" ht="15.75" x14ac:dyDescent="0.25">
      <c r="A22" s="51" t="s">
        <v>125</v>
      </c>
      <c r="B22" s="51"/>
      <c r="C22" s="52">
        <v>12990</v>
      </c>
      <c r="D22" s="52"/>
      <c r="E22" s="52">
        <v>13929</v>
      </c>
      <c r="F22" s="50"/>
      <c r="G22" s="52">
        <v>14883</v>
      </c>
      <c r="H22" s="50"/>
      <c r="I22" s="50"/>
      <c r="J22" s="50"/>
      <c r="K22" s="50"/>
      <c r="L22" s="50"/>
      <c r="M22" s="50"/>
    </row>
    <row r="23" spans="1:14" s="53" customFormat="1" ht="15.75" x14ac:dyDescent="0.25">
      <c r="A23" s="51" t="s">
        <v>243</v>
      </c>
      <c r="B23" s="51"/>
      <c r="C23" s="52">
        <v>15725</v>
      </c>
      <c r="D23" s="52"/>
      <c r="E23" s="52">
        <v>16674</v>
      </c>
      <c r="F23" s="51"/>
      <c r="G23" s="52">
        <v>17521</v>
      </c>
      <c r="H23" s="50"/>
      <c r="I23" s="50"/>
      <c r="J23" s="50"/>
      <c r="K23" s="50"/>
      <c r="L23" s="50"/>
      <c r="M23" s="50"/>
    </row>
    <row r="24" spans="1:14" s="53" customFormat="1" ht="15.75" x14ac:dyDescent="0.25">
      <c r="A24" s="51" t="s">
        <v>233</v>
      </c>
      <c r="B24" s="51"/>
      <c r="C24" s="52">
        <v>742</v>
      </c>
      <c r="D24" s="52"/>
      <c r="E24" s="52">
        <v>1065</v>
      </c>
      <c r="F24" s="51"/>
      <c r="G24" s="52">
        <v>1291</v>
      </c>
      <c r="H24" s="50"/>
      <c r="I24" s="50"/>
      <c r="J24" s="50"/>
      <c r="K24" s="50"/>
      <c r="L24" s="50"/>
      <c r="M24" s="50"/>
    </row>
    <row r="25" spans="1:14" s="53" customFormat="1" ht="15.75" x14ac:dyDescent="0.25">
      <c r="A25" s="51" t="s">
        <v>234</v>
      </c>
      <c r="B25" s="51"/>
      <c r="C25" s="58">
        <v>7907</v>
      </c>
      <c r="D25" s="52"/>
      <c r="E25" s="58">
        <v>8541</v>
      </c>
      <c r="F25" s="50"/>
      <c r="G25" s="58">
        <v>8963</v>
      </c>
      <c r="H25" s="50"/>
      <c r="I25" s="50"/>
      <c r="J25" s="50"/>
      <c r="K25" s="50"/>
      <c r="L25" s="50"/>
      <c r="M25" s="50"/>
    </row>
    <row r="26" spans="1:14" s="43" customFormat="1" ht="20.25" x14ac:dyDescent="0.3">
      <c r="A26" s="51" t="s">
        <v>235</v>
      </c>
      <c r="B26" s="51"/>
      <c r="C26" s="58">
        <f>SUM(C22:C25)</f>
        <v>37364</v>
      </c>
      <c r="D26" s="52"/>
      <c r="E26" s="58">
        <f>SUM(E22:E25)</f>
        <v>40209</v>
      </c>
      <c r="F26" s="50"/>
      <c r="G26" s="58">
        <f>SUM(G22:G25)</f>
        <v>42658</v>
      </c>
      <c r="H26" s="53"/>
      <c r="I26" s="53"/>
      <c r="J26" s="53"/>
      <c r="K26" s="53"/>
      <c r="L26" s="53"/>
      <c r="M26" s="53"/>
    </row>
    <row r="27" spans="1:14" s="43" customFormat="1" ht="20.25" x14ac:dyDescent="0.3">
      <c r="A27" s="63" t="s">
        <v>236</v>
      </c>
      <c r="B27" s="51"/>
      <c r="C27" s="135">
        <f>C20-C26</f>
        <v>3489</v>
      </c>
      <c r="D27" s="52"/>
      <c r="E27" s="135">
        <f>E20-E26</f>
        <v>2815</v>
      </c>
      <c r="F27" s="50"/>
      <c r="G27" s="135">
        <f>G20-G26</f>
        <v>927</v>
      </c>
      <c r="H27" s="53"/>
      <c r="I27" s="53"/>
      <c r="J27" s="53"/>
      <c r="K27" s="53"/>
      <c r="L27" s="53"/>
      <c r="M27" s="53"/>
    </row>
    <row r="28" spans="1:14" s="36" customFormat="1" ht="8.25" x14ac:dyDescent="0.15">
      <c r="A28" s="34"/>
      <c r="B28" s="34"/>
      <c r="C28" s="35"/>
      <c r="D28" s="35"/>
      <c r="E28" s="35"/>
      <c r="F28" s="89"/>
      <c r="G28" s="35"/>
    </row>
    <row r="29" spans="1:14" s="53" customFormat="1" ht="15.75" x14ac:dyDescent="0.25">
      <c r="A29" s="51" t="s">
        <v>294</v>
      </c>
      <c r="B29" s="51"/>
      <c r="C29" s="52">
        <v>65</v>
      </c>
      <c r="D29" s="52"/>
      <c r="E29" s="52">
        <v>33</v>
      </c>
      <c r="F29" s="51"/>
      <c r="G29" s="52">
        <v>21</v>
      </c>
    </row>
    <row r="30" spans="1:14" s="53" customFormat="1" ht="15.75" x14ac:dyDescent="0.25">
      <c r="A30" s="51" t="s">
        <v>244</v>
      </c>
      <c r="B30" s="51"/>
      <c r="C30" s="52">
        <v>10</v>
      </c>
      <c r="D30" s="52"/>
      <c r="E30" s="52">
        <v>3</v>
      </c>
      <c r="F30" s="50"/>
      <c r="G30" s="52">
        <v>69</v>
      </c>
    </row>
    <row r="31" spans="1:14" s="43" customFormat="1" ht="20.25" x14ac:dyDescent="0.3">
      <c r="A31" s="50" t="s">
        <v>237</v>
      </c>
      <c r="B31" s="50"/>
      <c r="C31" s="135">
        <f>C29-C30</f>
        <v>55</v>
      </c>
      <c r="D31" s="52"/>
      <c r="E31" s="135">
        <f>E29-E30</f>
        <v>30</v>
      </c>
      <c r="F31" s="50"/>
      <c r="G31" s="135">
        <f>G29-G30</f>
        <v>-48</v>
      </c>
      <c r="H31" s="53"/>
      <c r="I31" s="53"/>
      <c r="J31" s="53"/>
      <c r="K31" s="53"/>
      <c r="L31" s="53"/>
      <c r="M31" s="53"/>
      <c r="N31" s="53"/>
    </row>
    <row r="32" spans="1:14" s="36" customFormat="1" ht="8.25" x14ac:dyDescent="0.15">
      <c r="A32" s="34"/>
      <c r="B32" s="34"/>
      <c r="C32" s="35"/>
      <c r="D32" s="35"/>
      <c r="E32" s="35"/>
      <c r="F32" s="89"/>
      <c r="G32" s="35"/>
    </row>
    <row r="33" spans="1:15" s="53" customFormat="1" ht="15.75" x14ac:dyDescent="0.25">
      <c r="A33" s="63" t="s">
        <v>238</v>
      </c>
      <c r="B33" s="51"/>
      <c r="C33" s="52">
        <f>C27+C31</f>
        <v>3544</v>
      </c>
      <c r="D33" s="52">
        <f>D27+D31</f>
        <v>0</v>
      </c>
      <c r="E33" s="52">
        <f>E27+E31</f>
        <v>2845</v>
      </c>
      <c r="F33" s="51"/>
      <c r="G33" s="52">
        <f>G27+G31</f>
        <v>879</v>
      </c>
    </row>
    <row r="34" spans="1:15" s="36" customFormat="1" ht="8.25" x14ac:dyDescent="0.15">
      <c r="A34" s="47"/>
      <c r="B34" s="34"/>
      <c r="C34" s="35"/>
      <c r="D34" s="35"/>
      <c r="E34" s="35"/>
      <c r="F34" s="34"/>
      <c r="G34" s="35"/>
    </row>
    <row r="35" spans="1:15" s="53" customFormat="1" ht="15.75" x14ac:dyDescent="0.25">
      <c r="A35" s="51" t="s">
        <v>239</v>
      </c>
      <c r="B35" s="51"/>
      <c r="C35" s="52">
        <v>1040</v>
      </c>
      <c r="D35" s="52"/>
      <c r="E35" s="52">
        <v>805</v>
      </c>
      <c r="F35" s="51"/>
      <c r="G35" s="52">
        <v>248</v>
      </c>
    </row>
    <row r="36" spans="1:15" s="36" customFormat="1" ht="8.25" x14ac:dyDescent="0.15">
      <c r="A36" s="34"/>
      <c r="B36" s="34"/>
      <c r="C36" s="35"/>
      <c r="D36" s="35"/>
      <c r="E36" s="35"/>
      <c r="F36" s="89"/>
      <c r="G36" s="35"/>
    </row>
    <row r="37" spans="1:15" s="53" customFormat="1" ht="15.75" x14ac:dyDescent="0.25">
      <c r="A37" s="63" t="s">
        <v>240</v>
      </c>
      <c r="B37" s="51"/>
      <c r="C37" s="58">
        <f>C33-C35</f>
        <v>2504</v>
      </c>
      <c r="D37" s="52"/>
      <c r="E37" s="58">
        <f>E33-E35</f>
        <v>2040</v>
      </c>
      <c r="F37" s="50"/>
      <c r="G37" s="58">
        <f>G33-G35</f>
        <v>631</v>
      </c>
    </row>
    <row r="38" spans="1:15" ht="15" x14ac:dyDescent="0.25">
      <c r="A38" s="37"/>
      <c r="B38" s="37"/>
      <c r="C38" s="39"/>
      <c r="D38" s="39"/>
      <c r="E38" s="39"/>
      <c r="F38" s="49"/>
      <c r="G38" s="39"/>
    </row>
    <row r="39" spans="1:15" s="53" customFormat="1" ht="15.75" x14ac:dyDescent="0.25">
      <c r="A39" s="144" t="s">
        <v>540</v>
      </c>
      <c r="B39" s="51"/>
      <c r="C39" s="52"/>
      <c r="D39" s="52"/>
      <c r="E39" s="52"/>
      <c r="F39" s="50"/>
      <c r="G39" s="52"/>
    </row>
    <row r="40" spans="1:15" s="53" customFormat="1" ht="15.75" x14ac:dyDescent="0.25">
      <c r="A40" s="51" t="s">
        <v>297</v>
      </c>
      <c r="B40" s="51"/>
      <c r="C40" s="52">
        <v>2000</v>
      </c>
      <c r="D40" s="52"/>
      <c r="E40" s="52">
        <v>2000</v>
      </c>
      <c r="F40" s="51"/>
      <c r="G40" s="52">
        <v>500</v>
      </c>
    </row>
    <row r="41" spans="1:15" s="53" customFormat="1" ht="15.75" x14ac:dyDescent="0.25">
      <c r="A41" s="51" t="s">
        <v>534</v>
      </c>
      <c r="B41" s="51"/>
      <c r="C41" s="52">
        <v>504</v>
      </c>
      <c r="D41" s="52"/>
      <c r="E41" s="52">
        <v>40</v>
      </c>
      <c r="F41" s="50"/>
      <c r="G41" s="52">
        <v>131</v>
      </c>
    </row>
    <row r="42" spans="1:15" s="43" customFormat="1" ht="20.25" x14ac:dyDescent="0.3">
      <c r="A42" s="51" t="s">
        <v>24</v>
      </c>
      <c r="B42" s="51"/>
      <c r="C42" s="135">
        <f>SUM(C40:C41)</f>
        <v>2504</v>
      </c>
      <c r="D42" s="52"/>
      <c r="E42" s="135">
        <f>SUM(E40:E41)</f>
        <v>2040</v>
      </c>
      <c r="F42" s="50"/>
      <c r="G42" s="135">
        <f>SUM(G40:G41)</f>
        <v>631</v>
      </c>
      <c r="H42" s="53"/>
      <c r="I42" s="53"/>
      <c r="J42" s="53"/>
      <c r="K42" s="53"/>
      <c r="L42" s="53"/>
      <c r="M42" s="53"/>
      <c r="N42" s="53"/>
      <c r="O42" s="53"/>
    </row>
    <row r="43" spans="1:15" s="50" customFormat="1" ht="15.75" x14ac:dyDescent="0.25">
      <c r="D43" s="51"/>
    </row>
    <row r="44" spans="1:15" s="50" customFormat="1" ht="15.75" x14ac:dyDescent="0.25">
      <c r="D44" s="51"/>
    </row>
    <row r="45" spans="1:15" s="50" customFormat="1" ht="15.75" x14ac:dyDescent="0.25">
      <c r="A45" s="50" t="s">
        <v>268</v>
      </c>
      <c r="C45" s="60">
        <f>C33</f>
        <v>3544</v>
      </c>
      <c r="D45" s="60"/>
      <c r="E45" s="60">
        <f>E33</f>
        <v>2845</v>
      </c>
      <c r="F45" s="60"/>
      <c r="G45" s="60">
        <f>G33</f>
        <v>879</v>
      </c>
      <c r="H45" s="60"/>
    </row>
    <row r="46" spans="1:15" s="50" customFormat="1" ht="15.75" x14ac:dyDescent="0.25">
      <c r="A46" s="50" t="s">
        <v>244</v>
      </c>
      <c r="C46" s="58">
        <f>C30</f>
        <v>10</v>
      </c>
      <c r="D46" s="58">
        <f>D30</f>
        <v>0</v>
      </c>
      <c r="E46" s="58">
        <f>E30</f>
        <v>3</v>
      </c>
      <c r="F46" s="58">
        <f>F30</f>
        <v>0</v>
      </c>
      <c r="G46" s="58">
        <f>G30</f>
        <v>69</v>
      </c>
    </row>
    <row r="47" spans="1:15" s="31" customFormat="1" ht="20.25" x14ac:dyDescent="0.3">
      <c r="A47" s="50" t="s">
        <v>319</v>
      </c>
      <c r="B47" s="50"/>
      <c r="C47" s="135">
        <f>SUM(C45:C46)</f>
        <v>3554</v>
      </c>
      <c r="D47" s="135">
        <f t="shared" ref="D47:G47" si="1">SUM(D45:D46)</f>
        <v>0</v>
      </c>
      <c r="E47" s="135">
        <f t="shared" si="1"/>
        <v>2848</v>
      </c>
      <c r="F47" s="135">
        <f t="shared" si="1"/>
        <v>0</v>
      </c>
      <c r="G47" s="135">
        <f t="shared" si="1"/>
        <v>948</v>
      </c>
      <c r="H47" s="50"/>
      <c r="I47" s="50"/>
      <c r="J47" s="50"/>
      <c r="K47" s="50"/>
    </row>
    <row r="48" spans="1:15" s="50" customFormat="1" ht="15.75" x14ac:dyDescent="0.25">
      <c r="D48" s="51"/>
    </row>
    <row r="49" spans="1:9" s="50" customFormat="1" ht="15.75" x14ac:dyDescent="0.25">
      <c r="A49" s="50" t="s">
        <v>254</v>
      </c>
      <c r="C49" s="60">
        <f>(C7+E7)/2</f>
        <v>8854.5</v>
      </c>
      <c r="D49" s="52"/>
      <c r="E49" s="60">
        <f>(E7+G7)/2</f>
        <v>8450.5</v>
      </c>
      <c r="F49" s="145"/>
      <c r="G49" s="145">
        <v>7000</v>
      </c>
    </row>
    <row r="50" spans="1:9" s="50" customFormat="1" ht="15.75" x14ac:dyDescent="0.25">
      <c r="D50" s="51"/>
    </row>
    <row r="51" spans="1:9" s="50" customFormat="1" ht="15.75" x14ac:dyDescent="0.25">
      <c r="A51" s="50" t="s">
        <v>354</v>
      </c>
      <c r="C51" s="146">
        <f>C47/C49</f>
        <v>0.40137783048167597</v>
      </c>
      <c r="D51" s="59"/>
      <c r="E51" s="146">
        <f t="shared" ref="E51:G51" si="2">E47/E49</f>
        <v>0.33702147801905213</v>
      </c>
      <c r="F51" s="146"/>
      <c r="G51" s="146">
        <f t="shared" si="2"/>
        <v>0.13542857142857143</v>
      </c>
    </row>
    <row r="52" spans="1:9" s="50" customFormat="1" ht="15.75" x14ac:dyDescent="0.25">
      <c r="D52" s="51"/>
    </row>
    <row r="53" spans="1:9" s="50" customFormat="1" ht="15.75" x14ac:dyDescent="0.25">
      <c r="A53" s="50" t="s">
        <v>356</v>
      </c>
      <c r="D53" s="51"/>
    </row>
    <row r="54" spans="1:9" s="50" customFormat="1" ht="15.75" x14ac:dyDescent="0.25">
      <c r="A54" s="50" t="s">
        <v>357</v>
      </c>
      <c r="C54" s="60">
        <f>C45</f>
        <v>3544</v>
      </c>
      <c r="D54" s="60">
        <f t="shared" ref="D54:G54" si="3">D45</f>
        <v>0</v>
      </c>
      <c r="E54" s="60">
        <f t="shared" si="3"/>
        <v>2845</v>
      </c>
      <c r="F54" s="60"/>
      <c r="G54" s="60">
        <f t="shared" si="3"/>
        <v>879</v>
      </c>
    </row>
    <row r="55" spans="1:9" s="50" customFormat="1" ht="15.75" x14ac:dyDescent="0.25">
      <c r="D55" s="51"/>
    </row>
    <row r="56" spans="1:9" s="50" customFormat="1" ht="15.75" x14ac:dyDescent="0.25">
      <c r="A56" s="50" t="s">
        <v>255</v>
      </c>
      <c r="C56" s="60">
        <f>(C10+E10)/2</f>
        <v>1453</v>
      </c>
      <c r="D56" s="52"/>
      <c r="E56" s="60">
        <f>(E10+G10)/2</f>
        <v>1181</v>
      </c>
      <c r="G56" s="50">
        <v>1105</v>
      </c>
      <c r="I56" s="60"/>
    </row>
    <row r="57" spans="1:9" s="50" customFormat="1" ht="15.75" x14ac:dyDescent="0.25">
      <c r="D57" s="51"/>
    </row>
    <row r="58" spans="1:9" s="50" customFormat="1" ht="15.75" x14ac:dyDescent="0.25">
      <c r="A58" s="50" t="s">
        <v>355</v>
      </c>
      <c r="C58" s="59">
        <f>C54/C56</f>
        <v>2.4390915347556779</v>
      </c>
      <c r="E58" s="59">
        <f t="shared" ref="E58:G58" si="4">E54/E56</f>
        <v>2.4089754445385267</v>
      </c>
      <c r="F58" s="59"/>
      <c r="G58" s="59">
        <f t="shared" si="4"/>
        <v>0.7954751131221719</v>
      </c>
    </row>
    <row r="59" spans="1:9" s="50" customFormat="1" ht="15.75" x14ac:dyDescent="0.25">
      <c r="D59" s="51"/>
    </row>
    <row r="60" spans="1:9" s="50" customFormat="1" ht="15.75" x14ac:dyDescent="0.25">
      <c r="A60" s="50" t="s">
        <v>358</v>
      </c>
      <c r="D60" s="51"/>
    </row>
    <row r="61" spans="1:9" s="50" customFormat="1" ht="15.75" x14ac:dyDescent="0.25">
      <c r="A61" s="50" t="s">
        <v>359</v>
      </c>
      <c r="D61" s="51"/>
    </row>
    <row r="62" spans="1:9" s="50" customFormat="1" ht="15.75" x14ac:dyDescent="0.25">
      <c r="A62" s="50" t="s">
        <v>360</v>
      </c>
      <c r="D62" s="51"/>
    </row>
    <row r="63" spans="1:9" s="50" customFormat="1" ht="15.75" x14ac:dyDescent="0.25">
      <c r="A63" s="50" t="s">
        <v>361</v>
      </c>
      <c r="D63" s="51"/>
    </row>
    <row r="64" spans="1:9" s="50" customFormat="1" ht="15.75" x14ac:dyDescent="0.25">
      <c r="A64" s="50" t="s">
        <v>381</v>
      </c>
      <c r="D64" s="51"/>
    </row>
    <row r="65" spans="1:7" s="50" customFormat="1" ht="15.75" x14ac:dyDescent="0.25">
      <c r="A65" s="50" t="s">
        <v>382</v>
      </c>
      <c r="D65" s="51"/>
    </row>
    <row r="66" spans="1:7" s="50" customFormat="1" ht="15.75" x14ac:dyDescent="0.25">
      <c r="A66" s="50" t="s">
        <v>383</v>
      </c>
      <c r="D66" s="51"/>
    </row>
    <row r="67" spans="1:7" s="50" customFormat="1" ht="15.75" x14ac:dyDescent="0.25">
      <c r="A67" s="50" t="s">
        <v>384</v>
      </c>
      <c r="D67" s="51"/>
    </row>
    <row r="68" spans="1:7" s="50" customFormat="1" ht="15.75" x14ac:dyDescent="0.25">
      <c r="D68" s="51"/>
    </row>
    <row r="69" spans="1:7" s="50" customFormat="1" ht="15.75" x14ac:dyDescent="0.25">
      <c r="A69" s="50" t="s">
        <v>362</v>
      </c>
      <c r="D69" s="51"/>
    </row>
    <row r="70" spans="1:7" s="50" customFormat="1" ht="15.75" x14ac:dyDescent="0.25">
      <c r="A70" s="50" t="s">
        <v>363</v>
      </c>
      <c r="D70" s="51"/>
    </row>
    <row r="71" spans="1:7" s="50" customFormat="1" ht="15.75" x14ac:dyDescent="0.25">
      <c r="A71" s="50" t="s">
        <v>364</v>
      </c>
      <c r="D71" s="51"/>
    </row>
    <row r="72" spans="1:7" s="50" customFormat="1" ht="15.75" x14ac:dyDescent="0.25">
      <c r="D72" s="51"/>
    </row>
    <row r="73" spans="1:7" s="50" customFormat="1" ht="15.75" x14ac:dyDescent="0.25">
      <c r="A73" s="50" t="s">
        <v>365</v>
      </c>
      <c r="D73" s="51"/>
    </row>
    <row r="74" spans="1:7" s="50" customFormat="1" ht="15.75" x14ac:dyDescent="0.25">
      <c r="D74" s="51"/>
    </row>
    <row r="75" spans="1:7" s="50" customFormat="1" ht="15.75" x14ac:dyDescent="0.25">
      <c r="A75" s="50" t="s">
        <v>366</v>
      </c>
      <c r="C75" s="59">
        <f>C47/C20</f>
        <v>8.6994835140626142E-2</v>
      </c>
      <c r="E75" s="59">
        <f>E47/E20</f>
        <v>6.6195611751580508E-2</v>
      </c>
      <c r="F75" s="59"/>
      <c r="G75" s="59">
        <f>G47/G20</f>
        <v>2.1750602271423655E-2</v>
      </c>
    </row>
    <row r="76" spans="1:7" s="50" customFormat="1" ht="15.75" x14ac:dyDescent="0.25">
      <c r="A76" s="50" t="s">
        <v>367</v>
      </c>
      <c r="C76" s="61">
        <f>C20/C49</f>
        <v>4.6138121858941785</v>
      </c>
      <c r="E76" s="61">
        <f>E20/E49</f>
        <v>5.0912963729956804</v>
      </c>
      <c r="F76" s="61"/>
      <c r="G76" s="61">
        <f>G20/G49</f>
        <v>6.2264285714285714</v>
      </c>
    </row>
    <row r="77" spans="1:7" s="50" customFormat="1" ht="15.75" x14ac:dyDescent="0.25">
      <c r="D77" s="51"/>
    </row>
    <row r="78" spans="1:7" s="50" customFormat="1" ht="15.75" x14ac:dyDescent="0.25">
      <c r="A78" s="50" t="s">
        <v>368</v>
      </c>
      <c r="D78" s="51"/>
    </row>
    <row r="79" spans="1:7" s="50" customFormat="1" ht="15.75" x14ac:dyDescent="0.25">
      <c r="A79" s="50" t="s">
        <v>369</v>
      </c>
      <c r="D79" s="51"/>
    </row>
    <row r="80" spans="1:7" s="50" customFormat="1" ht="15.75" x14ac:dyDescent="0.25">
      <c r="A80" s="50" t="s">
        <v>370</v>
      </c>
      <c r="D80" s="51"/>
    </row>
    <row r="81" spans="1:11" s="50" customFormat="1" ht="15.75" x14ac:dyDescent="0.25">
      <c r="D81" s="51"/>
    </row>
    <row r="82" spans="1:11" s="50" customFormat="1" ht="15.75" x14ac:dyDescent="0.25">
      <c r="A82" s="50" t="s">
        <v>371</v>
      </c>
      <c r="D82" s="51"/>
    </row>
    <row r="83" spans="1:11" s="50" customFormat="1" ht="15.75" x14ac:dyDescent="0.25">
      <c r="A83" s="50" t="s">
        <v>372</v>
      </c>
      <c r="D83" s="51"/>
    </row>
    <row r="84" spans="1:11" s="50" customFormat="1" ht="15.75" x14ac:dyDescent="0.25">
      <c r="D84" s="51"/>
    </row>
    <row r="85" spans="1:11" s="50" customFormat="1" ht="15.75" x14ac:dyDescent="0.25">
      <c r="A85" s="50" t="s">
        <v>373</v>
      </c>
      <c r="D85" s="51"/>
    </row>
    <row r="86" spans="1:11" s="50" customFormat="1" ht="15.75" x14ac:dyDescent="0.25">
      <c r="D86" s="51"/>
    </row>
    <row r="87" spans="1:11" s="50" customFormat="1" ht="15.75" x14ac:dyDescent="0.25">
      <c r="C87" s="133" t="s">
        <v>260</v>
      </c>
      <c r="D87" s="51"/>
      <c r="E87" s="133" t="s">
        <v>32</v>
      </c>
      <c r="G87" s="133" t="s">
        <v>33</v>
      </c>
    </row>
    <row r="88" spans="1:11" s="50" customFormat="1" ht="15.75" x14ac:dyDescent="0.25">
      <c r="A88" s="51" t="s">
        <v>232</v>
      </c>
      <c r="B88" s="51"/>
      <c r="C88" s="59">
        <f>C20/$C$20</f>
        <v>1</v>
      </c>
      <c r="D88" s="51"/>
      <c r="E88" s="59">
        <f>E20/$E$20</f>
        <v>1</v>
      </c>
      <c r="G88" s="59">
        <f>G20/$G$20</f>
        <v>1</v>
      </c>
    </row>
    <row r="89" spans="1:11" s="50" customFormat="1" ht="15.75" x14ac:dyDescent="0.25">
      <c r="A89" s="34"/>
      <c r="B89" s="34"/>
      <c r="C89" s="59">
        <f t="shared" ref="C89:C95" si="5">C21/$C$20</f>
        <v>0</v>
      </c>
      <c r="D89" s="51"/>
      <c r="E89" s="59">
        <f t="shared" ref="E89:E95" si="6">E21/$E$20</f>
        <v>0</v>
      </c>
      <c r="G89" s="59">
        <f t="shared" ref="G89:G95" si="7">G21/$G$20</f>
        <v>0</v>
      </c>
    </row>
    <row r="90" spans="1:11" s="50" customFormat="1" ht="15.75" x14ac:dyDescent="0.25">
      <c r="A90" s="51" t="s">
        <v>125</v>
      </c>
      <c r="B90" s="51"/>
      <c r="C90" s="59">
        <f t="shared" si="5"/>
        <v>0.31796930457983502</v>
      </c>
      <c r="D90" s="51"/>
      <c r="E90" s="59">
        <f t="shared" si="6"/>
        <v>0.32374953514317589</v>
      </c>
      <c r="G90" s="59">
        <f t="shared" si="7"/>
        <v>0.34147068945738213</v>
      </c>
    </row>
    <row r="91" spans="1:11" s="50" customFormat="1" ht="15.75" x14ac:dyDescent="0.25">
      <c r="A91" s="51" t="s">
        <v>243</v>
      </c>
      <c r="B91" s="51"/>
      <c r="C91" s="59">
        <f t="shared" si="5"/>
        <v>0.38491665238782952</v>
      </c>
      <c r="D91" s="51"/>
      <c r="E91" s="59">
        <f t="shared" si="6"/>
        <v>0.3875511342506508</v>
      </c>
      <c r="G91" s="59">
        <f t="shared" si="7"/>
        <v>0.40199609957554205</v>
      </c>
    </row>
    <row r="92" spans="1:11" s="50" customFormat="1" ht="15.75" x14ac:dyDescent="0.25">
      <c r="A92" s="51" t="s">
        <v>233</v>
      </c>
      <c r="B92" s="51"/>
      <c r="C92" s="59">
        <f t="shared" si="5"/>
        <v>1.8162680831273099E-2</v>
      </c>
      <c r="D92" s="51"/>
      <c r="E92" s="59">
        <f t="shared" si="6"/>
        <v>2.4753625883227964E-2</v>
      </c>
      <c r="G92" s="59">
        <f t="shared" si="7"/>
        <v>2.9620282207181371E-2</v>
      </c>
    </row>
    <row r="93" spans="1:11" s="50" customFormat="1" ht="15.75" x14ac:dyDescent="0.25">
      <c r="A93" s="51" t="s">
        <v>234</v>
      </c>
      <c r="B93" s="51"/>
      <c r="C93" s="59">
        <f t="shared" si="5"/>
        <v>0.19354759748366093</v>
      </c>
      <c r="D93" s="51"/>
      <c r="E93" s="59">
        <f t="shared" si="6"/>
        <v>0.19851710673112682</v>
      </c>
      <c r="G93" s="59">
        <f t="shared" si="7"/>
        <v>0.20564414362739475</v>
      </c>
    </row>
    <row r="94" spans="1:11" s="31" customFormat="1" ht="20.25" x14ac:dyDescent="0.3">
      <c r="A94" s="51" t="s">
        <v>235</v>
      </c>
      <c r="B94" s="51"/>
      <c r="C94" s="147">
        <f t="shared" si="5"/>
        <v>0.91459623528259859</v>
      </c>
      <c r="D94" s="51"/>
      <c r="E94" s="147">
        <f t="shared" si="6"/>
        <v>0.93457140200818145</v>
      </c>
      <c r="F94" s="50"/>
      <c r="G94" s="147">
        <f t="shared" si="7"/>
        <v>0.97873121486750025</v>
      </c>
      <c r="H94" s="50"/>
      <c r="I94" s="50"/>
      <c r="J94" s="50"/>
      <c r="K94" s="50"/>
    </row>
    <row r="95" spans="1:11" s="31" customFormat="1" ht="20.25" x14ac:dyDescent="0.3">
      <c r="A95" s="63" t="s">
        <v>236</v>
      </c>
      <c r="B95" s="51"/>
      <c r="C95" s="147">
        <f t="shared" si="5"/>
        <v>8.5403764717401409E-2</v>
      </c>
      <c r="D95" s="51"/>
      <c r="E95" s="147">
        <f t="shared" si="6"/>
        <v>6.5428597991818521E-2</v>
      </c>
      <c r="F95" s="50"/>
      <c r="G95" s="147">
        <f t="shared" si="7"/>
        <v>2.1268785132499714E-2</v>
      </c>
      <c r="H95" s="50"/>
      <c r="I95" s="50"/>
      <c r="J95" s="50"/>
      <c r="K95" s="50"/>
    </row>
    <row r="96" spans="1:11" s="50" customFormat="1" ht="15.75" x14ac:dyDescent="0.25">
      <c r="D96" s="51"/>
    </row>
    <row r="97" spans="1:4" s="50" customFormat="1" ht="15.75" x14ac:dyDescent="0.25">
      <c r="A97" s="50" t="s">
        <v>414</v>
      </c>
      <c r="D97" s="51"/>
    </row>
    <row r="98" spans="1:4" s="50" customFormat="1" ht="15.75" x14ac:dyDescent="0.25">
      <c r="A98" s="50" t="s">
        <v>374</v>
      </c>
      <c r="D98" s="51"/>
    </row>
    <row r="99" spans="1:4" s="50" customFormat="1" ht="15.75" x14ac:dyDescent="0.25">
      <c r="A99" s="50" t="s">
        <v>415</v>
      </c>
      <c r="D99" s="51"/>
    </row>
    <row r="100" spans="1:4" s="50" customFormat="1" ht="15.75" x14ac:dyDescent="0.25">
      <c r="A100" s="50" t="s">
        <v>375</v>
      </c>
      <c r="D100" s="51"/>
    </row>
    <row r="101" spans="1:4" s="50" customFormat="1" ht="15.75" x14ac:dyDescent="0.25">
      <c r="A101" s="50" t="s">
        <v>376</v>
      </c>
      <c r="D101" s="51"/>
    </row>
    <row r="102" spans="1:4" s="50" customFormat="1" ht="15.75" x14ac:dyDescent="0.25">
      <c r="A102" s="50" t="s">
        <v>377</v>
      </c>
      <c r="D102" s="51"/>
    </row>
    <row r="103" spans="1:4" s="50" customFormat="1" ht="15.75" x14ac:dyDescent="0.25">
      <c r="A103" s="50" t="s">
        <v>378</v>
      </c>
      <c r="D103" s="51"/>
    </row>
    <row r="104" spans="1:4" s="50" customFormat="1" ht="15.75" x14ac:dyDescent="0.25">
      <c r="A104" s="50" t="s">
        <v>379</v>
      </c>
      <c r="D104" s="51"/>
    </row>
    <row r="105" spans="1:4" s="50" customFormat="1" ht="15.75" x14ac:dyDescent="0.25">
      <c r="A105" s="50" t="s">
        <v>380</v>
      </c>
      <c r="D105" s="51"/>
    </row>
    <row r="106" spans="1:4" s="50" customFormat="1" ht="15.75" x14ac:dyDescent="0.25">
      <c r="D106" s="51"/>
    </row>
    <row r="107" spans="1:4" s="50" customFormat="1" ht="15.75" x14ac:dyDescent="0.25">
      <c r="D107" s="51"/>
    </row>
    <row r="108" spans="1:4" s="50" customFormat="1" ht="15.75" x14ac:dyDescent="0.25">
      <c r="D108" s="51"/>
    </row>
    <row r="109" spans="1:4" s="50" customFormat="1" ht="15.75" x14ac:dyDescent="0.25">
      <c r="D109" s="51"/>
    </row>
    <row r="110" spans="1:4" s="50" customFormat="1" ht="15.75" x14ac:dyDescent="0.25">
      <c r="D110" s="51"/>
    </row>
    <row r="111" spans="1:4" s="50" customFormat="1" ht="15.75" x14ac:dyDescent="0.25">
      <c r="D111" s="51"/>
    </row>
    <row r="112" spans="1:4" s="50" customFormat="1" ht="15.75" x14ac:dyDescent="0.25">
      <c r="D112" s="51"/>
    </row>
    <row r="113" spans="4:4" s="50" customFormat="1" ht="15.75" x14ac:dyDescent="0.25">
      <c r="D113" s="51"/>
    </row>
    <row r="114" spans="4:4" s="50" customFormat="1" ht="15.75" x14ac:dyDescent="0.25">
      <c r="D114" s="51"/>
    </row>
    <row r="115" spans="4:4" s="50" customFormat="1" ht="15.75" x14ac:dyDescent="0.25">
      <c r="D115" s="51"/>
    </row>
    <row r="116" spans="4:4" s="50" customFormat="1" ht="15.75" x14ac:dyDescent="0.25">
      <c r="D116" s="51"/>
    </row>
    <row r="117" spans="4:4" s="50" customFormat="1" ht="15.75" x14ac:dyDescent="0.25">
      <c r="D117" s="51"/>
    </row>
    <row r="118" spans="4:4" s="50" customFormat="1" ht="15.75" x14ac:dyDescent="0.25">
      <c r="D118" s="51"/>
    </row>
    <row r="119" spans="4:4" s="50" customFormat="1" ht="15.75" x14ac:dyDescent="0.25">
      <c r="D119" s="51"/>
    </row>
    <row r="120" spans="4:4" s="50" customFormat="1" ht="15.75" x14ac:dyDescent="0.25">
      <c r="D120" s="51"/>
    </row>
    <row r="121" spans="4:4" s="50" customFormat="1" ht="15.75" x14ac:dyDescent="0.25">
      <c r="D121" s="51"/>
    </row>
    <row r="122" spans="4:4" s="50" customFormat="1" ht="15.75" x14ac:dyDescent="0.25">
      <c r="D122" s="51"/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69"/>
  <sheetViews>
    <sheetView showGridLines="0" workbookViewId="0"/>
  </sheetViews>
  <sheetFormatPr baseColWidth="10" defaultRowHeight="15" x14ac:dyDescent="0.25"/>
  <cols>
    <col min="1" max="1" width="6.28515625" customWidth="1"/>
    <col min="2" max="9" width="8.7109375" customWidth="1"/>
  </cols>
  <sheetData>
    <row r="2" spans="2:10" ht="15.75" x14ac:dyDescent="0.25">
      <c r="B2" s="7" t="s">
        <v>15</v>
      </c>
      <c r="C2" s="3"/>
      <c r="D2" s="3"/>
    </row>
    <row r="3" spans="2:10" ht="15.75" x14ac:dyDescent="0.25">
      <c r="B3" s="2" t="s">
        <v>16</v>
      </c>
      <c r="D3" s="3">
        <v>3200</v>
      </c>
      <c r="E3" s="8">
        <f>D3/$D$5</f>
        <v>0.4</v>
      </c>
    </row>
    <row r="4" spans="2:10" ht="15.75" x14ac:dyDescent="0.25">
      <c r="B4" s="2" t="s">
        <v>17</v>
      </c>
      <c r="D4" s="3">
        <v>4800</v>
      </c>
      <c r="E4" s="8">
        <f>D4/$D$5</f>
        <v>0.6</v>
      </c>
    </row>
    <row r="5" spans="2:10" s="176" customFormat="1" ht="21" x14ac:dyDescent="0.35">
      <c r="B5" s="2" t="s">
        <v>6</v>
      </c>
      <c r="C5" s="177"/>
      <c r="D5" s="6">
        <v>8000</v>
      </c>
      <c r="E5" s="9">
        <v>1</v>
      </c>
      <c r="F5" s="177"/>
      <c r="G5" s="177"/>
      <c r="H5" s="177"/>
      <c r="I5" s="177"/>
      <c r="J5" s="177"/>
    </row>
    <row r="6" spans="2:10" ht="15.75" x14ac:dyDescent="0.25">
      <c r="B6" s="2"/>
      <c r="C6" s="177"/>
      <c r="D6" s="3"/>
      <c r="E6" s="3"/>
      <c r="F6" s="177"/>
      <c r="G6" s="177"/>
      <c r="H6" s="177"/>
      <c r="I6" s="177"/>
      <c r="J6" s="177"/>
    </row>
    <row r="7" spans="2:10" ht="15.75" x14ac:dyDescent="0.25">
      <c r="B7" s="2" t="s">
        <v>8</v>
      </c>
      <c r="C7" s="177"/>
      <c r="D7" s="3">
        <v>2800</v>
      </c>
      <c r="E7" s="8">
        <f>D7/$D$10</f>
        <v>0.35</v>
      </c>
      <c r="F7" s="177"/>
      <c r="G7" s="177"/>
      <c r="H7" s="177"/>
      <c r="I7" s="177"/>
      <c r="J7" s="177"/>
    </row>
    <row r="8" spans="2:10" ht="15.75" x14ac:dyDescent="0.25">
      <c r="B8" s="2" t="s">
        <v>10</v>
      </c>
      <c r="C8" s="177"/>
      <c r="D8" s="3">
        <v>1800</v>
      </c>
      <c r="E8" s="8">
        <f t="shared" ref="E8:E9" si="0">D8/$D$10</f>
        <v>0.22500000000000001</v>
      </c>
      <c r="F8" s="177"/>
      <c r="G8" s="177"/>
      <c r="H8" s="177"/>
      <c r="I8" s="177"/>
      <c r="J8" s="177"/>
    </row>
    <row r="9" spans="2:10" ht="15.75" x14ac:dyDescent="0.25">
      <c r="B9" s="2" t="s">
        <v>18</v>
      </c>
      <c r="C9" s="177"/>
      <c r="D9" s="3">
        <v>3400</v>
      </c>
      <c r="E9" s="8">
        <f t="shared" si="0"/>
        <v>0.42499999999999999</v>
      </c>
      <c r="F9" s="177"/>
      <c r="G9" s="177"/>
      <c r="H9" s="177"/>
      <c r="I9" s="177"/>
      <c r="J9" s="177"/>
    </row>
    <row r="10" spans="2:10" s="176" customFormat="1" ht="21" x14ac:dyDescent="0.35">
      <c r="B10" s="2"/>
      <c r="C10" s="177"/>
      <c r="D10" s="6">
        <v>8000</v>
      </c>
      <c r="E10" s="9">
        <v>1</v>
      </c>
      <c r="F10" s="177"/>
      <c r="G10" s="177"/>
      <c r="H10" s="177"/>
      <c r="I10" s="177"/>
      <c r="J10" s="177"/>
    </row>
    <row r="12" spans="2:10" ht="16.5" thickBot="1" x14ac:dyDescent="0.3">
      <c r="B12" s="2"/>
      <c r="C12" s="182"/>
      <c r="D12" s="230" t="s">
        <v>550</v>
      </c>
      <c r="E12" s="230"/>
      <c r="F12" s="230"/>
      <c r="G12" s="230"/>
      <c r="H12" s="182"/>
      <c r="I12" s="2"/>
      <c r="J12" s="2"/>
    </row>
    <row r="13" spans="2:10" s="178" customFormat="1" ht="6" x14ac:dyDescent="0.15">
      <c r="C13" s="183"/>
      <c r="D13" s="184"/>
      <c r="E13" s="184"/>
      <c r="F13" s="197"/>
      <c r="G13" s="198"/>
      <c r="H13" s="199"/>
    </row>
    <row r="14" spans="2:10" s="178" customFormat="1" ht="6" x14ac:dyDescent="0.15">
      <c r="C14" s="185"/>
      <c r="D14" s="184"/>
      <c r="E14" s="184"/>
      <c r="F14" s="200"/>
      <c r="G14" s="201"/>
      <c r="H14" s="202"/>
    </row>
    <row r="15" spans="2:10" s="178" customFormat="1" ht="6" x14ac:dyDescent="0.15">
      <c r="C15" s="185"/>
      <c r="D15" s="184"/>
      <c r="E15" s="184"/>
      <c r="F15" s="200"/>
      <c r="G15" s="201"/>
      <c r="H15" s="202"/>
    </row>
    <row r="16" spans="2:10" s="178" customFormat="1" ht="6" x14ac:dyDescent="0.15">
      <c r="C16" s="185"/>
      <c r="D16" s="184"/>
      <c r="E16" s="184"/>
      <c r="F16" s="200"/>
      <c r="G16" s="201"/>
      <c r="H16" s="202"/>
    </row>
    <row r="17" spans="2:8" s="178" customFormat="1" ht="6" x14ac:dyDescent="0.15">
      <c r="C17" s="185"/>
      <c r="D17" s="184"/>
      <c r="E17" s="184"/>
      <c r="F17" s="200"/>
      <c r="G17" s="201"/>
      <c r="H17" s="202"/>
    </row>
    <row r="18" spans="2:8" s="178" customFormat="1" ht="6" x14ac:dyDescent="0.15">
      <c r="C18" s="185"/>
      <c r="D18" s="184"/>
      <c r="E18" s="184"/>
      <c r="F18" s="200"/>
      <c r="G18" s="201"/>
      <c r="H18" s="202"/>
    </row>
    <row r="19" spans="2:8" s="178" customFormat="1" ht="6" x14ac:dyDescent="0.15">
      <c r="C19" s="185"/>
      <c r="D19" s="184"/>
      <c r="E19" s="184"/>
      <c r="F19" s="200"/>
      <c r="G19" s="201"/>
      <c r="H19" s="202"/>
    </row>
    <row r="20" spans="2:8" s="178" customFormat="1" ht="6" x14ac:dyDescent="0.15">
      <c r="B20" s="180"/>
      <c r="C20" s="185"/>
      <c r="D20" s="184"/>
      <c r="E20" s="184"/>
      <c r="F20" s="200"/>
      <c r="G20" s="201"/>
      <c r="H20" s="202"/>
    </row>
    <row r="21" spans="2:8" s="178" customFormat="1" ht="6" x14ac:dyDescent="0.15">
      <c r="B21" s="180"/>
      <c r="C21" s="185"/>
      <c r="D21" s="184"/>
      <c r="E21" s="184"/>
      <c r="F21" s="200"/>
      <c r="G21" s="201"/>
      <c r="H21" s="202"/>
    </row>
    <row r="22" spans="2:8" s="178" customFormat="1" ht="6" x14ac:dyDescent="0.15">
      <c r="B22" s="180"/>
      <c r="C22" s="185"/>
      <c r="D22" s="184"/>
      <c r="E22" s="184"/>
      <c r="F22" s="200"/>
      <c r="G22" s="201"/>
      <c r="H22" s="202"/>
    </row>
    <row r="23" spans="2:8" s="178" customFormat="1" ht="6" x14ac:dyDescent="0.15">
      <c r="B23" s="180"/>
      <c r="C23" s="185"/>
      <c r="D23" s="184"/>
      <c r="E23" s="184"/>
      <c r="F23" s="200"/>
      <c r="G23" s="201"/>
      <c r="H23" s="202"/>
    </row>
    <row r="24" spans="2:8" s="178" customFormat="1" ht="6" x14ac:dyDescent="0.15">
      <c r="B24" s="180"/>
      <c r="C24" s="185"/>
      <c r="D24" s="184"/>
      <c r="E24" s="184"/>
      <c r="F24" s="200"/>
      <c r="G24" s="201"/>
      <c r="H24" s="202"/>
    </row>
    <row r="25" spans="2:8" s="178" customFormat="1" ht="6" x14ac:dyDescent="0.15">
      <c r="B25" s="180"/>
      <c r="C25" s="185"/>
      <c r="D25" s="184"/>
      <c r="E25" s="184"/>
      <c r="F25" s="200"/>
      <c r="G25" s="201"/>
      <c r="H25" s="202"/>
    </row>
    <row r="26" spans="2:8" s="178" customFormat="1" ht="6" x14ac:dyDescent="0.15">
      <c r="B26" s="180"/>
      <c r="C26" s="185"/>
      <c r="D26" s="184"/>
      <c r="E26" s="184"/>
      <c r="F26" s="200"/>
      <c r="G26" s="201"/>
      <c r="H26" s="202"/>
    </row>
    <row r="27" spans="2:8" s="178" customFormat="1" ht="6" x14ac:dyDescent="0.15">
      <c r="B27" s="180"/>
      <c r="C27" s="185"/>
      <c r="D27" s="186"/>
      <c r="E27" s="187"/>
      <c r="F27" s="203"/>
      <c r="G27" s="204"/>
      <c r="H27" s="205"/>
    </row>
    <row r="28" spans="2:8" s="178" customFormat="1" ht="6" x14ac:dyDescent="0.15">
      <c r="B28" s="180"/>
      <c r="C28" s="185"/>
      <c r="D28" s="186"/>
      <c r="E28" s="187"/>
      <c r="F28" s="206"/>
      <c r="G28" s="207"/>
      <c r="H28" s="208"/>
    </row>
    <row r="29" spans="2:8" s="178" customFormat="1" ht="6" x14ac:dyDescent="0.15">
      <c r="B29" s="180"/>
      <c r="C29" s="185"/>
      <c r="D29" s="186"/>
      <c r="E29" s="187"/>
      <c r="F29" s="209"/>
      <c r="G29" s="210"/>
      <c r="H29" s="211"/>
    </row>
    <row r="30" spans="2:8" s="178" customFormat="1" ht="6" x14ac:dyDescent="0.15">
      <c r="B30" s="180"/>
      <c r="C30" s="185"/>
      <c r="D30" s="186"/>
      <c r="E30" s="187"/>
      <c r="F30" s="209"/>
      <c r="G30" s="210"/>
      <c r="H30" s="211"/>
    </row>
    <row r="31" spans="2:8" s="178" customFormat="1" ht="6" x14ac:dyDescent="0.15">
      <c r="B31" s="180"/>
      <c r="C31" s="185"/>
      <c r="D31" s="186"/>
      <c r="E31" s="187"/>
      <c r="F31" s="209"/>
      <c r="G31" s="210"/>
      <c r="H31" s="211"/>
    </row>
    <row r="32" spans="2:8" s="178" customFormat="1" ht="6" x14ac:dyDescent="0.15">
      <c r="B32" s="180"/>
      <c r="C32" s="188"/>
      <c r="D32" s="189"/>
      <c r="E32" s="190"/>
      <c r="F32" s="209"/>
      <c r="G32" s="210"/>
      <c r="H32" s="211"/>
    </row>
    <row r="33" spans="2:8" s="178" customFormat="1" ht="6" x14ac:dyDescent="0.15">
      <c r="B33" s="180"/>
      <c r="C33" s="221"/>
      <c r="D33" s="222"/>
      <c r="E33" s="223"/>
      <c r="F33" s="209"/>
      <c r="G33" s="210"/>
      <c r="H33" s="211"/>
    </row>
    <row r="34" spans="2:8" s="178" customFormat="1" ht="6" x14ac:dyDescent="0.15">
      <c r="B34" s="180"/>
      <c r="C34" s="191"/>
      <c r="D34" s="192"/>
      <c r="E34" s="193"/>
      <c r="F34" s="209"/>
      <c r="G34" s="210"/>
      <c r="H34" s="211"/>
    </row>
    <row r="35" spans="2:8" s="178" customFormat="1" ht="6" x14ac:dyDescent="0.15">
      <c r="B35" s="180"/>
      <c r="C35" s="191"/>
      <c r="D35" s="192"/>
      <c r="E35" s="193"/>
      <c r="F35" s="209"/>
      <c r="G35" s="210"/>
      <c r="H35" s="211"/>
    </row>
    <row r="36" spans="2:8" s="178" customFormat="1" ht="6" x14ac:dyDescent="0.15">
      <c r="B36" s="180"/>
      <c r="C36" s="191"/>
      <c r="D36" s="192"/>
      <c r="E36" s="193"/>
      <c r="F36" s="209"/>
      <c r="G36" s="210"/>
      <c r="H36" s="211"/>
    </row>
    <row r="37" spans="2:8" s="178" customFormat="1" ht="6" x14ac:dyDescent="0.15">
      <c r="B37" s="180"/>
      <c r="C37" s="191"/>
      <c r="D37" s="192"/>
      <c r="E37" s="193"/>
      <c r="F37" s="209"/>
      <c r="G37" s="210"/>
      <c r="H37" s="211"/>
    </row>
    <row r="38" spans="2:8" s="178" customFormat="1" ht="6" x14ac:dyDescent="0.15">
      <c r="B38" s="180"/>
      <c r="C38" s="191"/>
      <c r="D38" s="192"/>
      <c r="E38" s="193"/>
      <c r="F38" s="212"/>
      <c r="G38" s="213"/>
      <c r="H38" s="214"/>
    </row>
    <row r="39" spans="2:8" s="178" customFormat="1" ht="6" x14ac:dyDescent="0.15">
      <c r="B39" s="180"/>
      <c r="C39" s="191"/>
      <c r="D39" s="192"/>
      <c r="E39" s="193"/>
      <c r="F39" s="215"/>
      <c r="G39" s="216"/>
      <c r="H39" s="217"/>
    </row>
    <row r="40" spans="2:8" s="178" customFormat="1" ht="6" x14ac:dyDescent="0.15">
      <c r="B40" s="180"/>
      <c r="C40" s="191"/>
      <c r="D40" s="192"/>
      <c r="E40" s="193"/>
      <c r="F40" s="215"/>
      <c r="G40" s="216"/>
      <c r="H40" s="217"/>
    </row>
    <row r="41" spans="2:8" s="178" customFormat="1" ht="6" x14ac:dyDescent="0.15">
      <c r="B41" s="180"/>
      <c r="C41" s="191"/>
      <c r="D41" s="192"/>
      <c r="E41" s="193"/>
      <c r="F41" s="215"/>
      <c r="G41" s="216"/>
      <c r="H41" s="217"/>
    </row>
    <row r="42" spans="2:8" s="178" customFormat="1" ht="6" x14ac:dyDescent="0.15">
      <c r="B42" s="180"/>
      <c r="C42" s="224"/>
      <c r="D42" s="225"/>
      <c r="E42" s="226"/>
      <c r="F42" s="215"/>
      <c r="G42" s="216"/>
      <c r="H42" s="217"/>
    </row>
    <row r="43" spans="2:8" s="178" customFormat="1" ht="6" x14ac:dyDescent="0.15">
      <c r="B43" s="180"/>
      <c r="C43" s="191"/>
      <c r="D43" s="192"/>
      <c r="E43" s="193"/>
      <c r="F43" s="215"/>
      <c r="G43" s="216"/>
      <c r="H43" s="217"/>
    </row>
    <row r="44" spans="2:8" s="178" customFormat="1" ht="6" x14ac:dyDescent="0.15">
      <c r="B44" s="180"/>
      <c r="C44" s="191"/>
      <c r="D44" s="192"/>
      <c r="E44" s="193"/>
      <c r="F44" s="215"/>
      <c r="G44" s="216"/>
      <c r="H44" s="217"/>
    </row>
    <row r="45" spans="2:8" s="178" customFormat="1" ht="6" x14ac:dyDescent="0.15">
      <c r="B45" s="180"/>
      <c r="C45" s="191"/>
      <c r="D45" s="192"/>
      <c r="E45" s="193"/>
      <c r="F45" s="215"/>
      <c r="G45" s="216"/>
      <c r="H45" s="217"/>
    </row>
    <row r="46" spans="2:8" s="178" customFormat="1" ht="6" x14ac:dyDescent="0.15">
      <c r="B46" s="180"/>
      <c r="C46" s="191"/>
      <c r="D46" s="192"/>
      <c r="E46" s="193"/>
      <c r="F46" s="215"/>
      <c r="G46" s="216"/>
      <c r="H46" s="217"/>
    </row>
    <row r="47" spans="2:8" s="178" customFormat="1" ht="6" x14ac:dyDescent="0.15">
      <c r="B47" s="180"/>
      <c r="C47" s="191"/>
      <c r="D47" s="192"/>
      <c r="E47" s="193"/>
      <c r="F47" s="215"/>
      <c r="G47" s="216"/>
      <c r="H47" s="217"/>
    </row>
    <row r="48" spans="2:8" s="178" customFormat="1" ht="6" x14ac:dyDescent="0.15">
      <c r="B48" s="180"/>
      <c r="C48" s="191"/>
      <c r="D48" s="192"/>
      <c r="E48" s="193"/>
      <c r="F48" s="215"/>
      <c r="G48" s="216"/>
      <c r="H48" s="217"/>
    </row>
    <row r="49" spans="2:8" s="178" customFormat="1" ht="6" x14ac:dyDescent="0.15">
      <c r="B49" s="180"/>
      <c r="C49" s="191"/>
      <c r="D49" s="192"/>
      <c r="E49" s="193"/>
      <c r="F49" s="215"/>
      <c r="G49" s="216"/>
      <c r="H49" s="217"/>
    </row>
    <row r="50" spans="2:8" s="178" customFormat="1" ht="6" x14ac:dyDescent="0.15">
      <c r="B50" s="180"/>
      <c r="C50" s="191"/>
      <c r="D50" s="192"/>
      <c r="E50" s="193"/>
      <c r="F50" s="215"/>
      <c r="G50" s="216"/>
      <c r="H50" s="217"/>
    </row>
    <row r="51" spans="2:8" s="178" customFormat="1" ht="6" x14ac:dyDescent="0.15">
      <c r="B51" s="180"/>
      <c r="C51" s="191"/>
      <c r="D51" s="192"/>
      <c r="E51" s="193"/>
      <c r="F51" s="215"/>
      <c r="G51" s="216"/>
      <c r="H51" s="217"/>
    </row>
    <row r="52" spans="2:8" s="178" customFormat="1" ht="6" x14ac:dyDescent="0.15">
      <c r="B52" s="180"/>
      <c r="C52" s="191"/>
      <c r="D52" s="192"/>
      <c r="E52" s="193"/>
      <c r="F52" s="215"/>
      <c r="G52" s="216"/>
      <c r="H52" s="217"/>
    </row>
    <row r="53" spans="2:8" s="178" customFormat="1" ht="6" x14ac:dyDescent="0.15">
      <c r="B53" s="180"/>
      <c r="C53" s="191"/>
      <c r="D53" s="192"/>
      <c r="E53" s="193"/>
      <c r="F53" s="215"/>
      <c r="G53" s="216"/>
      <c r="H53" s="217"/>
    </row>
    <row r="54" spans="2:8" s="178" customFormat="1" ht="6" x14ac:dyDescent="0.15">
      <c r="B54" s="180"/>
      <c r="C54" s="191"/>
      <c r="D54" s="192"/>
      <c r="E54" s="193"/>
      <c r="F54" s="215"/>
      <c r="G54" s="216"/>
      <c r="H54" s="217"/>
    </row>
    <row r="55" spans="2:8" s="178" customFormat="1" ht="6" x14ac:dyDescent="0.15">
      <c r="B55" s="180"/>
      <c r="C55" s="191"/>
      <c r="D55" s="192"/>
      <c r="E55" s="193"/>
      <c r="F55" s="215"/>
      <c r="G55" s="216"/>
      <c r="H55" s="217"/>
    </row>
    <row r="56" spans="2:8" s="178" customFormat="1" ht="6" x14ac:dyDescent="0.15">
      <c r="B56" s="180"/>
      <c r="C56" s="191"/>
      <c r="D56" s="192"/>
      <c r="E56" s="193"/>
      <c r="F56" s="215"/>
      <c r="G56" s="216"/>
      <c r="H56" s="217"/>
    </row>
    <row r="57" spans="2:8" s="178" customFormat="1" ht="6" x14ac:dyDescent="0.15">
      <c r="B57" s="180"/>
      <c r="C57" s="191"/>
      <c r="D57" s="192"/>
      <c r="E57" s="193"/>
      <c r="F57" s="215"/>
      <c r="G57" s="216"/>
      <c r="H57" s="217"/>
    </row>
    <row r="58" spans="2:8" s="178" customFormat="1" ht="6" x14ac:dyDescent="0.15">
      <c r="B58" s="180"/>
      <c r="C58" s="191"/>
      <c r="D58" s="192"/>
      <c r="E58" s="193"/>
      <c r="F58" s="215"/>
      <c r="G58" s="216"/>
      <c r="H58" s="217"/>
    </row>
    <row r="59" spans="2:8" s="178" customFormat="1" ht="6" x14ac:dyDescent="0.15">
      <c r="B59" s="180"/>
      <c r="C59" s="191"/>
      <c r="D59" s="192"/>
      <c r="E59" s="193"/>
      <c r="F59" s="215"/>
      <c r="G59" s="216"/>
      <c r="H59" s="217"/>
    </row>
    <row r="60" spans="2:8" s="178" customFormat="1" ht="6" x14ac:dyDescent="0.15">
      <c r="B60" s="180"/>
      <c r="C60" s="191"/>
      <c r="D60" s="192"/>
      <c r="E60" s="193"/>
      <c r="F60" s="215"/>
      <c r="G60" s="216"/>
      <c r="H60" s="217"/>
    </row>
    <row r="61" spans="2:8" s="178" customFormat="1" ht="6" x14ac:dyDescent="0.15">
      <c r="B61" s="180"/>
      <c r="C61" s="191"/>
      <c r="D61" s="192"/>
      <c r="E61" s="193"/>
      <c r="F61" s="215"/>
      <c r="G61" s="216"/>
      <c r="H61" s="217"/>
    </row>
    <row r="62" spans="2:8" s="178" customFormat="1" ht="6" x14ac:dyDescent="0.15">
      <c r="B62" s="180"/>
      <c r="C62" s="194"/>
      <c r="D62" s="195"/>
      <c r="E62" s="196"/>
      <c r="F62" s="218"/>
      <c r="G62" s="219"/>
      <c r="H62" s="220"/>
    </row>
    <row r="63" spans="2:8" s="178" customFormat="1" ht="6" x14ac:dyDescent="0.15">
      <c r="B63" s="180"/>
      <c r="F63" s="179"/>
    </row>
    <row r="64" spans="2:8" s="178" customFormat="1" ht="6" x14ac:dyDescent="0.15">
      <c r="B64" s="180"/>
      <c r="F64" s="179"/>
    </row>
    <row r="65" s="178" customFormat="1" ht="6" x14ac:dyDescent="0.15"/>
    <row r="66" s="178" customFormat="1" ht="6" x14ac:dyDescent="0.15"/>
    <row r="67" s="178" customFormat="1" ht="6" x14ac:dyDescent="0.15"/>
    <row r="68" s="178" customFormat="1" ht="6" x14ac:dyDescent="0.15"/>
    <row r="69" s="178" customFormat="1" ht="6" x14ac:dyDescent="0.15"/>
  </sheetData>
  <mergeCells count="1">
    <mergeCell ref="D12:G12"/>
  </mergeCells>
  <pageMargins left="0.51181102362204722" right="0.51181102362204722" top="0.74803149606299213" bottom="0.74803149606299213" header="0.31496062992125984" footer="0.31496062992125984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3"/>
  <sheetViews>
    <sheetView showGridLines="0" showZeros="0" workbookViewId="0"/>
  </sheetViews>
  <sheetFormatPr baseColWidth="10" defaultRowHeight="15.75" x14ac:dyDescent="0.25"/>
  <cols>
    <col min="1" max="1" width="4.5703125" style="50" customWidth="1"/>
    <col min="2" max="2" width="7" style="50" customWidth="1"/>
    <col min="3" max="3" width="25.85546875" style="50" customWidth="1"/>
    <col min="4" max="4" width="8.7109375" style="60" customWidth="1"/>
    <col min="5" max="5" width="2" style="50" customWidth="1"/>
    <col min="6" max="6" width="8.7109375" style="50" customWidth="1"/>
    <col min="7" max="241" width="11.42578125" style="50"/>
    <col min="242" max="242" width="4.5703125" style="50" customWidth="1"/>
    <col min="243" max="243" width="7" style="50" customWidth="1"/>
    <col min="244" max="244" width="23.42578125" style="50" customWidth="1"/>
    <col min="245" max="245" width="4.7109375" style="50" customWidth="1"/>
    <col min="246" max="246" width="8.28515625" style="50" customWidth="1"/>
    <col min="247" max="247" width="2.28515625" style="50" customWidth="1"/>
    <col min="248" max="248" width="11.42578125" style="50"/>
    <col min="249" max="249" width="2.28515625" style="50" customWidth="1"/>
    <col min="250" max="497" width="11.42578125" style="50"/>
    <col min="498" max="498" width="4.5703125" style="50" customWidth="1"/>
    <col min="499" max="499" width="7" style="50" customWidth="1"/>
    <col min="500" max="500" width="23.42578125" style="50" customWidth="1"/>
    <col min="501" max="501" width="4.7109375" style="50" customWidth="1"/>
    <col min="502" max="502" width="8.28515625" style="50" customWidth="1"/>
    <col min="503" max="503" width="2.28515625" style="50" customWidth="1"/>
    <col min="504" max="504" width="11.42578125" style="50"/>
    <col min="505" max="505" width="2.28515625" style="50" customWidth="1"/>
    <col min="506" max="753" width="11.42578125" style="50"/>
    <col min="754" max="754" width="4.5703125" style="50" customWidth="1"/>
    <col min="755" max="755" width="7" style="50" customWidth="1"/>
    <col min="756" max="756" width="23.42578125" style="50" customWidth="1"/>
    <col min="757" max="757" width="4.7109375" style="50" customWidth="1"/>
    <col min="758" max="758" width="8.28515625" style="50" customWidth="1"/>
    <col min="759" max="759" width="2.28515625" style="50" customWidth="1"/>
    <col min="760" max="760" width="11.42578125" style="50"/>
    <col min="761" max="761" width="2.28515625" style="50" customWidth="1"/>
    <col min="762" max="1009" width="11.42578125" style="50"/>
    <col min="1010" max="1010" width="4.5703125" style="50" customWidth="1"/>
    <col min="1011" max="1011" width="7" style="50" customWidth="1"/>
    <col min="1012" max="1012" width="23.42578125" style="50" customWidth="1"/>
    <col min="1013" max="1013" width="4.7109375" style="50" customWidth="1"/>
    <col min="1014" max="1014" width="8.28515625" style="50" customWidth="1"/>
    <col min="1015" max="1015" width="2.28515625" style="50" customWidth="1"/>
    <col min="1016" max="1016" width="11.42578125" style="50"/>
    <col min="1017" max="1017" width="2.28515625" style="50" customWidth="1"/>
    <col min="1018" max="1265" width="11.42578125" style="50"/>
    <col min="1266" max="1266" width="4.5703125" style="50" customWidth="1"/>
    <col min="1267" max="1267" width="7" style="50" customWidth="1"/>
    <col min="1268" max="1268" width="23.42578125" style="50" customWidth="1"/>
    <col min="1269" max="1269" width="4.7109375" style="50" customWidth="1"/>
    <col min="1270" max="1270" width="8.28515625" style="50" customWidth="1"/>
    <col min="1271" max="1271" width="2.28515625" style="50" customWidth="1"/>
    <col min="1272" max="1272" width="11.42578125" style="50"/>
    <col min="1273" max="1273" width="2.28515625" style="50" customWidth="1"/>
    <col min="1274" max="1521" width="11.42578125" style="50"/>
    <col min="1522" max="1522" width="4.5703125" style="50" customWidth="1"/>
    <col min="1523" max="1523" width="7" style="50" customWidth="1"/>
    <col min="1524" max="1524" width="23.42578125" style="50" customWidth="1"/>
    <col min="1525" max="1525" width="4.7109375" style="50" customWidth="1"/>
    <col min="1526" max="1526" width="8.28515625" style="50" customWidth="1"/>
    <col min="1527" max="1527" width="2.28515625" style="50" customWidth="1"/>
    <col min="1528" max="1528" width="11.42578125" style="50"/>
    <col min="1529" max="1529" width="2.28515625" style="50" customWidth="1"/>
    <col min="1530" max="1777" width="11.42578125" style="50"/>
    <col min="1778" max="1778" width="4.5703125" style="50" customWidth="1"/>
    <col min="1779" max="1779" width="7" style="50" customWidth="1"/>
    <col min="1780" max="1780" width="23.42578125" style="50" customWidth="1"/>
    <col min="1781" max="1781" width="4.7109375" style="50" customWidth="1"/>
    <col min="1782" max="1782" width="8.28515625" style="50" customWidth="1"/>
    <col min="1783" max="1783" width="2.28515625" style="50" customWidth="1"/>
    <col min="1784" max="1784" width="11.42578125" style="50"/>
    <col min="1785" max="1785" width="2.28515625" style="50" customWidth="1"/>
    <col min="1786" max="2033" width="11.42578125" style="50"/>
    <col min="2034" max="2034" width="4.5703125" style="50" customWidth="1"/>
    <col min="2035" max="2035" width="7" style="50" customWidth="1"/>
    <col min="2036" max="2036" width="23.42578125" style="50" customWidth="1"/>
    <col min="2037" max="2037" width="4.7109375" style="50" customWidth="1"/>
    <col min="2038" max="2038" width="8.28515625" style="50" customWidth="1"/>
    <col min="2039" max="2039" width="2.28515625" style="50" customWidth="1"/>
    <col min="2040" max="2040" width="11.42578125" style="50"/>
    <col min="2041" max="2041" width="2.28515625" style="50" customWidth="1"/>
    <col min="2042" max="2289" width="11.42578125" style="50"/>
    <col min="2290" max="2290" width="4.5703125" style="50" customWidth="1"/>
    <col min="2291" max="2291" width="7" style="50" customWidth="1"/>
    <col min="2292" max="2292" width="23.42578125" style="50" customWidth="1"/>
    <col min="2293" max="2293" width="4.7109375" style="50" customWidth="1"/>
    <col min="2294" max="2294" width="8.28515625" style="50" customWidth="1"/>
    <col min="2295" max="2295" width="2.28515625" style="50" customWidth="1"/>
    <col min="2296" max="2296" width="11.42578125" style="50"/>
    <col min="2297" max="2297" width="2.28515625" style="50" customWidth="1"/>
    <col min="2298" max="2545" width="11.42578125" style="50"/>
    <col min="2546" max="2546" width="4.5703125" style="50" customWidth="1"/>
    <col min="2547" max="2547" width="7" style="50" customWidth="1"/>
    <col min="2548" max="2548" width="23.42578125" style="50" customWidth="1"/>
    <col min="2549" max="2549" width="4.7109375" style="50" customWidth="1"/>
    <col min="2550" max="2550" width="8.28515625" style="50" customWidth="1"/>
    <col min="2551" max="2551" width="2.28515625" style="50" customWidth="1"/>
    <col min="2552" max="2552" width="11.42578125" style="50"/>
    <col min="2553" max="2553" width="2.28515625" style="50" customWidth="1"/>
    <col min="2554" max="2801" width="11.42578125" style="50"/>
    <col min="2802" max="2802" width="4.5703125" style="50" customWidth="1"/>
    <col min="2803" max="2803" width="7" style="50" customWidth="1"/>
    <col min="2804" max="2804" width="23.42578125" style="50" customWidth="1"/>
    <col min="2805" max="2805" width="4.7109375" style="50" customWidth="1"/>
    <col min="2806" max="2806" width="8.28515625" style="50" customWidth="1"/>
    <col min="2807" max="2807" width="2.28515625" style="50" customWidth="1"/>
    <col min="2808" max="2808" width="11.42578125" style="50"/>
    <col min="2809" max="2809" width="2.28515625" style="50" customWidth="1"/>
    <col min="2810" max="3057" width="11.42578125" style="50"/>
    <col min="3058" max="3058" width="4.5703125" style="50" customWidth="1"/>
    <col min="3059" max="3059" width="7" style="50" customWidth="1"/>
    <col min="3060" max="3060" width="23.42578125" style="50" customWidth="1"/>
    <col min="3061" max="3061" width="4.7109375" style="50" customWidth="1"/>
    <col min="3062" max="3062" width="8.28515625" style="50" customWidth="1"/>
    <col min="3063" max="3063" width="2.28515625" style="50" customWidth="1"/>
    <col min="3064" max="3064" width="11.42578125" style="50"/>
    <col min="3065" max="3065" width="2.28515625" style="50" customWidth="1"/>
    <col min="3066" max="3313" width="11.42578125" style="50"/>
    <col min="3314" max="3314" width="4.5703125" style="50" customWidth="1"/>
    <col min="3315" max="3315" width="7" style="50" customWidth="1"/>
    <col min="3316" max="3316" width="23.42578125" style="50" customWidth="1"/>
    <col min="3317" max="3317" width="4.7109375" style="50" customWidth="1"/>
    <col min="3318" max="3318" width="8.28515625" style="50" customWidth="1"/>
    <col min="3319" max="3319" width="2.28515625" style="50" customWidth="1"/>
    <col min="3320" max="3320" width="11.42578125" style="50"/>
    <col min="3321" max="3321" width="2.28515625" style="50" customWidth="1"/>
    <col min="3322" max="3569" width="11.42578125" style="50"/>
    <col min="3570" max="3570" width="4.5703125" style="50" customWidth="1"/>
    <col min="3571" max="3571" width="7" style="50" customWidth="1"/>
    <col min="3572" max="3572" width="23.42578125" style="50" customWidth="1"/>
    <col min="3573" max="3573" width="4.7109375" style="50" customWidth="1"/>
    <col min="3574" max="3574" width="8.28515625" style="50" customWidth="1"/>
    <col min="3575" max="3575" width="2.28515625" style="50" customWidth="1"/>
    <col min="3576" max="3576" width="11.42578125" style="50"/>
    <col min="3577" max="3577" width="2.28515625" style="50" customWidth="1"/>
    <col min="3578" max="3825" width="11.42578125" style="50"/>
    <col min="3826" max="3826" width="4.5703125" style="50" customWidth="1"/>
    <col min="3827" max="3827" width="7" style="50" customWidth="1"/>
    <col min="3828" max="3828" width="23.42578125" style="50" customWidth="1"/>
    <col min="3829" max="3829" width="4.7109375" style="50" customWidth="1"/>
    <col min="3830" max="3830" width="8.28515625" style="50" customWidth="1"/>
    <col min="3831" max="3831" width="2.28515625" style="50" customWidth="1"/>
    <col min="3832" max="3832" width="11.42578125" style="50"/>
    <col min="3833" max="3833" width="2.28515625" style="50" customWidth="1"/>
    <col min="3834" max="4081" width="11.42578125" style="50"/>
    <col min="4082" max="4082" width="4.5703125" style="50" customWidth="1"/>
    <col min="4083" max="4083" width="7" style="50" customWidth="1"/>
    <col min="4084" max="4084" width="23.42578125" style="50" customWidth="1"/>
    <col min="4085" max="4085" width="4.7109375" style="50" customWidth="1"/>
    <col min="4086" max="4086" width="8.28515625" style="50" customWidth="1"/>
    <col min="4087" max="4087" width="2.28515625" style="50" customWidth="1"/>
    <col min="4088" max="4088" width="11.42578125" style="50"/>
    <col min="4089" max="4089" width="2.28515625" style="50" customWidth="1"/>
    <col min="4090" max="4337" width="11.42578125" style="50"/>
    <col min="4338" max="4338" width="4.5703125" style="50" customWidth="1"/>
    <col min="4339" max="4339" width="7" style="50" customWidth="1"/>
    <col min="4340" max="4340" width="23.42578125" style="50" customWidth="1"/>
    <col min="4341" max="4341" width="4.7109375" style="50" customWidth="1"/>
    <col min="4342" max="4342" width="8.28515625" style="50" customWidth="1"/>
    <col min="4343" max="4343" width="2.28515625" style="50" customWidth="1"/>
    <col min="4344" max="4344" width="11.42578125" style="50"/>
    <col min="4345" max="4345" width="2.28515625" style="50" customWidth="1"/>
    <col min="4346" max="4593" width="11.42578125" style="50"/>
    <col min="4594" max="4594" width="4.5703125" style="50" customWidth="1"/>
    <col min="4595" max="4595" width="7" style="50" customWidth="1"/>
    <col min="4596" max="4596" width="23.42578125" style="50" customWidth="1"/>
    <col min="4597" max="4597" width="4.7109375" style="50" customWidth="1"/>
    <col min="4598" max="4598" width="8.28515625" style="50" customWidth="1"/>
    <col min="4599" max="4599" width="2.28515625" style="50" customWidth="1"/>
    <col min="4600" max="4600" width="11.42578125" style="50"/>
    <col min="4601" max="4601" width="2.28515625" style="50" customWidth="1"/>
    <col min="4602" max="4849" width="11.42578125" style="50"/>
    <col min="4850" max="4850" width="4.5703125" style="50" customWidth="1"/>
    <col min="4851" max="4851" width="7" style="50" customWidth="1"/>
    <col min="4852" max="4852" width="23.42578125" style="50" customWidth="1"/>
    <col min="4853" max="4853" width="4.7109375" style="50" customWidth="1"/>
    <col min="4854" max="4854" width="8.28515625" style="50" customWidth="1"/>
    <col min="4855" max="4855" width="2.28515625" style="50" customWidth="1"/>
    <col min="4856" max="4856" width="11.42578125" style="50"/>
    <col min="4857" max="4857" width="2.28515625" style="50" customWidth="1"/>
    <col min="4858" max="5105" width="11.42578125" style="50"/>
    <col min="5106" max="5106" width="4.5703125" style="50" customWidth="1"/>
    <col min="5107" max="5107" width="7" style="50" customWidth="1"/>
    <col min="5108" max="5108" width="23.42578125" style="50" customWidth="1"/>
    <col min="5109" max="5109" width="4.7109375" style="50" customWidth="1"/>
    <col min="5110" max="5110" width="8.28515625" style="50" customWidth="1"/>
    <col min="5111" max="5111" width="2.28515625" style="50" customWidth="1"/>
    <col min="5112" max="5112" width="11.42578125" style="50"/>
    <col min="5113" max="5113" width="2.28515625" style="50" customWidth="1"/>
    <col min="5114" max="5361" width="11.42578125" style="50"/>
    <col min="5362" max="5362" width="4.5703125" style="50" customWidth="1"/>
    <col min="5363" max="5363" width="7" style="50" customWidth="1"/>
    <col min="5364" max="5364" width="23.42578125" style="50" customWidth="1"/>
    <col min="5365" max="5365" width="4.7109375" style="50" customWidth="1"/>
    <col min="5366" max="5366" width="8.28515625" style="50" customWidth="1"/>
    <col min="5367" max="5367" width="2.28515625" style="50" customWidth="1"/>
    <col min="5368" max="5368" width="11.42578125" style="50"/>
    <col min="5369" max="5369" width="2.28515625" style="50" customWidth="1"/>
    <col min="5370" max="5617" width="11.42578125" style="50"/>
    <col min="5618" max="5618" width="4.5703125" style="50" customWidth="1"/>
    <col min="5619" max="5619" width="7" style="50" customWidth="1"/>
    <col min="5620" max="5620" width="23.42578125" style="50" customWidth="1"/>
    <col min="5621" max="5621" width="4.7109375" style="50" customWidth="1"/>
    <col min="5622" max="5622" width="8.28515625" style="50" customWidth="1"/>
    <col min="5623" max="5623" width="2.28515625" style="50" customWidth="1"/>
    <col min="5624" max="5624" width="11.42578125" style="50"/>
    <col min="5625" max="5625" width="2.28515625" style="50" customWidth="1"/>
    <col min="5626" max="5873" width="11.42578125" style="50"/>
    <col min="5874" max="5874" width="4.5703125" style="50" customWidth="1"/>
    <col min="5875" max="5875" width="7" style="50" customWidth="1"/>
    <col min="5876" max="5876" width="23.42578125" style="50" customWidth="1"/>
    <col min="5877" max="5877" width="4.7109375" style="50" customWidth="1"/>
    <col min="5878" max="5878" width="8.28515625" style="50" customWidth="1"/>
    <col min="5879" max="5879" width="2.28515625" style="50" customWidth="1"/>
    <col min="5880" max="5880" width="11.42578125" style="50"/>
    <col min="5881" max="5881" width="2.28515625" style="50" customWidth="1"/>
    <col min="5882" max="6129" width="11.42578125" style="50"/>
    <col min="6130" max="6130" width="4.5703125" style="50" customWidth="1"/>
    <col min="6131" max="6131" width="7" style="50" customWidth="1"/>
    <col min="6132" max="6132" width="23.42578125" style="50" customWidth="1"/>
    <col min="6133" max="6133" width="4.7109375" style="50" customWidth="1"/>
    <col min="6134" max="6134" width="8.28515625" style="50" customWidth="1"/>
    <col min="6135" max="6135" width="2.28515625" style="50" customWidth="1"/>
    <col min="6136" max="6136" width="11.42578125" style="50"/>
    <col min="6137" max="6137" width="2.28515625" style="50" customWidth="1"/>
    <col min="6138" max="6385" width="11.42578125" style="50"/>
    <col min="6386" max="6386" width="4.5703125" style="50" customWidth="1"/>
    <col min="6387" max="6387" width="7" style="50" customWidth="1"/>
    <col min="6388" max="6388" width="23.42578125" style="50" customWidth="1"/>
    <col min="6389" max="6389" width="4.7109375" style="50" customWidth="1"/>
    <col min="6390" max="6390" width="8.28515625" style="50" customWidth="1"/>
    <col min="6391" max="6391" width="2.28515625" style="50" customWidth="1"/>
    <col min="6392" max="6392" width="11.42578125" style="50"/>
    <col min="6393" max="6393" width="2.28515625" style="50" customWidth="1"/>
    <col min="6394" max="6641" width="11.42578125" style="50"/>
    <col min="6642" max="6642" width="4.5703125" style="50" customWidth="1"/>
    <col min="6643" max="6643" width="7" style="50" customWidth="1"/>
    <col min="6644" max="6644" width="23.42578125" style="50" customWidth="1"/>
    <col min="6645" max="6645" width="4.7109375" style="50" customWidth="1"/>
    <col min="6646" max="6646" width="8.28515625" style="50" customWidth="1"/>
    <col min="6647" max="6647" width="2.28515625" style="50" customWidth="1"/>
    <col min="6648" max="6648" width="11.42578125" style="50"/>
    <col min="6649" max="6649" width="2.28515625" style="50" customWidth="1"/>
    <col min="6650" max="6897" width="11.42578125" style="50"/>
    <col min="6898" max="6898" width="4.5703125" style="50" customWidth="1"/>
    <col min="6899" max="6899" width="7" style="50" customWidth="1"/>
    <col min="6900" max="6900" width="23.42578125" style="50" customWidth="1"/>
    <col min="6901" max="6901" width="4.7109375" style="50" customWidth="1"/>
    <col min="6902" max="6902" width="8.28515625" style="50" customWidth="1"/>
    <col min="6903" max="6903" width="2.28515625" style="50" customWidth="1"/>
    <col min="6904" max="6904" width="11.42578125" style="50"/>
    <col min="6905" max="6905" width="2.28515625" style="50" customWidth="1"/>
    <col min="6906" max="7153" width="11.42578125" style="50"/>
    <col min="7154" max="7154" width="4.5703125" style="50" customWidth="1"/>
    <col min="7155" max="7155" width="7" style="50" customWidth="1"/>
    <col min="7156" max="7156" width="23.42578125" style="50" customWidth="1"/>
    <col min="7157" max="7157" width="4.7109375" style="50" customWidth="1"/>
    <col min="7158" max="7158" width="8.28515625" style="50" customWidth="1"/>
    <col min="7159" max="7159" width="2.28515625" style="50" customWidth="1"/>
    <col min="7160" max="7160" width="11.42578125" style="50"/>
    <col min="7161" max="7161" width="2.28515625" style="50" customWidth="1"/>
    <col min="7162" max="7409" width="11.42578125" style="50"/>
    <col min="7410" max="7410" width="4.5703125" style="50" customWidth="1"/>
    <col min="7411" max="7411" width="7" style="50" customWidth="1"/>
    <col min="7412" max="7412" width="23.42578125" style="50" customWidth="1"/>
    <col min="7413" max="7413" width="4.7109375" style="50" customWidth="1"/>
    <col min="7414" max="7414" width="8.28515625" style="50" customWidth="1"/>
    <col min="7415" max="7415" width="2.28515625" style="50" customWidth="1"/>
    <col min="7416" max="7416" width="11.42578125" style="50"/>
    <col min="7417" max="7417" width="2.28515625" style="50" customWidth="1"/>
    <col min="7418" max="7665" width="11.42578125" style="50"/>
    <col min="7666" max="7666" width="4.5703125" style="50" customWidth="1"/>
    <col min="7667" max="7667" width="7" style="50" customWidth="1"/>
    <col min="7668" max="7668" width="23.42578125" style="50" customWidth="1"/>
    <col min="7669" max="7669" width="4.7109375" style="50" customWidth="1"/>
    <col min="7670" max="7670" width="8.28515625" style="50" customWidth="1"/>
    <col min="7671" max="7671" width="2.28515625" style="50" customWidth="1"/>
    <col min="7672" max="7672" width="11.42578125" style="50"/>
    <col min="7673" max="7673" width="2.28515625" style="50" customWidth="1"/>
    <col min="7674" max="7921" width="11.42578125" style="50"/>
    <col min="7922" max="7922" width="4.5703125" style="50" customWidth="1"/>
    <col min="7923" max="7923" width="7" style="50" customWidth="1"/>
    <col min="7924" max="7924" width="23.42578125" style="50" customWidth="1"/>
    <col min="7925" max="7925" width="4.7109375" style="50" customWidth="1"/>
    <col min="7926" max="7926" width="8.28515625" style="50" customWidth="1"/>
    <col min="7927" max="7927" width="2.28515625" style="50" customWidth="1"/>
    <col min="7928" max="7928" width="11.42578125" style="50"/>
    <col min="7929" max="7929" width="2.28515625" style="50" customWidth="1"/>
    <col min="7930" max="8177" width="11.42578125" style="50"/>
    <col min="8178" max="8178" width="4.5703125" style="50" customWidth="1"/>
    <col min="8179" max="8179" width="7" style="50" customWidth="1"/>
    <col min="8180" max="8180" width="23.42578125" style="50" customWidth="1"/>
    <col min="8181" max="8181" width="4.7109375" style="50" customWidth="1"/>
    <col min="8182" max="8182" width="8.28515625" style="50" customWidth="1"/>
    <col min="8183" max="8183" width="2.28515625" style="50" customWidth="1"/>
    <col min="8184" max="8184" width="11.42578125" style="50"/>
    <col min="8185" max="8185" width="2.28515625" style="50" customWidth="1"/>
    <col min="8186" max="8433" width="11.42578125" style="50"/>
    <col min="8434" max="8434" width="4.5703125" style="50" customWidth="1"/>
    <col min="8435" max="8435" width="7" style="50" customWidth="1"/>
    <col min="8436" max="8436" width="23.42578125" style="50" customWidth="1"/>
    <col min="8437" max="8437" width="4.7109375" style="50" customWidth="1"/>
    <col min="8438" max="8438" width="8.28515625" style="50" customWidth="1"/>
    <col min="8439" max="8439" width="2.28515625" style="50" customWidth="1"/>
    <col min="8440" max="8440" width="11.42578125" style="50"/>
    <col min="8441" max="8441" width="2.28515625" style="50" customWidth="1"/>
    <col min="8442" max="8689" width="11.42578125" style="50"/>
    <col min="8690" max="8690" width="4.5703125" style="50" customWidth="1"/>
    <col min="8691" max="8691" width="7" style="50" customWidth="1"/>
    <col min="8692" max="8692" width="23.42578125" style="50" customWidth="1"/>
    <col min="8693" max="8693" width="4.7109375" style="50" customWidth="1"/>
    <col min="8694" max="8694" width="8.28515625" style="50" customWidth="1"/>
    <col min="8695" max="8695" width="2.28515625" style="50" customWidth="1"/>
    <col min="8696" max="8696" width="11.42578125" style="50"/>
    <col min="8697" max="8697" width="2.28515625" style="50" customWidth="1"/>
    <col min="8698" max="8945" width="11.42578125" style="50"/>
    <col min="8946" max="8946" width="4.5703125" style="50" customWidth="1"/>
    <col min="8947" max="8947" width="7" style="50" customWidth="1"/>
    <col min="8948" max="8948" width="23.42578125" style="50" customWidth="1"/>
    <col min="8949" max="8949" width="4.7109375" style="50" customWidth="1"/>
    <col min="8950" max="8950" width="8.28515625" style="50" customWidth="1"/>
    <col min="8951" max="8951" width="2.28515625" style="50" customWidth="1"/>
    <col min="8952" max="8952" width="11.42578125" style="50"/>
    <col min="8953" max="8953" width="2.28515625" style="50" customWidth="1"/>
    <col min="8954" max="9201" width="11.42578125" style="50"/>
    <col min="9202" max="9202" width="4.5703125" style="50" customWidth="1"/>
    <col min="9203" max="9203" width="7" style="50" customWidth="1"/>
    <col min="9204" max="9204" width="23.42578125" style="50" customWidth="1"/>
    <col min="9205" max="9205" width="4.7109375" style="50" customWidth="1"/>
    <col min="9206" max="9206" width="8.28515625" style="50" customWidth="1"/>
    <col min="9207" max="9207" width="2.28515625" style="50" customWidth="1"/>
    <col min="9208" max="9208" width="11.42578125" style="50"/>
    <col min="9209" max="9209" width="2.28515625" style="50" customWidth="1"/>
    <col min="9210" max="9457" width="11.42578125" style="50"/>
    <col min="9458" max="9458" width="4.5703125" style="50" customWidth="1"/>
    <col min="9459" max="9459" width="7" style="50" customWidth="1"/>
    <col min="9460" max="9460" width="23.42578125" style="50" customWidth="1"/>
    <col min="9461" max="9461" width="4.7109375" style="50" customWidth="1"/>
    <col min="9462" max="9462" width="8.28515625" style="50" customWidth="1"/>
    <col min="9463" max="9463" width="2.28515625" style="50" customWidth="1"/>
    <col min="9464" max="9464" width="11.42578125" style="50"/>
    <col min="9465" max="9465" width="2.28515625" style="50" customWidth="1"/>
    <col min="9466" max="9713" width="11.42578125" style="50"/>
    <col min="9714" max="9714" width="4.5703125" style="50" customWidth="1"/>
    <col min="9715" max="9715" width="7" style="50" customWidth="1"/>
    <col min="9716" max="9716" width="23.42578125" style="50" customWidth="1"/>
    <col min="9717" max="9717" width="4.7109375" style="50" customWidth="1"/>
    <col min="9718" max="9718" width="8.28515625" style="50" customWidth="1"/>
    <col min="9719" max="9719" width="2.28515625" style="50" customWidth="1"/>
    <col min="9720" max="9720" width="11.42578125" style="50"/>
    <col min="9721" max="9721" width="2.28515625" style="50" customWidth="1"/>
    <col min="9722" max="9969" width="11.42578125" style="50"/>
    <col min="9970" max="9970" width="4.5703125" style="50" customWidth="1"/>
    <col min="9971" max="9971" width="7" style="50" customWidth="1"/>
    <col min="9972" max="9972" width="23.42578125" style="50" customWidth="1"/>
    <col min="9973" max="9973" width="4.7109375" style="50" customWidth="1"/>
    <col min="9974" max="9974" width="8.28515625" style="50" customWidth="1"/>
    <col min="9975" max="9975" width="2.28515625" style="50" customWidth="1"/>
    <col min="9976" max="9976" width="11.42578125" style="50"/>
    <col min="9977" max="9977" width="2.28515625" style="50" customWidth="1"/>
    <col min="9978" max="10225" width="11.42578125" style="50"/>
    <col min="10226" max="10226" width="4.5703125" style="50" customWidth="1"/>
    <col min="10227" max="10227" width="7" style="50" customWidth="1"/>
    <col min="10228" max="10228" width="23.42578125" style="50" customWidth="1"/>
    <col min="10229" max="10229" width="4.7109375" style="50" customWidth="1"/>
    <col min="10230" max="10230" width="8.28515625" style="50" customWidth="1"/>
    <col min="10231" max="10231" width="2.28515625" style="50" customWidth="1"/>
    <col min="10232" max="10232" width="11.42578125" style="50"/>
    <col min="10233" max="10233" width="2.28515625" style="50" customWidth="1"/>
    <col min="10234" max="10481" width="11.42578125" style="50"/>
    <col min="10482" max="10482" width="4.5703125" style="50" customWidth="1"/>
    <col min="10483" max="10483" width="7" style="50" customWidth="1"/>
    <col min="10484" max="10484" width="23.42578125" style="50" customWidth="1"/>
    <col min="10485" max="10485" width="4.7109375" style="50" customWidth="1"/>
    <col min="10486" max="10486" width="8.28515625" style="50" customWidth="1"/>
    <col min="10487" max="10487" width="2.28515625" style="50" customWidth="1"/>
    <col min="10488" max="10488" width="11.42578125" style="50"/>
    <col min="10489" max="10489" width="2.28515625" style="50" customWidth="1"/>
    <col min="10490" max="10737" width="11.42578125" style="50"/>
    <col min="10738" max="10738" width="4.5703125" style="50" customWidth="1"/>
    <col min="10739" max="10739" width="7" style="50" customWidth="1"/>
    <col min="10740" max="10740" width="23.42578125" style="50" customWidth="1"/>
    <col min="10741" max="10741" width="4.7109375" style="50" customWidth="1"/>
    <col min="10742" max="10742" width="8.28515625" style="50" customWidth="1"/>
    <col min="10743" max="10743" width="2.28515625" style="50" customWidth="1"/>
    <col min="10744" max="10744" width="11.42578125" style="50"/>
    <col min="10745" max="10745" width="2.28515625" style="50" customWidth="1"/>
    <col min="10746" max="10993" width="11.42578125" style="50"/>
    <col min="10994" max="10994" width="4.5703125" style="50" customWidth="1"/>
    <col min="10995" max="10995" width="7" style="50" customWidth="1"/>
    <col min="10996" max="10996" width="23.42578125" style="50" customWidth="1"/>
    <col min="10997" max="10997" width="4.7109375" style="50" customWidth="1"/>
    <col min="10998" max="10998" width="8.28515625" style="50" customWidth="1"/>
    <col min="10999" max="10999" width="2.28515625" style="50" customWidth="1"/>
    <col min="11000" max="11000" width="11.42578125" style="50"/>
    <col min="11001" max="11001" width="2.28515625" style="50" customWidth="1"/>
    <col min="11002" max="11249" width="11.42578125" style="50"/>
    <col min="11250" max="11250" width="4.5703125" style="50" customWidth="1"/>
    <col min="11251" max="11251" width="7" style="50" customWidth="1"/>
    <col min="11252" max="11252" width="23.42578125" style="50" customWidth="1"/>
    <col min="11253" max="11253" width="4.7109375" style="50" customWidth="1"/>
    <col min="11254" max="11254" width="8.28515625" style="50" customWidth="1"/>
    <col min="11255" max="11255" width="2.28515625" style="50" customWidth="1"/>
    <col min="11256" max="11256" width="11.42578125" style="50"/>
    <col min="11257" max="11257" width="2.28515625" style="50" customWidth="1"/>
    <col min="11258" max="11505" width="11.42578125" style="50"/>
    <col min="11506" max="11506" width="4.5703125" style="50" customWidth="1"/>
    <col min="11507" max="11507" width="7" style="50" customWidth="1"/>
    <col min="11508" max="11508" width="23.42578125" style="50" customWidth="1"/>
    <col min="11509" max="11509" width="4.7109375" style="50" customWidth="1"/>
    <col min="11510" max="11510" width="8.28515625" style="50" customWidth="1"/>
    <col min="11511" max="11511" width="2.28515625" style="50" customWidth="1"/>
    <col min="11512" max="11512" width="11.42578125" style="50"/>
    <col min="11513" max="11513" width="2.28515625" style="50" customWidth="1"/>
    <col min="11514" max="11761" width="11.42578125" style="50"/>
    <col min="11762" max="11762" width="4.5703125" style="50" customWidth="1"/>
    <col min="11763" max="11763" width="7" style="50" customWidth="1"/>
    <col min="11764" max="11764" width="23.42578125" style="50" customWidth="1"/>
    <col min="11765" max="11765" width="4.7109375" style="50" customWidth="1"/>
    <col min="11766" max="11766" width="8.28515625" style="50" customWidth="1"/>
    <col min="11767" max="11767" width="2.28515625" style="50" customWidth="1"/>
    <col min="11768" max="11768" width="11.42578125" style="50"/>
    <col min="11769" max="11769" width="2.28515625" style="50" customWidth="1"/>
    <col min="11770" max="12017" width="11.42578125" style="50"/>
    <col min="12018" max="12018" width="4.5703125" style="50" customWidth="1"/>
    <col min="12019" max="12019" width="7" style="50" customWidth="1"/>
    <col min="12020" max="12020" width="23.42578125" style="50" customWidth="1"/>
    <col min="12021" max="12021" width="4.7109375" style="50" customWidth="1"/>
    <col min="12022" max="12022" width="8.28515625" style="50" customWidth="1"/>
    <col min="12023" max="12023" width="2.28515625" style="50" customWidth="1"/>
    <col min="12024" max="12024" width="11.42578125" style="50"/>
    <col min="12025" max="12025" width="2.28515625" style="50" customWidth="1"/>
    <col min="12026" max="12273" width="11.42578125" style="50"/>
    <col min="12274" max="12274" width="4.5703125" style="50" customWidth="1"/>
    <col min="12275" max="12275" width="7" style="50" customWidth="1"/>
    <col min="12276" max="12276" width="23.42578125" style="50" customWidth="1"/>
    <col min="12277" max="12277" width="4.7109375" style="50" customWidth="1"/>
    <col min="12278" max="12278" width="8.28515625" style="50" customWidth="1"/>
    <col min="12279" max="12279" width="2.28515625" style="50" customWidth="1"/>
    <col min="12280" max="12280" width="11.42578125" style="50"/>
    <col min="12281" max="12281" width="2.28515625" style="50" customWidth="1"/>
    <col min="12282" max="12529" width="11.42578125" style="50"/>
    <col min="12530" max="12530" width="4.5703125" style="50" customWidth="1"/>
    <col min="12531" max="12531" width="7" style="50" customWidth="1"/>
    <col min="12532" max="12532" width="23.42578125" style="50" customWidth="1"/>
    <col min="12533" max="12533" width="4.7109375" style="50" customWidth="1"/>
    <col min="12534" max="12534" width="8.28515625" style="50" customWidth="1"/>
    <col min="12535" max="12535" width="2.28515625" style="50" customWidth="1"/>
    <col min="12536" max="12536" width="11.42578125" style="50"/>
    <col min="12537" max="12537" width="2.28515625" style="50" customWidth="1"/>
    <col min="12538" max="12785" width="11.42578125" style="50"/>
    <col min="12786" max="12786" width="4.5703125" style="50" customWidth="1"/>
    <col min="12787" max="12787" width="7" style="50" customWidth="1"/>
    <col min="12788" max="12788" width="23.42578125" style="50" customWidth="1"/>
    <col min="12789" max="12789" width="4.7109375" style="50" customWidth="1"/>
    <col min="12790" max="12790" width="8.28515625" style="50" customWidth="1"/>
    <col min="12791" max="12791" width="2.28515625" style="50" customWidth="1"/>
    <col min="12792" max="12792" width="11.42578125" style="50"/>
    <col min="12793" max="12793" width="2.28515625" style="50" customWidth="1"/>
    <col min="12794" max="13041" width="11.42578125" style="50"/>
    <col min="13042" max="13042" width="4.5703125" style="50" customWidth="1"/>
    <col min="13043" max="13043" width="7" style="50" customWidth="1"/>
    <col min="13044" max="13044" width="23.42578125" style="50" customWidth="1"/>
    <col min="13045" max="13045" width="4.7109375" style="50" customWidth="1"/>
    <col min="13046" max="13046" width="8.28515625" style="50" customWidth="1"/>
    <col min="13047" max="13047" width="2.28515625" style="50" customWidth="1"/>
    <col min="13048" max="13048" width="11.42578125" style="50"/>
    <col min="13049" max="13049" width="2.28515625" style="50" customWidth="1"/>
    <col min="13050" max="13297" width="11.42578125" style="50"/>
    <col min="13298" max="13298" width="4.5703125" style="50" customWidth="1"/>
    <col min="13299" max="13299" width="7" style="50" customWidth="1"/>
    <col min="13300" max="13300" width="23.42578125" style="50" customWidth="1"/>
    <col min="13301" max="13301" width="4.7109375" style="50" customWidth="1"/>
    <col min="13302" max="13302" width="8.28515625" style="50" customWidth="1"/>
    <col min="13303" max="13303" width="2.28515625" style="50" customWidth="1"/>
    <col min="13304" max="13304" width="11.42578125" style="50"/>
    <col min="13305" max="13305" width="2.28515625" style="50" customWidth="1"/>
    <col min="13306" max="13553" width="11.42578125" style="50"/>
    <col min="13554" max="13554" width="4.5703125" style="50" customWidth="1"/>
    <col min="13555" max="13555" width="7" style="50" customWidth="1"/>
    <col min="13556" max="13556" width="23.42578125" style="50" customWidth="1"/>
    <col min="13557" max="13557" width="4.7109375" style="50" customWidth="1"/>
    <col min="13558" max="13558" width="8.28515625" style="50" customWidth="1"/>
    <col min="13559" max="13559" width="2.28515625" style="50" customWidth="1"/>
    <col min="13560" max="13560" width="11.42578125" style="50"/>
    <col min="13561" max="13561" width="2.28515625" style="50" customWidth="1"/>
    <col min="13562" max="13809" width="11.42578125" style="50"/>
    <col min="13810" max="13810" width="4.5703125" style="50" customWidth="1"/>
    <col min="13811" max="13811" width="7" style="50" customWidth="1"/>
    <col min="13812" max="13812" width="23.42578125" style="50" customWidth="1"/>
    <col min="13813" max="13813" width="4.7109375" style="50" customWidth="1"/>
    <col min="13814" max="13814" width="8.28515625" style="50" customWidth="1"/>
    <col min="13815" max="13815" width="2.28515625" style="50" customWidth="1"/>
    <col min="13816" max="13816" width="11.42578125" style="50"/>
    <col min="13817" max="13817" width="2.28515625" style="50" customWidth="1"/>
    <col min="13818" max="14065" width="11.42578125" style="50"/>
    <col min="14066" max="14066" width="4.5703125" style="50" customWidth="1"/>
    <col min="14067" max="14067" width="7" style="50" customWidth="1"/>
    <col min="14068" max="14068" width="23.42578125" style="50" customWidth="1"/>
    <col min="14069" max="14069" width="4.7109375" style="50" customWidth="1"/>
    <col min="14070" max="14070" width="8.28515625" style="50" customWidth="1"/>
    <col min="14071" max="14071" width="2.28515625" style="50" customWidth="1"/>
    <col min="14072" max="14072" width="11.42578125" style="50"/>
    <col min="14073" max="14073" width="2.28515625" style="50" customWidth="1"/>
    <col min="14074" max="14321" width="11.42578125" style="50"/>
    <col min="14322" max="14322" width="4.5703125" style="50" customWidth="1"/>
    <col min="14323" max="14323" width="7" style="50" customWidth="1"/>
    <col min="14324" max="14324" width="23.42578125" style="50" customWidth="1"/>
    <col min="14325" max="14325" width="4.7109375" style="50" customWidth="1"/>
    <col min="14326" max="14326" width="8.28515625" style="50" customWidth="1"/>
    <col min="14327" max="14327" width="2.28515625" style="50" customWidth="1"/>
    <col min="14328" max="14328" width="11.42578125" style="50"/>
    <col min="14329" max="14329" width="2.28515625" style="50" customWidth="1"/>
    <col min="14330" max="14577" width="11.42578125" style="50"/>
    <col min="14578" max="14578" width="4.5703125" style="50" customWidth="1"/>
    <col min="14579" max="14579" width="7" style="50" customWidth="1"/>
    <col min="14580" max="14580" width="23.42578125" style="50" customWidth="1"/>
    <col min="14581" max="14581" width="4.7109375" style="50" customWidth="1"/>
    <col min="14582" max="14582" width="8.28515625" style="50" customWidth="1"/>
    <col min="14583" max="14583" width="2.28515625" style="50" customWidth="1"/>
    <col min="14584" max="14584" width="11.42578125" style="50"/>
    <col min="14585" max="14585" width="2.28515625" style="50" customWidth="1"/>
    <col min="14586" max="14833" width="11.42578125" style="50"/>
    <col min="14834" max="14834" width="4.5703125" style="50" customWidth="1"/>
    <col min="14835" max="14835" width="7" style="50" customWidth="1"/>
    <col min="14836" max="14836" width="23.42578125" style="50" customWidth="1"/>
    <col min="14837" max="14837" width="4.7109375" style="50" customWidth="1"/>
    <col min="14838" max="14838" width="8.28515625" style="50" customWidth="1"/>
    <col min="14839" max="14839" width="2.28515625" style="50" customWidth="1"/>
    <col min="14840" max="14840" width="11.42578125" style="50"/>
    <col min="14841" max="14841" width="2.28515625" style="50" customWidth="1"/>
    <col min="14842" max="15089" width="11.42578125" style="50"/>
    <col min="15090" max="15090" width="4.5703125" style="50" customWidth="1"/>
    <col min="15091" max="15091" width="7" style="50" customWidth="1"/>
    <col min="15092" max="15092" width="23.42578125" style="50" customWidth="1"/>
    <col min="15093" max="15093" width="4.7109375" style="50" customWidth="1"/>
    <col min="15094" max="15094" width="8.28515625" style="50" customWidth="1"/>
    <col min="15095" max="15095" width="2.28515625" style="50" customWidth="1"/>
    <col min="15096" max="15096" width="11.42578125" style="50"/>
    <col min="15097" max="15097" width="2.28515625" style="50" customWidth="1"/>
    <col min="15098" max="15345" width="11.42578125" style="50"/>
    <col min="15346" max="15346" width="4.5703125" style="50" customWidth="1"/>
    <col min="15347" max="15347" width="7" style="50" customWidth="1"/>
    <col min="15348" max="15348" width="23.42578125" style="50" customWidth="1"/>
    <col min="15349" max="15349" width="4.7109375" style="50" customWidth="1"/>
    <col min="15350" max="15350" width="8.28515625" style="50" customWidth="1"/>
    <col min="15351" max="15351" width="2.28515625" style="50" customWidth="1"/>
    <col min="15352" max="15352" width="11.42578125" style="50"/>
    <col min="15353" max="15353" width="2.28515625" style="50" customWidth="1"/>
    <col min="15354" max="15601" width="11.42578125" style="50"/>
    <col min="15602" max="15602" width="4.5703125" style="50" customWidth="1"/>
    <col min="15603" max="15603" width="7" style="50" customWidth="1"/>
    <col min="15604" max="15604" width="23.42578125" style="50" customWidth="1"/>
    <col min="15605" max="15605" width="4.7109375" style="50" customWidth="1"/>
    <col min="15606" max="15606" width="8.28515625" style="50" customWidth="1"/>
    <col min="15607" max="15607" width="2.28515625" style="50" customWidth="1"/>
    <col min="15608" max="15608" width="11.42578125" style="50"/>
    <col min="15609" max="15609" width="2.28515625" style="50" customWidth="1"/>
    <col min="15610" max="15857" width="11.42578125" style="50"/>
    <col min="15858" max="15858" width="4.5703125" style="50" customWidth="1"/>
    <col min="15859" max="15859" width="7" style="50" customWidth="1"/>
    <col min="15860" max="15860" width="23.42578125" style="50" customWidth="1"/>
    <col min="15861" max="15861" width="4.7109375" style="50" customWidth="1"/>
    <col min="15862" max="15862" width="8.28515625" style="50" customWidth="1"/>
    <col min="15863" max="15863" width="2.28515625" style="50" customWidth="1"/>
    <col min="15864" max="15864" width="11.42578125" style="50"/>
    <col min="15865" max="15865" width="2.28515625" style="50" customWidth="1"/>
    <col min="15866" max="16113" width="11.42578125" style="50"/>
    <col min="16114" max="16114" width="4.5703125" style="50" customWidth="1"/>
    <col min="16115" max="16115" width="7" style="50" customWidth="1"/>
    <col min="16116" max="16116" width="23.42578125" style="50" customWidth="1"/>
    <col min="16117" max="16117" width="4.7109375" style="50" customWidth="1"/>
    <col min="16118" max="16118" width="8.28515625" style="50" customWidth="1"/>
    <col min="16119" max="16119" width="2.28515625" style="50" customWidth="1"/>
    <col min="16120" max="16120" width="11.42578125" style="50"/>
    <col min="16121" max="16121" width="2.28515625" style="50" customWidth="1"/>
    <col min="16122" max="16384" width="11.42578125" style="50"/>
  </cols>
  <sheetData>
    <row r="1" spans="1:7" x14ac:dyDescent="0.25">
      <c r="A1" s="54" t="s">
        <v>410</v>
      </c>
      <c r="B1" s="54"/>
      <c r="C1" s="54"/>
    </row>
    <row r="3" spans="1:7" s="49" customFormat="1" ht="15" x14ac:dyDescent="0.25">
      <c r="B3" s="38" t="s">
        <v>241</v>
      </c>
      <c r="C3" s="37"/>
      <c r="D3" s="90" t="s">
        <v>32</v>
      </c>
    </row>
    <row r="4" spans="1:7" s="49" customFormat="1" ht="15" x14ac:dyDescent="0.25">
      <c r="B4" s="37"/>
      <c r="C4" s="37"/>
      <c r="D4" s="87"/>
    </row>
    <row r="5" spans="1:7" s="49" customFormat="1" ht="15" x14ac:dyDescent="0.25">
      <c r="B5" s="37" t="s">
        <v>231</v>
      </c>
      <c r="C5" s="37"/>
      <c r="D5" s="40">
        <v>29040</v>
      </c>
    </row>
    <row r="6" spans="1:7" s="31" customFormat="1" ht="20.25" x14ac:dyDescent="0.3">
      <c r="A6" s="49"/>
      <c r="B6" s="37" t="s">
        <v>232</v>
      </c>
      <c r="C6" s="37"/>
      <c r="D6" s="42">
        <f>SUM(D5:D5)</f>
        <v>29040</v>
      </c>
      <c r="E6" s="49"/>
      <c r="F6" s="49"/>
      <c r="G6" s="49"/>
    </row>
    <row r="7" spans="1:7" s="49" customFormat="1" ht="15" x14ac:dyDescent="0.25">
      <c r="B7" s="37"/>
      <c r="C7" s="37"/>
      <c r="D7" s="39"/>
    </row>
    <row r="8" spans="1:7" s="49" customFormat="1" ht="15" x14ac:dyDescent="0.25">
      <c r="B8" s="37" t="s">
        <v>345</v>
      </c>
      <c r="C8" s="37"/>
      <c r="D8" s="40">
        <v>120</v>
      </c>
    </row>
    <row r="9" spans="1:7" s="49" customFormat="1" ht="15" x14ac:dyDescent="0.25">
      <c r="B9" s="37" t="s">
        <v>346</v>
      </c>
      <c r="C9" s="37"/>
      <c r="D9" s="129">
        <v>9600</v>
      </c>
    </row>
    <row r="10" spans="1:7" s="49" customFormat="1" ht="15" x14ac:dyDescent="0.25">
      <c r="B10" s="37" t="s">
        <v>347</v>
      </c>
      <c r="C10" s="37"/>
      <c r="D10" s="129">
        <v>9400</v>
      </c>
    </row>
    <row r="11" spans="1:7" s="49" customFormat="1" ht="15" x14ac:dyDescent="0.25">
      <c r="B11" s="37" t="s">
        <v>233</v>
      </c>
      <c r="C11" s="37"/>
      <c r="D11" s="129">
        <v>900</v>
      </c>
    </row>
    <row r="12" spans="1:7" x14ac:dyDescent="0.25">
      <c r="B12" s="51" t="s">
        <v>348</v>
      </c>
      <c r="C12" s="51"/>
      <c r="D12" s="149">
        <v>200</v>
      </c>
    </row>
    <row r="13" spans="1:7" x14ac:dyDescent="0.25">
      <c r="B13" s="51" t="s">
        <v>234</v>
      </c>
      <c r="C13" s="51"/>
      <c r="D13" s="150">
        <v>6050</v>
      </c>
    </row>
    <row r="14" spans="1:7" s="31" customFormat="1" ht="20.25" x14ac:dyDescent="0.3">
      <c r="A14" s="49"/>
      <c r="B14" s="37" t="s">
        <v>235</v>
      </c>
      <c r="C14" s="37"/>
      <c r="D14" s="64">
        <f>SUM(D8:D13)</f>
        <v>26270</v>
      </c>
      <c r="E14" s="49"/>
      <c r="F14" s="49"/>
      <c r="G14" s="49"/>
    </row>
    <row r="15" spans="1:7" s="31" customFormat="1" ht="20.25" x14ac:dyDescent="0.3">
      <c r="A15" s="49"/>
      <c r="B15" s="38" t="s">
        <v>236</v>
      </c>
      <c r="C15" s="37"/>
      <c r="D15" s="42">
        <f>D6-D14</f>
        <v>2770</v>
      </c>
      <c r="E15" s="49"/>
      <c r="F15" s="49"/>
      <c r="G15" s="49"/>
    </row>
    <row r="16" spans="1:7" s="88" customFormat="1" ht="11.25" x14ac:dyDescent="0.2">
      <c r="B16" s="44"/>
      <c r="C16" s="44"/>
      <c r="D16" s="45"/>
    </row>
    <row r="17" spans="1:7" s="37" customFormat="1" ht="15" x14ac:dyDescent="0.25">
      <c r="D17" s="39"/>
    </row>
    <row r="18" spans="1:7" s="49" customFormat="1" ht="15" x14ac:dyDescent="0.25">
      <c r="B18" s="37" t="s">
        <v>266</v>
      </c>
      <c r="C18" s="37"/>
      <c r="D18" s="40">
        <v>20</v>
      </c>
    </row>
    <row r="19" spans="1:7" s="49" customFormat="1" ht="15" x14ac:dyDescent="0.25">
      <c r="B19" s="37" t="s">
        <v>244</v>
      </c>
      <c r="C19" s="37"/>
      <c r="D19" s="128">
        <v>300</v>
      </c>
    </row>
    <row r="20" spans="1:7" s="31" customFormat="1" ht="20.25" x14ac:dyDescent="0.3">
      <c r="A20" s="49"/>
      <c r="B20" s="49" t="s">
        <v>237</v>
      </c>
      <c r="C20" s="49"/>
      <c r="D20" s="42">
        <f>D18-D19</f>
        <v>-280</v>
      </c>
      <c r="E20" s="49"/>
      <c r="F20" s="49"/>
      <c r="G20" s="49"/>
    </row>
    <row r="21" spans="1:7" s="89" customFormat="1" ht="8.25" x14ac:dyDescent="0.15">
      <c r="B21" s="34"/>
      <c r="C21" s="34"/>
      <c r="D21" s="35"/>
    </row>
    <row r="22" spans="1:7" s="49" customFormat="1" ht="15" x14ac:dyDescent="0.25">
      <c r="B22" s="38" t="s">
        <v>238</v>
      </c>
      <c r="C22" s="37"/>
      <c r="D22" s="40">
        <f>D15+D20</f>
        <v>2490</v>
      </c>
    </row>
    <row r="23" spans="1:7" s="89" customFormat="1" ht="8.25" x14ac:dyDescent="0.15">
      <c r="B23" s="47"/>
      <c r="C23" s="34"/>
      <c r="D23" s="35"/>
    </row>
    <row r="24" spans="1:7" s="49" customFormat="1" ht="15" x14ac:dyDescent="0.25">
      <c r="B24" s="37" t="s">
        <v>239</v>
      </c>
      <c r="C24" s="37"/>
      <c r="D24" s="40">
        <v>940</v>
      </c>
    </row>
    <row r="25" spans="1:7" s="89" customFormat="1" ht="8.25" x14ac:dyDescent="0.15">
      <c r="B25" s="34"/>
      <c r="C25" s="34"/>
      <c r="D25" s="35"/>
    </row>
    <row r="26" spans="1:7" s="89" customFormat="1" ht="8.25" x14ac:dyDescent="0.15">
      <c r="B26" s="34"/>
      <c r="C26" s="34"/>
      <c r="D26" s="35"/>
    </row>
    <row r="27" spans="1:7" s="49" customFormat="1" ht="15" x14ac:dyDescent="0.25">
      <c r="B27" s="38" t="s">
        <v>240</v>
      </c>
      <c r="C27" s="37"/>
      <c r="D27" s="64">
        <f>D22-D24</f>
        <v>1550</v>
      </c>
    </row>
    <row r="28" spans="1:7" s="49" customFormat="1" ht="15" x14ac:dyDescent="0.25">
      <c r="B28" s="37"/>
      <c r="C28" s="37"/>
      <c r="D28" s="39"/>
    </row>
    <row r="29" spans="1:7" s="49" customFormat="1" ht="15" x14ac:dyDescent="0.25">
      <c r="B29" s="41" t="s">
        <v>295</v>
      </c>
      <c r="C29" s="37"/>
      <c r="D29" s="39"/>
    </row>
    <row r="30" spans="1:7" s="49" customFormat="1" ht="15" x14ac:dyDescent="0.25">
      <c r="B30" s="41" t="s">
        <v>296</v>
      </c>
      <c r="C30" s="37"/>
      <c r="D30" s="39"/>
    </row>
    <row r="31" spans="1:7" s="49" customFormat="1" ht="15" x14ac:dyDescent="0.25">
      <c r="B31" s="37" t="s">
        <v>297</v>
      </c>
      <c r="C31" s="37"/>
      <c r="D31" s="40">
        <v>1000</v>
      </c>
    </row>
    <row r="32" spans="1:7" s="49" customFormat="1" ht="15" x14ac:dyDescent="0.25">
      <c r="B32" s="37" t="s">
        <v>298</v>
      </c>
      <c r="C32" s="37"/>
      <c r="D32" s="128">
        <f>D27-D31</f>
        <v>550</v>
      </c>
    </row>
    <row r="33" spans="1:7" s="31" customFormat="1" ht="20.25" x14ac:dyDescent="0.3">
      <c r="A33" s="49"/>
      <c r="B33" s="37" t="s">
        <v>24</v>
      </c>
      <c r="C33" s="37"/>
      <c r="D33" s="42">
        <f>SUM(D31:D32)</f>
        <v>1550</v>
      </c>
      <c r="E33" s="49"/>
      <c r="F33" s="49"/>
      <c r="G33" s="49"/>
    </row>
    <row r="34" spans="1:7" s="49" customFormat="1" ht="15" x14ac:dyDescent="0.25">
      <c r="D34" s="72"/>
    </row>
    <row r="35" spans="1:7" s="49" customFormat="1" ht="15" x14ac:dyDescent="0.25">
      <c r="B35" s="38" t="s">
        <v>91</v>
      </c>
      <c r="C35" s="38"/>
      <c r="D35" s="90" t="s">
        <v>32</v>
      </c>
      <c r="E35" s="90"/>
      <c r="F35" s="90" t="s">
        <v>33</v>
      </c>
    </row>
    <row r="36" spans="1:7" s="49" customFormat="1" ht="15" x14ac:dyDescent="0.25">
      <c r="B36" s="38" t="s">
        <v>47</v>
      </c>
      <c r="C36" s="37"/>
      <c r="D36" s="39"/>
      <c r="E36" s="39"/>
      <c r="F36" s="39"/>
    </row>
    <row r="37" spans="1:7" s="49" customFormat="1" ht="15" x14ac:dyDescent="0.25">
      <c r="B37" s="38" t="s">
        <v>16</v>
      </c>
      <c r="C37" s="37"/>
      <c r="D37" s="39"/>
      <c r="E37" s="39"/>
      <c r="F37" s="39"/>
      <c r="G37" s="37"/>
    </row>
    <row r="38" spans="1:7" s="49" customFormat="1" ht="15" x14ac:dyDescent="0.25">
      <c r="B38" s="37" t="s">
        <v>349</v>
      </c>
      <c r="C38" s="37"/>
      <c r="D38" s="40">
        <v>7500</v>
      </c>
      <c r="E38" s="39"/>
      <c r="F38" s="40">
        <v>7700</v>
      </c>
    </row>
    <row r="39" spans="1:7" s="49" customFormat="1" ht="15" x14ac:dyDescent="0.25">
      <c r="B39" s="37" t="s">
        <v>350</v>
      </c>
      <c r="C39" s="37"/>
      <c r="D39" s="129">
        <v>3950</v>
      </c>
      <c r="E39" s="39"/>
      <c r="F39" s="129">
        <v>4100</v>
      </c>
    </row>
    <row r="40" spans="1:7" s="49" customFormat="1" ht="15" x14ac:dyDescent="0.25">
      <c r="B40" s="37" t="s">
        <v>92</v>
      </c>
      <c r="C40" s="37"/>
      <c r="D40" s="129">
        <v>600</v>
      </c>
      <c r="E40" s="39"/>
      <c r="F40" s="129">
        <v>480</v>
      </c>
    </row>
    <row r="41" spans="1:7" ht="20.25" x14ac:dyDescent="0.3">
      <c r="B41" s="41" t="s">
        <v>5</v>
      </c>
      <c r="C41" s="32"/>
      <c r="D41" s="42">
        <f>SUM(D38:D40)</f>
        <v>12050</v>
      </c>
      <c r="E41" s="39"/>
      <c r="F41" s="42">
        <f>SUM(F38:F40)</f>
        <v>12280</v>
      </c>
    </row>
    <row r="42" spans="1:7" x14ac:dyDescent="0.25">
      <c r="B42" s="44"/>
      <c r="C42" s="44"/>
      <c r="D42" s="45"/>
      <c r="E42" s="45"/>
      <c r="F42" s="45"/>
    </row>
    <row r="43" spans="1:7" x14ac:dyDescent="0.25">
      <c r="B43" s="38" t="s">
        <v>17</v>
      </c>
      <c r="C43" s="37"/>
      <c r="D43" s="39"/>
      <c r="E43" s="39"/>
      <c r="F43" s="39"/>
    </row>
    <row r="44" spans="1:7" x14ac:dyDescent="0.25">
      <c r="B44" s="37" t="s">
        <v>63</v>
      </c>
      <c r="C44" s="37"/>
      <c r="D44" s="39">
        <v>1800</v>
      </c>
      <c r="E44" s="39"/>
      <c r="F44" s="39">
        <v>2000</v>
      </c>
    </row>
    <row r="45" spans="1:7" x14ac:dyDescent="0.25">
      <c r="B45" s="37" t="s">
        <v>3</v>
      </c>
      <c r="C45" s="37"/>
      <c r="D45" s="129">
        <v>2480</v>
      </c>
      <c r="E45" s="39"/>
      <c r="F45" s="129">
        <v>2520</v>
      </c>
    </row>
    <row r="46" spans="1:7" x14ac:dyDescent="0.25">
      <c r="B46" s="37" t="s">
        <v>4</v>
      </c>
      <c r="C46" s="37"/>
      <c r="D46" s="39">
        <v>1090</v>
      </c>
      <c r="E46" s="39"/>
      <c r="F46" s="39">
        <v>1020</v>
      </c>
    </row>
    <row r="47" spans="1:7" s="31" customFormat="1" ht="20.25" x14ac:dyDescent="0.3">
      <c r="A47" s="49"/>
      <c r="B47" s="41" t="s">
        <v>23</v>
      </c>
      <c r="C47" s="37"/>
      <c r="D47" s="42">
        <f>SUM(D44:D46)</f>
        <v>5370</v>
      </c>
      <c r="E47" s="39"/>
      <c r="F47" s="42">
        <f>SUM(F44:F46)</f>
        <v>5540</v>
      </c>
      <c r="G47" s="49"/>
    </row>
    <row r="48" spans="1:7" x14ac:dyDescent="0.25">
      <c r="B48" s="47"/>
      <c r="C48" s="34"/>
      <c r="D48" s="48"/>
      <c r="E48" s="35"/>
      <c r="F48" s="48"/>
    </row>
    <row r="49" spans="2:7" ht="16.5" thickBot="1" x14ac:dyDescent="0.3">
      <c r="B49" s="41" t="s">
        <v>49</v>
      </c>
      <c r="C49" s="37"/>
      <c r="D49" s="71">
        <f>D41+D47</f>
        <v>17420</v>
      </c>
      <c r="E49" s="39"/>
      <c r="F49" s="71">
        <f>F41+F47</f>
        <v>17820</v>
      </c>
    </row>
    <row r="50" spans="2:7" x14ac:dyDescent="0.25">
      <c r="B50" s="37"/>
      <c r="C50" s="37"/>
      <c r="D50" s="39"/>
      <c r="E50" s="39"/>
      <c r="F50" s="39"/>
    </row>
    <row r="51" spans="2:7" x14ac:dyDescent="0.25">
      <c r="B51" s="38" t="s">
        <v>50</v>
      </c>
      <c r="C51" s="37"/>
      <c r="D51" s="39"/>
      <c r="E51" s="39"/>
      <c r="F51" s="39"/>
    </row>
    <row r="52" spans="2:7" x14ac:dyDescent="0.25">
      <c r="B52" s="38" t="s">
        <v>8</v>
      </c>
      <c r="C52" s="37"/>
      <c r="D52" s="39"/>
      <c r="E52" s="39"/>
      <c r="F52" s="39"/>
    </row>
    <row r="53" spans="2:7" x14ac:dyDescent="0.25">
      <c r="B53" s="37" t="s">
        <v>34</v>
      </c>
      <c r="C53" s="37"/>
      <c r="D53" s="40">
        <v>3000</v>
      </c>
      <c r="E53" s="39"/>
      <c r="F53" s="40">
        <v>3000</v>
      </c>
    </row>
    <row r="54" spans="2:7" x14ac:dyDescent="0.25">
      <c r="B54" s="37" t="s">
        <v>35</v>
      </c>
      <c r="C54" s="37"/>
      <c r="D54" s="128">
        <f>F54+D32</f>
        <v>2790</v>
      </c>
      <c r="E54" s="39"/>
      <c r="F54" s="128">
        <v>2240</v>
      </c>
    </row>
    <row r="55" spans="2:7" s="132" customFormat="1" ht="23.25" x14ac:dyDescent="0.35">
      <c r="B55" s="41" t="s">
        <v>51</v>
      </c>
      <c r="C55" s="37"/>
      <c r="D55" s="42">
        <f>SUM(D53:D54)</f>
        <v>5790</v>
      </c>
      <c r="E55" s="39"/>
      <c r="F55" s="42">
        <f>SUM(F53:F54)</f>
        <v>5240</v>
      </c>
      <c r="G55" s="49"/>
    </row>
    <row r="56" spans="2:7" x14ac:dyDescent="0.25">
      <c r="B56" s="37"/>
      <c r="C56" s="37"/>
      <c r="D56" s="39"/>
      <c r="E56" s="39"/>
      <c r="F56" s="39"/>
      <c r="G56" s="49"/>
    </row>
    <row r="57" spans="2:7" x14ac:dyDescent="0.25">
      <c r="B57" s="38" t="s">
        <v>9</v>
      </c>
      <c r="C57" s="37"/>
      <c r="D57" s="39"/>
      <c r="E57" s="39"/>
      <c r="F57" s="39"/>
      <c r="G57" s="49"/>
    </row>
    <row r="58" spans="2:7" x14ac:dyDescent="0.25">
      <c r="B58" s="37" t="s">
        <v>36</v>
      </c>
      <c r="C58" s="37"/>
      <c r="D58" s="39">
        <v>355</v>
      </c>
      <c r="E58" s="39"/>
      <c r="F58" s="39">
        <v>310</v>
      </c>
      <c r="G58" s="49"/>
    </row>
    <row r="59" spans="2:7" s="132" customFormat="1" ht="23.25" x14ac:dyDescent="0.35">
      <c r="B59" s="41" t="s">
        <v>52</v>
      </c>
      <c r="C59" s="37"/>
      <c r="D59" s="42">
        <f>SUM(D58)</f>
        <v>355</v>
      </c>
      <c r="E59" s="39"/>
      <c r="F59" s="42">
        <f>SUM(F58)</f>
        <v>310</v>
      </c>
      <c r="G59" s="49"/>
    </row>
    <row r="60" spans="2:7" x14ac:dyDescent="0.25">
      <c r="B60" s="41"/>
      <c r="C60" s="37"/>
      <c r="D60" s="39"/>
      <c r="E60" s="39"/>
      <c r="F60" s="39"/>
      <c r="G60" s="49"/>
    </row>
    <row r="61" spans="2:7" x14ac:dyDescent="0.25">
      <c r="B61" s="37" t="s">
        <v>53</v>
      </c>
      <c r="C61" s="37"/>
      <c r="D61" s="39">
        <v>5940</v>
      </c>
      <c r="E61" s="39"/>
      <c r="F61" s="39">
        <v>6205</v>
      </c>
      <c r="G61" s="49"/>
    </row>
    <row r="62" spans="2:7" s="132" customFormat="1" ht="23.25" x14ac:dyDescent="0.35">
      <c r="B62" s="41" t="s">
        <v>54</v>
      </c>
      <c r="C62" s="37"/>
      <c r="D62" s="42">
        <f>SUM(D61)</f>
        <v>5940</v>
      </c>
      <c r="E62" s="39"/>
      <c r="F62" s="42">
        <f>SUM(F61)</f>
        <v>6205</v>
      </c>
      <c r="G62" s="49"/>
    </row>
    <row r="63" spans="2:7" x14ac:dyDescent="0.25">
      <c r="B63" s="37"/>
      <c r="C63" s="37"/>
      <c r="D63" s="39"/>
      <c r="E63" s="39"/>
      <c r="F63" s="39"/>
      <c r="G63" s="49"/>
    </row>
    <row r="64" spans="2:7" x14ac:dyDescent="0.25">
      <c r="B64" s="37" t="s">
        <v>132</v>
      </c>
      <c r="C64" s="37"/>
      <c r="D64" s="39">
        <v>590</v>
      </c>
      <c r="E64" s="39"/>
      <c r="F64" s="39">
        <v>1360</v>
      </c>
      <c r="G64" s="49"/>
    </row>
    <row r="65" spans="1:7" x14ac:dyDescent="0.25">
      <c r="B65" s="37" t="s">
        <v>11</v>
      </c>
      <c r="C65" s="37"/>
      <c r="D65" s="129">
        <v>925</v>
      </c>
      <c r="E65" s="39"/>
      <c r="F65" s="129">
        <v>750</v>
      </c>
      <c r="G65" s="49"/>
    </row>
    <row r="66" spans="1:7" x14ac:dyDescent="0.25">
      <c r="B66" s="37" t="s">
        <v>38</v>
      </c>
      <c r="C66" s="37"/>
      <c r="D66" s="129">
        <f>F58-D58+D24</f>
        <v>895</v>
      </c>
      <c r="E66" s="39"/>
      <c r="F66" s="129">
        <v>805</v>
      </c>
      <c r="G66" s="49"/>
    </row>
    <row r="67" spans="1:7" x14ac:dyDescent="0.25">
      <c r="B67" s="37" t="s">
        <v>55</v>
      </c>
      <c r="C67" s="37"/>
      <c r="D67" s="129">
        <v>1040</v>
      </c>
      <c r="E67" s="39"/>
      <c r="F67" s="129">
        <v>1010</v>
      </c>
      <c r="G67" s="49"/>
    </row>
    <row r="68" spans="1:7" x14ac:dyDescent="0.25">
      <c r="B68" s="37" t="s">
        <v>56</v>
      </c>
      <c r="C68" s="37"/>
      <c r="D68" s="129">
        <f>D31</f>
        <v>1000</v>
      </c>
      <c r="E68" s="39"/>
      <c r="F68" s="129">
        <v>1200</v>
      </c>
      <c r="G68" s="49"/>
    </row>
    <row r="69" spans="1:7" x14ac:dyDescent="0.25">
      <c r="B69" s="37" t="s">
        <v>39</v>
      </c>
      <c r="C69" s="37"/>
      <c r="D69" s="39">
        <v>885</v>
      </c>
      <c r="E69" s="39"/>
      <c r="F69" s="39">
        <v>940</v>
      </c>
      <c r="G69" s="49"/>
    </row>
    <row r="70" spans="1:7" s="132" customFormat="1" ht="23.25" x14ac:dyDescent="0.35">
      <c r="B70" s="41" t="s">
        <v>13</v>
      </c>
      <c r="C70" s="37"/>
      <c r="D70" s="42">
        <f>SUM(D64:D69)</f>
        <v>5335</v>
      </c>
      <c r="E70" s="39"/>
      <c r="F70" s="42">
        <f>SUM(F64:F69)</f>
        <v>6065</v>
      </c>
      <c r="G70" s="49"/>
    </row>
    <row r="71" spans="1:7" x14ac:dyDescent="0.25">
      <c r="B71" s="37"/>
      <c r="C71" s="37"/>
      <c r="D71" s="39"/>
      <c r="E71" s="39"/>
      <c r="F71" s="39"/>
      <c r="G71" s="49"/>
    </row>
    <row r="72" spans="1:7" ht="16.5" thickBot="1" x14ac:dyDescent="0.3">
      <c r="B72" s="41" t="s">
        <v>57</v>
      </c>
      <c r="C72" s="37"/>
      <c r="D72" s="71">
        <f>D55+D62+D70+D59</f>
        <v>17420</v>
      </c>
      <c r="E72" s="39">
        <f>E55+E62+E70+E59</f>
        <v>0</v>
      </c>
      <c r="F72" s="71">
        <f>F55+F62+F70+F59</f>
        <v>17820</v>
      </c>
      <c r="G72" s="49"/>
    </row>
    <row r="73" spans="1:7" x14ac:dyDescent="0.25">
      <c r="B73" s="49"/>
      <c r="C73" s="49"/>
      <c r="D73" s="72"/>
      <c r="E73" s="49"/>
      <c r="F73" s="49"/>
      <c r="G73" s="49"/>
    </row>
    <row r="75" spans="1:7" x14ac:dyDescent="0.25">
      <c r="A75" s="50" t="s">
        <v>65</v>
      </c>
      <c r="B75" s="54" t="s">
        <v>159</v>
      </c>
      <c r="D75" s="60">
        <f>D49-D72</f>
        <v>0</v>
      </c>
      <c r="E75" s="60">
        <f t="shared" ref="E75:F75" si="0">E49-E72</f>
        <v>0</v>
      </c>
      <c r="F75" s="60">
        <f t="shared" si="0"/>
        <v>0</v>
      </c>
    </row>
    <row r="76" spans="1:7" x14ac:dyDescent="0.25">
      <c r="B76" s="1" t="s">
        <v>140</v>
      </c>
    </row>
    <row r="77" spans="1:7" x14ac:dyDescent="0.25">
      <c r="B77" s="2" t="s">
        <v>8</v>
      </c>
      <c r="D77" s="60">
        <f>D55</f>
        <v>5790</v>
      </c>
      <c r="E77" s="60"/>
      <c r="F77" s="60">
        <f t="shared" ref="F77" si="1">F55</f>
        <v>5240</v>
      </c>
      <c r="G77" s="60"/>
    </row>
    <row r="78" spans="1:7" x14ac:dyDescent="0.25">
      <c r="B78" s="2" t="s">
        <v>160</v>
      </c>
      <c r="D78" s="60">
        <f>D49</f>
        <v>17420</v>
      </c>
      <c r="E78" s="60"/>
      <c r="F78" s="60">
        <f t="shared" ref="F78" si="2">F49</f>
        <v>17820</v>
      </c>
    </row>
    <row r="79" spans="1:7" x14ac:dyDescent="0.25">
      <c r="B79" s="2" t="s">
        <v>161</v>
      </c>
      <c r="D79" s="60">
        <f>D59+D62+D70</f>
        <v>11630</v>
      </c>
      <c r="E79" s="60"/>
      <c r="F79" s="60">
        <f t="shared" ref="F79" si="3">F59+F62+F70</f>
        <v>12580</v>
      </c>
    </row>
    <row r="80" spans="1:7" x14ac:dyDescent="0.25">
      <c r="B80" s="2" t="s">
        <v>17</v>
      </c>
      <c r="D80" s="60">
        <f>D47</f>
        <v>5370</v>
      </c>
      <c r="E80" s="60"/>
      <c r="F80" s="60">
        <f t="shared" ref="F80" si="4">F47</f>
        <v>5540</v>
      </c>
    </row>
    <row r="81" spans="2:6" x14ac:dyDescent="0.25">
      <c r="B81" s="2" t="s">
        <v>18</v>
      </c>
      <c r="D81" s="60">
        <f>D70</f>
        <v>5335</v>
      </c>
      <c r="E81" s="60"/>
      <c r="F81" s="60">
        <f t="shared" ref="F81" si="5">F70</f>
        <v>6065</v>
      </c>
    </row>
    <row r="82" spans="2:6" x14ac:dyDescent="0.25">
      <c r="B82" s="2" t="s">
        <v>2</v>
      </c>
      <c r="D82" s="60">
        <f>D44</f>
        <v>1800</v>
      </c>
      <c r="E82" s="60"/>
      <c r="F82" s="60">
        <f t="shared" ref="F82" si="6">F44</f>
        <v>2000</v>
      </c>
    </row>
    <row r="83" spans="2:6" x14ac:dyDescent="0.25">
      <c r="B83" s="2" t="s">
        <v>43</v>
      </c>
      <c r="D83" s="60">
        <f>D55+D59+D62</f>
        <v>12085</v>
      </c>
      <c r="E83" s="60"/>
      <c r="F83" s="60">
        <f t="shared" ref="F83" si="7">F55+F59+F62</f>
        <v>11755</v>
      </c>
    </row>
    <row r="84" spans="2:6" x14ac:dyDescent="0.25">
      <c r="B84" s="2" t="s">
        <v>16</v>
      </c>
      <c r="D84" s="60">
        <f>D41</f>
        <v>12050</v>
      </c>
      <c r="E84" s="60"/>
      <c r="F84" s="60">
        <f t="shared" ref="F84" si="8">F41</f>
        <v>12280</v>
      </c>
    </row>
    <row r="85" spans="2:6" x14ac:dyDescent="0.25">
      <c r="B85" s="2" t="s">
        <v>42</v>
      </c>
      <c r="D85" s="60">
        <f>D80-D81</f>
        <v>35</v>
      </c>
      <c r="E85" s="60"/>
      <c r="F85" s="60">
        <f t="shared" ref="F85" si="9">F80-F81</f>
        <v>-525</v>
      </c>
    </row>
    <row r="86" spans="2:6" x14ac:dyDescent="0.25">
      <c r="B86" s="2"/>
    </row>
    <row r="87" spans="2:6" x14ac:dyDescent="0.25">
      <c r="B87" s="1" t="s">
        <v>162</v>
      </c>
    </row>
    <row r="88" spans="2:6" x14ac:dyDescent="0.25">
      <c r="B88" s="2" t="s">
        <v>62</v>
      </c>
      <c r="D88" s="59">
        <f>D77/D78</f>
        <v>0.33237657864523534</v>
      </c>
      <c r="E88" s="59"/>
      <c r="F88" s="59">
        <f t="shared" ref="F88" si="10">F77/F78</f>
        <v>0.29405162738496071</v>
      </c>
    </row>
    <row r="89" spans="2:6" x14ac:dyDescent="0.25">
      <c r="B89" s="2" t="s">
        <v>41</v>
      </c>
      <c r="D89" s="148">
        <f>D79/D77</f>
        <v>2.0086355785837653</v>
      </c>
      <c r="E89" s="60"/>
      <c r="F89" s="148">
        <f t="shared" ref="F89" si="11">F79/F77</f>
        <v>2.4007633587786259</v>
      </c>
    </row>
    <row r="90" spans="2:6" x14ac:dyDescent="0.25">
      <c r="B90" s="2" t="s">
        <v>163</v>
      </c>
      <c r="D90" s="59">
        <f>D85/D82</f>
        <v>1.9444444444444445E-2</v>
      </c>
      <c r="E90" s="59"/>
      <c r="F90" s="59">
        <f t="shared" ref="F90" si="12">F85/F82</f>
        <v>-0.26250000000000001</v>
      </c>
    </row>
    <row r="91" spans="2:6" x14ac:dyDescent="0.25">
      <c r="B91" s="2" t="s">
        <v>44</v>
      </c>
      <c r="D91" s="148">
        <f>D84/D83</f>
        <v>0.99710384774513861</v>
      </c>
      <c r="E91" s="148"/>
      <c r="F91" s="148">
        <f t="shared" ref="F91" si="13">F84/F83</f>
        <v>1.0446618460229689</v>
      </c>
    </row>
    <row r="92" spans="2:6" x14ac:dyDescent="0.25">
      <c r="B92" s="2" t="s">
        <v>45</v>
      </c>
      <c r="D92" s="148">
        <f>D80/D81</f>
        <v>1.0065604498594189</v>
      </c>
      <c r="E92" s="148"/>
      <c r="F92" s="148">
        <f t="shared" ref="F92" si="14">F80/F81</f>
        <v>0.91343775762572132</v>
      </c>
    </row>
    <row r="93" spans="2:6" x14ac:dyDescent="0.25">
      <c r="B93" s="2"/>
      <c r="D93" s="148"/>
      <c r="E93" s="148"/>
      <c r="F93" s="148"/>
    </row>
    <row r="94" spans="2:6" x14ac:dyDescent="0.25">
      <c r="B94" s="2" t="s">
        <v>477</v>
      </c>
      <c r="D94" s="148"/>
      <c r="E94" s="148"/>
      <c r="F94" s="148"/>
    </row>
    <row r="95" spans="2:6" x14ac:dyDescent="0.25">
      <c r="B95" s="2" t="s">
        <v>478</v>
      </c>
      <c r="D95" s="148"/>
      <c r="E95" s="148"/>
      <c r="F95" s="148"/>
    </row>
    <row r="96" spans="2:6" x14ac:dyDescent="0.25">
      <c r="B96" s="2" t="s">
        <v>479</v>
      </c>
      <c r="D96" s="148"/>
      <c r="E96" s="148"/>
      <c r="F96" s="148"/>
    </row>
    <row r="97" spans="2:6" x14ac:dyDescent="0.25">
      <c r="B97" s="2" t="s">
        <v>483</v>
      </c>
      <c r="D97" s="148"/>
      <c r="E97" s="148"/>
      <c r="F97" s="148"/>
    </row>
    <row r="98" spans="2:6" x14ac:dyDescent="0.25">
      <c r="B98" s="2"/>
      <c r="D98" s="148"/>
      <c r="E98" s="148"/>
      <c r="F98" s="148"/>
    </row>
    <row r="99" spans="2:6" x14ac:dyDescent="0.25">
      <c r="B99" s="2" t="s">
        <v>480</v>
      </c>
      <c r="D99" s="148"/>
      <c r="E99" s="148"/>
      <c r="F99" s="148"/>
    </row>
    <row r="100" spans="2:6" x14ac:dyDescent="0.25">
      <c r="B100" s="2" t="s">
        <v>481</v>
      </c>
      <c r="D100" s="148"/>
      <c r="E100" s="148"/>
      <c r="F100" s="148"/>
    </row>
    <row r="101" spans="2:6" x14ac:dyDescent="0.25">
      <c r="B101" s="2" t="s">
        <v>482</v>
      </c>
      <c r="D101" s="148"/>
      <c r="E101" s="148"/>
      <c r="F101" s="148"/>
    </row>
    <row r="102" spans="2:6" x14ac:dyDescent="0.25">
      <c r="B102" s="2" t="s">
        <v>484</v>
      </c>
      <c r="D102" s="148"/>
      <c r="E102" s="148"/>
      <c r="F102" s="148"/>
    </row>
    <row r="103" spans="2:6" x14ac:dyDescent="0.25">
      <c r="B103" s="2" t="s">
        <v>485</v>
      </c>
      <c r="D103" s="148"/>
      <c r="E103" s="148"/>
      <c r="F103" s="148"/>
    </row>
    <row r="104" spans="2:6" x14ac:dyDescent="0.25">
      <c r="B104" s="2" t="s">
        <v>486</v>
      </c>
      <c r="D104" s="148"/>
      <c r="E104" s="148"/>
      <c r="F104" s="148"/>
    </row>
    <row r="105" spans="2:6" x14ac:dyDescent="0.25">
      <c r="B105" s="2"/>
      <c r="D105" s="148"/>
      <c r="E105" s="148"/>
      <c r="F105" s="148"/>
    </row>
    <row r="106" spans="2:6" x14ac:dyDescent="0.25">
      <c r="B106" s="2" t="s">
        <v>186</v>
      </c>
      <c r="D106" s="148"/>
      <c r="E106" s="148"/>
      <c r="F106" s="148"/>
    </row>
    <row r="107" spans="2:6" x14ac:dyDescent="0.25">
      <c r="B107" s="2"/>
      <c r="D107" s="148"/>
      <c r="E107" s="148"/>
      <c r="F107" s="148"/>
    </row>
    <row r="108" spans="2:6" x14ac:dyDescent="0.25">
      <c r="B108" s="2" t="s">
        <v>487</v>
      </c>
      <c r="D108" s="148"/>
      <c r="E108" s="148"/>
      <c r="F108" s="148"/>
    </row>
    <row r="109" spans="2:6" x14ac:dyDescent="0.25">
      <c r="B109" s="2" t="s">
        <v>488</v>
      </c>
      <c r="D109" s="148"/>
      <c r="E109" s="148"/>
      <c r="F109" s="148"/>
    </row>
    <row r="110" spans="2:6" x14ac:dyDescent="0.25">
      <c r="B110" s="2"/>
      <c r="D110" s="148"/>
      <c r="E110" s="148"/>
      <c r="F110" s="148"/>
    </row>
    <row r="112" spans="2:6" x14ac:dyDescent="0.25">
      <c r="B112" s="54" t="s">
        <v>137</v>
      </c>
    </row>
    <row r="113" spans="2:6" x14ac:dyDescent="0.25">
      <c r="B113" s="151" t="s">
        <v>140</v>
      </c>
    </row>
    <row r="114" spans="2:6" x14ac:dyDescent="0.25">
      <c r="B114" s="50" t="s">
        <v>17</v>
      </c>
      <c r="D114" s="60">
        <f>D47</f>
        <v>5370</v>
      </c>
      <c r="E114" s="60">
        <f t="shared" ref="E114:F114" si="15">E47</f>
        <v>0</v>
      </c>
      <c r="F114" s="60">
        <f t="shared" si="15"/>
        <v>5540</v>
      </c>
    </row>
    <row r="115" spans="2:6" x14ac:dyDescent="0.25">
      <c r="B115" s="50" t="s">
        <v>141</v>
      </c>
      <c r="D115" s="60">
        <f>(D47-D44)</f>
        <v>3570</v>
      </c>
      <c r="E115" s="60"/>
      <c r="F115" s="60">
        <f>(F47-F44)</f>
        <v>3540</v>
      </c>
    </row>
    <row r="116" spans="2:6" x14ac:dyDescent="0.25">
      <c r="B116" s="50" t="s">
        <v>18</v>
      </c>
      <c r="D116" s="60">
        <f>D70</f>
        <v>5335</v>
      </c>
      <c r="E116" s="60"/>
      <c r="F116" s="60">
        <f>F70</f>
        <v>6065</v>
      </c>
    </row>
    <row r="117" spans="2:6" x14ac:dyDescent="0.25">
      <c r="B117" s="50" t="s">
        <v>142</v>
      </c>
      <c r="D117" s="60">
        <f>(D70-D64)</f>
        <v>4745</v>
      </c>
      <c r="E117" s="60"/>
      <c r="F117" s="60">
        <f>(F70-F64)</f>
        <v>4705</v>
      </c>
    </row>
    <row r="118" spans="2:6" x14ac:dyDescent="0.25">
      <c r="B118" s="50" t="s">
        <v>42</v>
      </c>
      <c r="D118" s="60">
        <f>D114-D116</f>
        <v>35</v>
      </c>
      <c r="E118" s="60"/>
      <c r="F118" s="60">
        <f t="shared" ref="F118" si="16">F114-F116</f>
        <v>-525</v>
      </c>
    </row>
    <row r="119" spans="2:6" x14ac:dyDescent="0.25">
      <c r="B119" s="50" t="s">
        <v>346</v>
      </c>
      <c r="D119" s="60">
        <f>D9</f>
        <v>9600</v>
      </c>
      <c r="E119" s="60"/>
      <c r="F119" s="60"/>
    </row>
    <row r="120" spans="2:6" x14ac:dyDescent="0.25">
      <c r="B120" s="50" t="s">
        <v>385</v>
      </c>
      <c r="D120" s="60">
        <f>D9*1.25</f>
        <v>12000</v>
      </c>
    </row>
    <row r="121" spans="2:6" x14ac:dyDescent="0.25">
      <c r="B121" s="50" t="s">
        <v>386</v>
      </c>
      <c r="D121" s="60">
        <f>D6</f>
        <v>29040</v>
      </c>
    </row>
    <row r="122" spans="2:6" x14ac:dyDescent="0.25">
      <c r="B122" s="50" t="s">
        <v>387</v>
      </c>
      <c r="D122" s="60">
        <f>D121*1.25</f>
        <v>36300</v>
      </c>
    </row>
    <row r="123" spans="2:6" x14ac:dyDescent="0.25">
      <c r="B123" s="50" t="s">
        <v>388</v>
      </c>
      <c r="D123" s="60">
        <v>500</v>
      </c>
    </row>
    <row r="124" spans="2:6" x14ac:dyDescent="0.25">
      <c r="B124" s="50" t="s">
        <v>149</v>
      </c>
      <c r="D124" s="60">
        <f>(D45+F45)/2</f>
        <v>2500</v>
      </c>
    </row>
    <row r="125" spans="2:6" x14ac:dyDescent="0.25">
      <c r="B125" s="50" t="s">
        <v>150</v>
      </c>
      <c r="D125" s="60">
        <f>(D65+F65)/2</f>
        <v>837.5</v>
      </c>
    </row>
    <row r="126" spans="2:6" x14ac:dyDescent="0.25">
      <c r="B126" s="151" t="s">
        <v>389</v>
      </c>
    </row>
    <row r="127" spans="2:6" x14ac:dyDescent="0.25">
      <c r="B127" s="50" t="s">
        <v>4</v>
      </c>
      <c r="D127" s="60">
        <f>D46</f>
        <v>1090</v>
      </c>
    </row>
    <row r="128" spans="2:6" x14ac:dyDescent="0.25">
      <c r="B128" s="50" t="s">
        <v>390</v>
      </c>
      <c r="D128" s="60">
        <f>1500-D64</f>
        <v>910</v>
      </c>
    </row>
    <row r="129" spans="1:7" s="31" customFormat="1" ht="20.25" x14ac:dyDescent="0.3">
      <c r="A129" s="50"/>
      <c r="B129" s="50"/>
      <c r="C129" s="50"/>
      <c r="D129" s="135">
        <f>SUM(D127:D128)</f>
        <v>2000</v>
      </c>
      <c r="E129" s="50"/>
      <c r="F129" s="50"/>
      <c r="G129" s="50"/>
    </row>
    <row r="131" spans="1:7" x14ac:dyDescent="0.25">
      <c r="B131" s="151" t="s">
        <v>391</v>
      </c>
    </row>
    <row r="132" spans="1:7" x14ac:dyDescent="0.25">
      <c r="B132" s="50" t="s">
        <v>152</v>
      </c>
      <c r="D132" s="148">
        <f>D114/D116</f>
        <v>1.0065604498594189</v>
      </c>
      <c r="E132" s="148"/>
      <c r="F132" s="148">
        <f>F114/F116</f>
        <v>0.91343775762572132</v>
      </c>
    </row>
    <row r="133" spans="1:7" x14ac:dyDescent="0.25">
      <c r="B133" s="50" t="s">
        <v>153</v>
      </c>
      <c r="D133" s="148">
        <f>D115/D116</f>
        <v>0.66916588566073099</v>
      </c>
      <c r="E133" s="148"/>
      <c r="F133" s="148">
        <f>F115/F116</f>
        <v>0.58367683429513606</v>
      </c>
    </row>
    <row r="134" spans="1:7" x14ac:dyDescent="0.25">
      <c r="B134" s="151" t="s">
        <v>393</v>
      </c>
      <c r="D134" s="148"/>
      <c r="E134" s="148"/>
      <c r="F134" s="148"/>
    </row>
    <row r="135" spans="1:7" x14ac:dyDescent="0.25">
      <c r="B135" s="50" t="s">
        <v>392</v>
      </c>
      <c r="D135" s="148">
        <f>D114/D117</f>
        <v>1.1317175974710221</v>
      </c>
      <c r="E135" s="60"/>
      <c r="F135" s="148">
        <f>F114/F117</f>
        <v>1.177470775770457</v>
      </c>
    </row>
    <row r="136" spans="1:7" x14ac:dyDescent="0.25">
      <c r="B136" s="50" t="s">
        <v>153</v>
      </c>
      <c r="D136" s="148">
        <f>D115/D117</f>
        <v>0.75237091675447842</v>
      </c>
      <c r="E136" s="60"/>
      <c r="F136" s="148">
        <f>F115/F117</f>
        <v>0.75239107332624866</v>
      </c>
    </row>
    <row r="137" spans="1:7" x14ac:dyDescent="0.25">
      <c r="B137" s="50" t="s">
        <v>394</v>
      </c>
      <c r="D137" s="60">
        <f>D123*365/D119</f>
        <v>19.010416666666668</v>
      </c>
      <c r="F137" s="166">
        <v>25</v>
      </c>
    </row>
    <row r="138" spans="1:7" x14ac:dyDescent="0.25">
      <c r="B138" s="50" t="s">
        <v>395</v>
      </c>
      <c r="D138" s="60">
        <f>D124*365/D122</f>
        <v>25.137741046831955</v>
      </c>
      <c r="F138" s="166">
        <v>21</v>
      </c>
    </row>
    <row r="139" spans="1:7" x14ac:dyDescent="0.25">
      <c r="B139" s="50" t="s">
        <v>396</v>
      </c>
      <c r="D139" s="60">
        <f>D125*365/D120</f>
        <v>25.473958333333332</v>
      </c>
      <c r="F139" s="166">
        <v>27</v>
      </c>
    </row>
    <row r="140" spans="1:7" x14ac:dyDescent="0.25">
      <c r="B140" s="50" t="s">
        <v>397</v>
      </c>
      <c r="D140" s="59">
        <f>D129/D121</f>
        <v>6.8870523415977963E-2</v>
      </c>
    </row>
    <row r="141" spans="1:7" x14ac:dyDescent="0.25">
      <c r="B141" s="50" t="s">
        <v>398</v>
      </c>
      <c r="D141" s="152">
        <f>D118/D121</f>
        <v>1.2052341597796144E-3</v>
      </c>
    </row>
    <row r="143" spans="1:7" x14ac:dyDescent="0.25">
      <c r="B143" s="50" t="s">
        <v>489</v>
      </c>
    </row>
    <row r="144" spans="1:7" x14ac:dyDescent="0.25">
      <c r="B144" s="50" t="s">
        <v>490</v>
      </c>
    </row>
    <row r="145" spans="2:2" x14ac:dyDescent="0.25">
      <c r="B145" s="50" t="s">
        <v>491</v>
      </c>
    </row>
    <row r="146" spans="2:2" x14ac:dyDescent="0.25">
      <c r="B146" s="50" t="s">
        <v>492</v>
      </c>
    </row>
    <row r="147" spans="2:2" x14ac:dyDescent="0.25">
      <c r="B147" s="50" t="s">
        <v>493</v>
      </c>
    </row>
    <row r="148" spans="2:2" x14ac:dyDescent="0.25">
      <c r="B148" s="50" t="s">
        <v>494</v>
      </c>
    </row>
    <row r="150" spans="2:2" x14ac:dyDescent="0.25">
      <c r="B150" s="50" t="s">
        <v>495</v>
      </c>
    </row>
    <row r="151" spans="2:2" x14ac:dyDescent="0.25">
      <c r="B151" s="50" t="s">
        <v>496</v>
      </c>
    </row>
    <row r="153" spans="2:2" x14ac:dyDescent="0.25">
      <c r="B153" s="50" t="s">
        <v>497</v>
      </c>
    </row>
    <row r="154" spans="2:2" x14ac:dyDescent="0.25">
      <c r="B154" s="50" t="s">
        <v>498</v>
      </c>
    </row>
    <row r="155" spans="2:2" x14ac:dyDescent="0.25">
      <c r="B155" s="50" t="s">
        <v>499</v>
      </c>
    </row>
    <row r="156" spans="2:2" x14ac:dyDescent="0.25">
      <c r="B156" s="50" t="s">
        <v>500</v>
      </c>
    </row>
    <row r="157" spans="2:2" x14ac:dyDescent="0.25">
      <c r="B157" s="50" t="s">
        <v>501</v>
      </c>
    </row>
    <row r="159" spans="2:2" x14ac:dyDescent="0.25">
      <c r="B159" s="50" t="s">
        <v>502</v>
      </c>
    </row>
    <row r="160" spans="2:2" x14ac:dyDescent="0.25">
      <c r="B160" s="50" t="s">
        <v>503</v>
      </c>
    </row>
    <row r="161" spans="1:7" x14ac:dyDescent="0.25">
      <c r="B161" s="50" t="s">
        <v>504</v>
      </c>
    </row>
    <row r="162" spans="1:7" x14ac:dyDescent="0.25">
      <c r="B162" s="50" t="s">
        <v>505</v>
      </c>
    </row>
    <row r="163" spans="1:7" x14ac:dyDescent="0.25">
      <c r="B163" s="50" t="s">
        <v>506</v>
      </c>
    </row>
    <row r="164" spans="1:7" x14ac:dyDescent="0.25">
      <c r="B164" s="50" t="s">
        <v>507</v>
      </c>
    </row>
    <row r="166" spans="1:7" x14ac:dyDescent="0.25">
      <c r="A166" s="50" t="s">
        <v>74</v>
      </c>
      <c r="B166" s="54" t="s">
        <v>399</v>
      </c>
    </row>
    <row r="167" spans="1:7" x14ac:dyDescent="0.25">
      <c r="B167" s="151" t="s">
        <v>400</v>
      </c>
    </row>
    <row r="168" spans="1:7" x14ac:dyDescent="0.25">
      <c r="B168" s="50" t="s">
        <v>268</v>
      </c>
      <c r="D168" s="60">
        <f>D22</f>
        <v>2490</v>
      </c>
    </row>
    <row r="169" spans="1:7" x14ac:dyDescent="0.25">
      <c r="B169" s="50" t="s">
        <v>244</v>
      </c>
      <c r="D169" s="58">
        <f>D19</f>
        <v>300</v>
      </c>
    </row>
    <row r="170" spans="1:7" s="31" customFormat="1" ht="20.25" x14ac:dyDescent="0.3">
      <c r="A170" s="50"/>
      <c r="B170" s="50" t="s">
        <v>401</v>
      </c>
      <c r="C170" s="50"/>
      <c r="D170" s="135">
        <f>SUM(D168:D169)</f>
        <v>2790</v>
      </c>
      <c r="E170" s="50"/>
      <c r="F170" s="50"/>
      <c r="G170" s="50"/>
    </row>
    <row r="172" spans="1:7" x14ac:dyDescent="0.25">
      <c r="B172" s="50" t="s">
        <v>404</v>
      </c>
      <c r="D172" s="60">
        <f>D6</f>
        <v>29040</v>
      </c>
    </row>
    <row r="174" spans="1:7" x14ac:dyDescent="0.25">
      <c r="B174" s="50" t="s">
        <v>402</v>
      </c>
      <c r="D174" s="60">
        <f>D168</f>
        <v>2490</v>
      </c>
    </row>
    <row r="176" spans="1:7" x14ac:dyDescent="0.25">
      <c r="B176" s="50" t="s">
        <v>254</v>
      </c>
      <c r="D176" s="60">
        <f>(D49+F49)/2</f>
        <v>17620</v>
      </c>
    </row>
    <row r="178" spans="2:4" x14ac:dyDescent="0.25">
      <c r="B178" s="50" t="s">
        <v>354</v>
      </c>
      <c r="D178" s="146">
        <f>D170/D176</f>
        <v>0.15834279228149831</v>
      </c>
    </row>
    <row r="179" spans="2:4" x14ac:dyDescent="0.25">
      <c r="B179" s="151" t="s">
        <v>403</v>
      </c>
    </row>
    <row r="180" spans="2:4" x14ac:dyDescent="0.25">
      <c r="B180" s="50" t="s">
        <v>366</v>
      </c>
      <c r="D180" s="59">
        <f>D170/D172</f>
        <v>9.6074380165289255E-2</v>
      </c>
    </row>
    <row r="181" spans="2:4" x14ac:dyDescent="0.25">
      <c r="B181" s="50" t="s">
        <v>367</v>
      </c>
      <c r="D181" s="148">
        <f>D172/D176</f>
        <v>1.6481271282633372</v>
      </c>
    </row>
    <row r="183" spans="2:4" x14ac:dyDescent="0.25">
      <c r="B183" s="50" t="s">
        <v>255</v>
      </c>
      <c r="D183" s="60">
        <f>(D55+F55)/2</f>
        <v>5515</v>
      </c>
    </row>
    <row r="185" spans="2:4" x14ac:dyDescent="0.25">
      <c r="B185" s="50" t="s">
        <v>355</v>
      </c>
      <c r="D185" s="146">
        <f>D174/D183</f>
        <v>0.45149592021758839</v>
      </c>
    </row>
    <row r="186" spans="2:4" x14ac:dyDescent="0.25">
      <c r="D186" s="167"/>
    </row>
    <row r="187" spans="2:4" x14ac:dyDescent="0.25">
      <c r="B187" s="50" t="s">
        <v>508</v>
      </c>
      <c r="D187" s="167"/>
    </row>
    <row r="188" spans="2:4" x14ac:dyDescent="0.25">
      <c r="B188" s="50" t="s">
        <v>509</v>
      </c>
      <c r="D188" s="167"/>
    </row>
    <row r="189" spans="2:4" x14ac:dyDescent="0.25">
      <c r="B189" s="50" t="s">
        <v>510</v>
      </c>
      <c r="D189" s="167"/>
    </row>
    <row r="190" spans="2:4" x14ac:dyDescent="0.25">
      <c r="B190" s="50" t="s">
        <v>511</v>
      </c>
      <c r="D190" s="167"/>
    </row>
    <row r="191" spans="2:4" x14ac:dyDescent="0.25">
      <c r="B191" s="50" t="s">
        <v>512</v>
      </c>
      <c r="D191" s="167"/>
    </row>
    <row r="192" spans="2:4" x14ac:dyDescent="0.25">
      <c r="B192" s="50" t="s">
        <v>513</v>
      </c>
      <c r="D192" s="167"/>
    </row>
    <row r="193" spans="1:9" x14ac:dyDescent="0.25">
      <c r="B193" s="50" t="s">
        <v>514</v>
      </c>
      <c r="D193" s="167"/>
    </row>
    <row r="194" spans="1:9" x14ac:dyDescent="0.25">
      <c r="D194" s="167"/>
    </row>
    <row r="195" spans="1:9" x14ac:dyDescent="0.25">
      <c r="B195" s="50" t="s">
        <v>515</v>
      </c>
      <c r="D195" s="167"/>
    </row>
    <row r="196" spans="1:9" x14ac:dyDescent="0.25">
      <c r="B196" s="50" t="s">
        <v>516</v>
      </c>
      <c r="D196" s="167"/>
    </row>
    <row r="197" spans="1:9" x14ac:dyDescent="0.25">
      <c r="D197" s="167"/>
    </row>
    <row r="198" spans="1:9" x14ac:dyDescent="0.25">
      <c r="B198" s="50" t="s">
        <v>517</v>
      </c>
      <c r="D198" s="167"/>
    </row>
    <row r="199" spans="1:9" x14ac:dyDescent="0.25">
      <c r="B199" s="50" t="s">
        <v>518</v>
      </c>
    </row>
    <row r="201" spans="1:9" x14ac:dyDescent="0.25">
      <c r="B201" s="50" t="s">
        <v>519</v>
      </c>
      <c r="H201" s="169">
        <f>(D206+F206)/2</f>
        <v>12105</v>
      </c>
    </row>
    <row r="203" spans="1:9" x14ac:dyDescent="0.25">
      <c r="B203" s="50" t="s">
        <v>36</v>
      </c>
      <c r="D203" s="60">
        <f>D58</f>
        <v>355</v>
      </c>
      <c r="E203" s="60"/>
      <c r="F203" s="60">
        <f t="shared" ref="F203" si="17">F58</f>
        <v>310</v>
      </c>
    </row>
    <row r="204" spans="1:9" x14ac:dyDescent="0.25">
      <c r="B204" s="50" t="s">
        <v>10</v>
      </c>
      <c r="D204" s="60">
        <f>D62</f>
        <v>5940</v>
      </c>
      <c r="E204" s="60"/>
      <c r="F204" s="60">
        <f t="shared" ref="F204" si="18">F62</f>
        <v>6205</v>
      </c>
    </row>
    <row r="205" spans="1:9" x14ac:dyDescent="0.25">
      <c r="B205" s="50" t="s">
        <v>18</v>
      </c>
      <c r="D205" s="60">
        <f>D70</f>
        <v>5335</v>
      </c>
      <c r="E205" s="60"/>
      <c r="F205" s="60">
        <f t="shared" ref="F205" si="19">F70</f>
        <v>6065</v>
      </c>
    </row>
    <row r="206" spans="1:9" s="31" customFormat="1" ht="20.25" x14ac:dyDescent="0.3">
      <c r="A206" s="50"/>
      <c r="B206" s="50"/>
      <c r="C206" s="50"/>
      <c r="D206" s="135">
        <f>SUM(D203:D205)</f>
        <v>11630</v>
      </c>
      <c r="E206" s="52"/>
      <c r="F206" s="135">
        <f t="shared" ref="F206" si="20">SUM(F203:F205)</f>
        <v>12580</v>
      </c>
      <c r="G206" s="50"/>
      <c r="H206" s="50"/>
      <c r="I206" s="50"/>
    </row>
    <row r="208" spans="1:9" x14ac:dyDescent="0.25">
      <c r="B208" s="50" t="s">
        <v>520</v>
      </c>
      <c r="G208" s="168">
        <f>300/H201</f>
        <v>2.4783147459727387E-2</v>
      </c>
    </row>
    <row r="210" spans="1:2" x14ac:dyDescent="0.25">
      <c r="B210" s="50" t="s">
        <v>521</v>
      </c>
    </row>
    <row r="211" spans="1:2" x14ac:dyDescent="0.25">
      <c r="B211" s="50" t="s">
        <v>522</v>
      </c>
    </row>
    <row r="213" spans="1:2" x14ac:dyDescent="0.25">
      <c r="A213" s="50" t="s">
        <v>119</v>
      </c>
      <c r="B213" s="50" t="s">
        <v>523</v>
      </c>
    </row>
    <row r="214" spans="1:2" x14ac:dyDescent="0.25">
      <c r="B214" s="50" t="s">
        <v>524</v>
      </c>
    </row>
    <row r="215" spans="1:2" x14ac:dyDescent="0.25">
      <c r="B215" s="50" t="s">
        <v>525</v>
      </c>
    </row>
    <row r="216" spans="1:2" x14ac:dyDescent="0.25">
      <c r="B216" s="50" t="s">
        <v>526</v>
      </c>
    </row>
    <row r="218" spans="1:2" x14ac:dyDescent="0.25">
      <c r="B218" s="50" t="s">
        <v>527</v>
      </c>
    </row>
    <row r="219" spans="1:2" x14ac:dyDescent="0.25">
      <c r="B219" s="50" t="s">
        <v>528</v>
      </c>
    </row>
    <row r="221" spans="1:2" x14ac:dyDescent="0.25">
      <c r="B221" s="50" t="s">
        <v>529</v>
      </c>
    </row>
    <row r="223" spans="1:2" x14ac:dyDescent="0.25">
      <c r="B223" s="50" t="s">
        <v>530</v>
      </c>
    </row>
  </sheetData>
  <pageMargins left="0.78740157480314965" right="0.78740157480314965" top="0.98425196850393704" bottom="0.98425196850393704" header="0.51181102362204722" footer="0.51181102362204722"/>
  <pageSetup paperSize="9" orientation="portrait" horizontalDpi="4294967292" r:id="rId1"/>
  <headerFooter alignWithMargins="0">
    <oddFooter>&amp;CSide &amp;P av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"/>
  <sheetViews>
    <sheetView showGridLines="0" showZeros="0" workbookViewId="0"/>
  </sheetViews>
  <sheetFormatPr baseColWidth="10" defaultRowHeight="12.75" x14ac:dyDescent="0.2"/>
  <cols>
    <col min="1" max="1" width="4.85546875" style="33" customWidth="1"/>
    <col min="2" max="2" width="6.5703125" style="33" customWidth="1"/>
    <col min="3" max="3" width="29.42578125" style="33" customWidth="1"/>
    <col min="4" max="253" width="11.42578125" style="33"/>
    <col min="254" max="254" width="4.85546875" style="33" customWidth="1"/>
    <col min="255" max="255" width="6.5703125" style="33" customWidth="1"/>
    <col min="256" max="256" width="29.42578125" style="33" customWidth="1"/>
    <col min="257" max="257" width="7.5703125" style="33" customWidth="1"/>
    <col min="258" max="258" width="2.28515625" style="33" customWidth="1"/>
    <col min="259" max="259" width="11.42578125" style="33"/>
    <col min="260" max="260" width="2.28515625" style="33" customWidth="1"/>
    <col min="261" max="509" width="11.42578125" style="33"/>
    <col min="510" max="510" width="4.85546875" style="33" customWidth="1"/>
    <col min="511" max="511" width="6.5703125" style="33" customWidth="1"/>
    <col min="512" max="512" width="29.42578125" style="33" customWidth="1"/>
    <col min="513" max="513" width="7.5703125" style="33" customWidth="1"/>
    <col min="514" max="514" width="2.28515625" style="33" customWidth="1"/>
    <col min="515" max="515" width="11.42578125" style="33"/>
    <col min="516" max="516" width="2.28515625" style="33" customWidth="1"/>
    <col min="517" max="765" width="11.42578125" style="33"/>
    <col min="766" max="766" width="4.85546875" style="33" customWidth="1"/>
    <col min="767" max="767" width="6.5703125" style="33" customWidth="1"/>
    <col min="768" max="768" width="29.42578125" style="33" customWidth="1"/>
    <col min="769" max="769" width="7.5703125" style="33" customWidth="1"/>
    <col min="770" max="770" width="2.28515625" style="33" customWidth="1"/>
    <col min="771" max="771" width="11.42578125" style="33"/>
    <col min="772" max="772" width="2.28515625" style="33" customWidth="1"/>
    <col min="773" max="1021" width="11.42578125" style="33"/>
    <col min="1022" max="1022" width="4.85546875" style="33" customWidth="1"/>
    <col min="1023" max="1023" width="6.5703125" style="33" customWidth="1"/>
    <col min="1024" max="1024" width="29.42578125" style="33" customWidth="1"/>
    <col min="1025" max="1025" width="7.5703125" style="33" customWidth="1"/>
    <col min="1026" max="1026" width="2.28515625" style="33" customWidth="1"/>
    <col min="1027" max="1027" width="11.42578125" style="33"/>
    <col min="1028" max="1028" width="2.28515625" style="33" customWidth="1"/>
    <col min="1029" max="1277" width="11.42578125" style="33"/>
    <col min="1278" max="1278" width="4.85546875" style="33" customWidth="1"/>
    <col min="1279" max="1279" width="6.5703125" style="33" customWidth="1"/>
    <col min="1280" max="1280" width="29.42578125" style="33" customWidth="1"/>
    <col min="1281" max="1281" width="7.5703125" style="33" customWidth="1"/>
    <col min="1282" max="1282" width="2.28515625" style="33" customWidth="1"/>
    <col min="1283" max="1283" width="11.42578125" style="33"/>
    <col min="1284" max="1284" width="2.28515625" style="33" customWidth="1"/>
    <col min="1285" max="1533" width="11.42578125" style="33"/>
    <col min="1534" max="1534" width="4.85546875" style="33" customWidth="1"/>
    <col min="1535" max="1535" width="6.5703125" style="33" customWidth="1"/>
    <col min="1536" max="1536" width="29.42578125" style="33" customWidth="1"/>
    <col min="1537" max="1537" width="7.5703125" style="33" customWidth="1"/>
    <col min="1538" max="1538" width="2.28515625" style="33" customWidth="1"/>
    <col min="1539" max="1539" width="11.42578125" style="33"/>
    <col min="1540" max="1540" width="2.28515625" style="33" customWidth="1"/>
    <col min="1541" max="1789" width="11.42578125" style="33"/>
    <col min="1790" max="1790" width="4.85546875" style="33" customWidth="1"/>
    <col min="1791" max="1791" width="6.5703125" style="33" customWidth="1"/>
    <col min="1792" max="1792" width="29.42578125" style="33" customWidth="1"/>
    <col min="1793" max="1793" width="7.5703125" style="33" customWidth="1"/>
    <col min="1794" max="1794" width="2.28515625" style="33" customWidth="1"/>
    <col min="1795" max="1795" width="11.42578125" style="33"/>
    <col min="1796" max="1796" width="2.28515625" style="33" customWidth="1"/>
    <col min="1797" max="2045" width="11.42578125" style="33"/>
    <col min="2046" max="2046" width="4.85546875" style="33" customWidth="1"/>
    <col min="2047" max="2047" width="6.5703125" style="33" customWidth="1"/>
    <col min="2048" max="2048" width="29.42578125" style="33" customWidth="1"/>
    <col min="2049" max="2049" width="7.5703125" style="33" customWidth="1"/>
    <col min="2050" max="2050" width="2.28515625" style="33" customWidth="1"/>
    <col min="2051" max="2051" width="11.42578125" style="33"/>
    <col min="2052" max="2052" width="2.28515625" style="33" customWidth="1"/>
    <col min="2053" max="2301" width="11.42578125" style="33"/>
    <col min="2302" max="2302" width="4.85546875" style="33" customWidth="1"/>
    <col min="2303" max="2303" width="6.5703125" style="33" customWidth="1"/>
    <col min="2304" max="2304" width="29.42578125" style="33" customWidth="1"/>
    <col min="2305" max="2305" width="7.5703125" style="33" customWidth="1"/>
    <col min="2306" max="2306" width="2.28515625" style="33" customWidth="1"/>
    <col min="2307" max="2307" width="11.42578125" style="33"/>
    <col min="2308" max="2308" width="2.28515625" style="33" customWidth="1"/>
    <col min="2309" max="2557" width="11.42578125" style="33"/>
    <col min="2558" max="2558" width="4.85546875" style="33" customWidth="1"/>
    <col min="2559" max="2559" width="6.5703125" style="33" customWidth="1"/>
    <col min="2560" max="2560" width="29.42578125" style="33" customWidth="1"/>
    <col min="2561" max="2561" width="7.5703125" style="33" customWidth="1"/>
    <col min="2562" max="2562" width="2.28515625" style="33" customWidth="1"/>
    <col min="2563" max="2563" width="11.42578125" style="33"/>
    <col min="2564" max="2564" width="2.28515625" style="33" customWidth="1"/>
    <col min="2565" max="2813" width="11.42578125" style="33"/>
    <col min="2814" max="2814" width="4.85546875" style="33" customWidth="1"/>
    <col min="2815" max="2815" width="6.5703125" style="33" customWidth="1"/>
    <col min="2816" max="2816" width="29.42578125" style="33" customWidth="1"/>
    <col min="2817" max="2817" width="7.5703125" style="33" customWidth="1"/>
    <col min="2818" max="2818" width="2.28515625" style="33" customWidth="1"/>
    <col min="2819" max="2819" width="11.42578125" style="33"/>
    <col min="2820" max="2820" width="2.28515625" style="33" customWidth="1"/>
    <col min="2821" max="3069" width="11.42578125" style="33"/>
    <col min="3070" max="3070" width="4.85546875" style="33" customWidth="1"/>
    <col min="3071" max="3071" width="6.5703125" style="33" customWidth="1"/>
    <col min="3072" max="3072" width="29.42578125" style="33" customWidth="1"/>
    <col min="3073" max="3073" width="7.5703125" style="33" customWidth="1"/>
    <col min="3074" max="3074" width="2.28515625" style="33" customWidth="1"/>
    <col min="3075" max="3075" width="11.42578125" style="33"/>
    <col min="3076" max="3076" width="2.28515625" style="33" customWidth="1"/>
    <col min="3077" max="3325" width="11.42578125" style="33"/>
    <col min="3326" max="3326" width="4.85546875" style="33" customWidth="1"/>
    <col min="3327" max="3327" width="6.5703125" style="33" customWidth="1"/>
    <col min="3328" max="3328" width="29.42578125" style="33" customWidth="1"/>
    <col min="3329" max="3329" width="7.5703125" style="33" customWidth="1"/>
    <col min="3330" max="3330" width="2.28515625" style="33" customWidth="1"/>
    <col min="3331" max="3331" width="11.42578125" style="33"/>
    <col min="3332" max="3332" width="2.28515625" style="33" customWidth="1"/>
    <col min="3333" max="3581" width="11.42578125" style="33"/>
    <col min="3582" max="3582" width="4.85546875" style="33" customWidth="1"/>
    <col min="3583" max="3583" width="6.5703125" style="33" customWidth="1"/>
    <col min="3584" max="3584" width="29.42578125" style="33" customWidth="1"/>
    <col min="3585" max="3585" width="7.5703125" style="33" customWidth="1"/>
    <col min="3586" max="3586" width="2.28515625" style="33" customWidth="1"/>
    <col min="3587" max="3587" width="11.42578125" style="33"/>
    <col min="3588" max="3588" width="2.28515625" style="33" customWidth="1"/>
    <col min="3589" max="3837" width="11.42578125" style="33"/>
    <col min="3838" max="3838" width="4.85546875" style="33" customWidth="1"/>
    <col min="3839" max="3839" width="6.5703125" style="33" customWidth="1"/>
    <col min="3840" max="3840" width="29.42578125" style="33" customWidth="1"/>
    <col min="3841" max="3841" width="7.5703125" style="33" customWidth="1"/>
    <col min="3842" max="3842" width="2.28515625" style="33" customWidth="1"/>
    <col min="3843" max="3843" width="11.42578125" style="33"/>
    <col min="3844" max="3844" width="2.28515625" style="33" customWidth="1"/>
    <col min="3845" max="4093" width="11.42578125" style="33"/>
    <col min="4094" max="4094" width="4.85546875" style="33" customWidth="1"/>
    <col min="4095" max="4095" width="6.5703125" style="33" customWidth="1"/>
    <col min="4096" max="4096" width="29.42578125" style="33" customWidth="1"/>
    <col min="4097" max="4097" width="7.5703125" style="33" customWidth="1"/>
    <col min="4098" max="4098" width="2.28515625" style="33" customWidth="1"/>
    <col min="4099" max="4099" width="11.42578125" style="33"/>
    <col min="4100" max="4100" width="2.28515625" style="33" customWidth="1"/>
    <col min="4101" max="4349" width="11.42578125" style="33"/>
    <col min="4350" max="4350" width="4.85546875" style="33" customWidth="1"/>
    <col min="4351" max="4351" width="6.5703125" style="33" customWidth="1"/>
    <col min="4352" max="4352" width="29.42578125" style="33" customWidth="1"/>
    <col min="4353" max="4353" width="7.5703125" style="33" customWidth="1"/>
    <col min="4354" max="4354" width="2.28515625" style="33" customWidth="1"/>
    <col min="4355" max="4355" width="11.42578125" style="33"/>
    <col min="4356" max="4356" width="2.28515625" style="33" customWidth="1"/>
    <col min="4357" max="4605" width="11.42578125" style="33"/>
    <col min="4606" max="4606" width="4.85546875" style="33" customWidth="1"/>
    <col min="4607" max="4607" width="6.5703125" style="33" customWidth="1"/>
    <col min="4608" max="4608" width="29.42578125" style="33" customWidth="1"/>
    <col min="4609" max="4609" width="7.5703125" style="33" customWidth="1"/>
    <col min="4610" max="4610" width="2.28515625" style="33" customWidth="1"/>
    <col min="4611" max="4611" width="11.42578125" style="33"/>
    <col min="4612" max="4612" width="2.28515625" style="33" customWidth="1"/>
    <col min="4613" max="4861" width="11.42578125" style="33"/>
    <col min="4862" max="4862" width="4.85546875" style="33" customWidth="1"/>
    <col min="4863" max="4863" width="6.5703125" style="33" customWidth="1"/>
    <col min="4864" max="4864" width="29.42578125" style="33" customWidth="1"/>
    <col min="4865" max="4865" width="7.5703125" style="33" customWidth="1"/>
    <col min="4866" max="4866" width="2.28515625" style="33" customWidth="1"/>
    <col min="4867" max="4867" width="11.42578125" style="33"/>
    <col min="4868" max="4868" width="2.28515625" style="33" customWidth="1"/>
    <col min="4869" max="5117" width="11.42578125" style="33"/>
    <col min="5118" max="5118" width="4.85546875" style="33" customWidth="1"/>
    <col min="5119" max="5119" width="6.5703125" style="33" customWidth="1"/>
    <col min="5120" max="5120" width="29.42578125" style="33" customWidth="1"/>
    <col min="5121" max="5121" width="7.5703125" style="33" customWidth="1"/>
    <col min="5122" max="5122" width="2.28515625" style="33" customWidth="1"/>
    <col min="5123" max="5123" width="11.42578125" style="33"/>
    <col min="5124" max="5124" width="2.28515625" style="33" customWidth="1"/>
    <col min="5125" max="5373" width="11.42578125" style="33"/>
    <col min="5374" max="5374" width="4.85546875" style="33" customWidth="1"/>
    <col min="5375" max="5375" width="6.5703125" style="33" customWidth="1"/>
    <col min="5376" max="5376" width="29.42578125" style="33" customWidth="1"/>
    <col min="5377" max="5377" width="7.5703125" style="33" customWidth="1"/>
    <col min="5378" max="5378" width="2.28515625" style="33" customWidth="1"/>
    <col min="5379" max="5379" width="11.42578125" style="33"/>
    <col min="5380" max="5380" width="2.28515625" style="33" customWidth="1"/>
    <col min="5381" max="5629" width="11.42578125" style="33"/>
    <col min="5630" max="5630" width="4.85546875" style="33" customWidth="1"/>
    <col min="5631" max="5631" width="6.5703125" style="33" customWidth="1"/>
    <col min="5632" max="5632" width="29.42578125" style="33" customWidth="1"/>
    <col min="5633" max="5633" width="7.5703125" style="33" customWidth="1"/>
    <col min="5634" max="5634" width="2.28515625" style="33" customWidth="1"/>
    <col min="5635" max="5635" width="11.42578125" style="33"/>
    <col min="5636" max="5636" width="2.28515625" style="33" customWidth="1"/>
    <col min="5637" max="5885" width="11.42578125" style="33"/>
    <col min="5886" max="5886" width="4.85546875" style="33" customWidth="1"/>
    <col min="5887" max="5887" width="6.5703125" style="33" customWidth="1"/>
    <col min="5888" max="5888" width="29.42578125" style="33" customWidth="1"/>
    <col min="5889" max="5889" width="7.5703125" style="33" customWidth="1"/>
    <col min="5890" max="5890" width="2.28515625" style="33" customWidth="1"/>
    <col min="5891" max="5891" width="11.42578125" style="33"/>
    <col min="5892" max="5892" width="2.28515625" style="33" customWidth="1"/>
    <col min="5893" max="6141" width="11.42578125" style="33"/>
    <col min="6142" max="6142" width="4.85546875" style="33" customWidth="1"/>
    <col min="6143" max="6143" width="6.5703125" style="33" customWidth="1"/>
    <col min="6144" max="6144" width="29.42578125" style="33" customWidth="1"/>
    <col min="6145" max="6145" width="7.5703125" style="33" customWidth="1"/>
    <col min="6146" max="6146" width="2.28515625" style="33" customWidth="1"/>
    <col min="6147" max="6147" width="11.42578125" style="33"/>
    <col min="6148" max="6148" width="2.28515625" style="33" customWidth="1"/>
    <col min="6149" max="6397" width="11.42578125" style="33"/>
    <col min="6398" max="6398" width="4.85546875" style="33" customWidth="1"/>
    <col min="6399" max="6399" width="6.5703125" style="33" customWidth="1"/>
    <col min="6400" max="6400" width="29.42578125" style="33" customWidth="1"/>
    <col min="6401" max="6401" width="7.5703125" style="33" customWidth="1"/>
    <col min="6402" max="6402" width="2.28515625" style="33" customWidth="1"/>
    <col min="6403" max="6403" width="11.42578125" style="33"/>
    <col min="6404" max="6404" width="2.28515625" style="33" customWidth="1"/>
    <col min="6405" max="6653" width="11.42578125" style="33"/>
    <col min="6654" max="6654" width="4.85546875" style="33" customWidth="1"/>
    <col min="6655" max="6655" width="6.5703125" style="33" customWidth="1"/>
    <col min="6656" max="6656" width="29.42578125" style="33" customWidth="1"/>
    <col min="6657" max="6657" width="7.5703125" style="33" customWidth="1"/>
    <col min="6658" max="6658" width="2.28515625" style="33" customWidth="1"/>
    <col min="6659" max="6659" width="11.42578125" style="33"/>
    <col min="6660" max="6660" width="2.28515625" style="33" customWidth="1"/>
    <col min="6661" max="6909" width="11.42578125" style="33"/>
    <col min="6910" max="6910" width="4.85546875" style="33" customWidth="1"/>
    <col min="6911" max="6911" width="6.5703125" style="33" customWidth="1"/>
    <col min="6912" max="6912" width="29.42578125" style="33" customWidth="1"/>
    <col min="6913" max="6913" width="7.5703125" style="33" customWidth="1"/>
    <col min="6914" max="6914" width="2.28515625" style="33" customWidth="1"/>
    <col min="6915" max="6915" width="11.42578125" style="33"/>
    <col min="6916" max="6916" width="2.28515625" style="33" customWidth="1"/>
    <col min="6917" max="7165" width="11.42578125" style="33"/>
    <col min="7166" max="7166" width="4.85546875" style="33" customWidth="1"/>
    <col min="7167" max="7167" width="6.5703125" style="33" customWidth="1"/>
    <col min="7168" max="7168" width="29.42578125" style="33" customWidth="1"/>
    <col min="7169" max="7169" width="7.5703125" style="33" customWidth="1"/>
    <col min="7170" max="7170" width="2.28515625" style="33" customWidth="1"/>
    <col min="7171" max="7171" width="11.42578125" style="33"/>
    <col min="7172" max="7172" width="2.28515625" style="33" customWidth="1"/>
    <col min="7173" max="7421" width="11.42578125" style="33"/>
    <col min="7422" max="7422" width="4.85546875" style="33" customWidth="1"/>
    <col min="7423" max="7423" width="6.5703125" style="33" customWidth="1"/>
    <col min="7424" max="7424" width="29.42578125" style="33" customWidth="1"/>
    <col min="7425" max="7425" width="7.5703125" style="33" customWidth="1"/>
    <col min="7426" max="7426" width="2.28515625" style="33" customWidth="1"/>
    <col min="7427" max="7427" width="11.42578125" style="33"/>
    <col min="7428" max="7428" width="2.28515625" style="33" customWidth="1"/>
    <col min="7429" max="7677" width="11.42578125" style="33"/>
    <col min="7678" max="7678" width="4.85546875" style="33" customWidth="1"/>
    <col min="7679" max="7679" width="6.5703125" style="33" customWidth="1"/>
    <col min="7680" max="7680" width="29.42578125" style="33" customWidth="1"/>
    <col min="7681" max="7681" width="7.5703125" style="33" customWidth="1"/>
    <col min="7682" max="7682" width="2.28515625" style="33" customWidth="1"/>
    <col min="7683" max="7683" width="11.42578125" style="33"/>
    <col min="7684" max="7684" width="2.28515625" style="33" customWidth="1"/>
    <col min="7685" max="7933" width="11.42578125" style="33"/>
    <col min="7934" max="7934" width="4.85546875" style="33" customWidth="1"/>
    <col min="7935" max="7935" width="6.5703125" style="33" customWidth="1"/>
    <col min="7936" max="7936" width="29.42578125" style="33" customWidth="1"/>
    <col min="7937" max="7937" width="7.5703125" style="33" customWidth="1"/>
    <col min="7938" max="7938" width="2.28515625" style="33" customWidth="1"/>
    <col min="7939" max="7939" width="11.42578125" style="33"/>
    <col min="7940" max="7940" width="2.28515625" style="33" customWidth="1"/>
    <col min="7941" max="8189" width="11.42578125" style="33"/>
    <col min="8190" max="8190" width="4.85546875" style="33" customWidth="1"/>
    <col min="8191" max="8191" width="6.5703125" style="33" customWidth="1"/>
    <col min="8192" max="8192" width="29.42578125" style="33" customWidth="1"/>
    <col min="8193" max="8193" width="7.5703125" style="33" customWidth="1"/>
    <col min="8194" max="8194" width="2.28515625" style="33" customWidth="1"/>
    <col min="8195" max="8195" width="11.42578125" style="33"/>
    <col min="8196" max="8196" width="2.28515625" style="33" customWidth="1"/>
    <col min="8197" max="8445" width="11.42578125" style="33"/>
    <col min="8446" max="8446" width="4.85546875" style="33" customWidth="1"/>
    <col min="8447" max="8447" width="6.5703125" style="33" customWidth="1"/>
    <col min="8448" max="8448" width="29.42578125" style="33" customWidth="1"/>
    <col min="8449" max="8449" width="7.5703125" style="33" customWidth="1"/>
    <col min="8450" max="8450" width="2.28515625" style="33" customWidth="1"/>
    <col min="8451" max="8451" width="11.42578125" style="33"/>
    <col min="8452" max="8452" width="2.28515625" style="33" customWidth="1"/>
    <col min="8453" max="8701" width="11.42578125" style="33"/>
    <col min="8702" max="8702" width="4.85546875" style="33" customWidth="1"/>
    <col min="8703" max="8703" width="6.5703125" style="33" customWidth="1"/>
    <col min="8704" max="8704" width="29.42578125" style="33" customWidth="1"/>
    <col min="8705" max="8705" width="7.5703125" style="33" customWidth="1"/>
    <col min="8706" max="8706" width="2.28515625" style="33" customWidth="1"/>
    <col min="8707" max="8707" width="11.42578125" style="33"/>
    <col min="8708" max="8708" width="2.28515625" style="33" customWidth="1"/>
    <col min="8709" max="8957" width="11.42578125" style="33"/>
    <col min="8958" max="8958" width="4.85546875" style="33" customWidth="1"/>
    <col min="8959" max="8959" width="6.5703125" style="33" customWidth="1"/>
    <col min="8960" max="8960" width="29.42578125" style="33" customWidth="1"/>
    <col min="8961" max="8961" width="7.5703125" style="33" customWidth="1"/>
    <col min="8962" max="8962" width="2.28515625" style="33" customWidth="1"/>
    <col min="8963" max="8963" width="11.42578125" style="33"/>
    <col min="8964" max="8964" width="2.28515625" style="33" customWidth="1"/>
    <col min="8965" max="9213" width="11.42578125" style="33"/>
    <col min="9214" max="9214" width="4.85546875" style="33" customWidth="1"/>
    <col min="9215" max="9215" width="6.5703125" style="33" customWidth="1"/>
    <col min="9216" max="9216" width="29.42578125" style="33" customWidth="1"/>
    <col min="9217" max="9217" width="7.5703125" style="33" customWidth="1"/>
    <col min="9218" max="9218" width="2.28515625" style="33" customWidth="1"/>
    <col min="9219" max="9219" width="11.42578125" style="33"/>
    <col min="9220" max="9220" width="2.28515625" style="33" customWidth="1"/>
    <col min="9221" max="9469" width="11.42578125" style="33"/>
    <col min="9470" max="9470" width="4.85546875" style="33" customWidth="1"/>
    <col min="9471" max="9471" width="6.5703125" style="33" customWidth="1"/>
    <col min="9472" max="9472" width="29.42578125" style="33" customWidth="1"/>
    <col min="9473" max="9473" width="7.5703125" style="33" customWidth="1"/>
    <col min="9474" max="9474" width="2.28515625" style="33" customWidth="1"/>
    <col min="9475" max="9475" width="11.42578125" style="33"/>
    <col min="9476" max="9476" width="2.28515625" style="33" customWidth="1"/>
    <col min="9477" max="9725" width="11.42578125" style="33"/>
    <col min="9726" max="9726" width="4.85546875" style="33" customWidth="1"/>
    <col min="9727" max="9727" width="6.5703125" style="33" customWidth="1"/>
    <col min="9728" max="9728" width="29.42578125" style="33" customWidth="1"/>
    <col min="9729" max="9729" width="7.5703125" style="33" customWidth="1"/>
    <col min="9730" max="9730" width="2.28515625" style="33" customWidth="1"/>
    <col min="9731" max="9731" width="11.42578125" style="33"/>
    <col min="9732" max="9732" width="2.28515625" style="33" customWidth="1"/>
    <col min="9733" max="9981" width="11.42578125" style="33"/>
    <col min="9982" max="9982" width="4.85546875" style="33" customWidth="1"/>
    <col min="9983" max="9983" width="6.5703125" style="33" customWidth="1"/>
    <col min="9984" max="9984" width="29.42578125" style="33" customWidth="1"/>
    <col min="9985" max="9985" width="7.5703125" style="33" customWidth="1"/>
    <col min="9986" max="9986" width="2.28515625" style="33" customWidth="1"/>
    <col min="9987" max="9987" width="11.42578125" style="33"/>
    <col min="9988" max="9988" width="2.28515625" style="33" customWidth="1"/>
    <col min="9989" max="10237" width="11.42578125" style="33"/>
    <col min="10238" max="10238" width="4.85546875" style="33" customWidth="1"/>
    <col min="10239" max="10239" width="6.5703125" style="33" customWidth="1"/>
    <col min="10240" max="10240" width="29.42578125" style="33" customWidth="1"/>
    <col min="10241" max="10241" width="7.5703125" style="33" customWidth="1"/>
    <col min="10242" max="10242" width="2.28515625" style="33" customWidth="1"/>
    <col min="10243" max="10243" width="11.42578125" style="33"/>
    <col min="10244" max="10244" width="2.28515625" style="33" customWidth="1"/>
    <col min="10245" max="10493" width="11.42578125" style="33"/>
    <col min="10494" max="10494" width="4.85546875" style="33" customWidth="1"/>
    <col min="10495" max="10495" width="6.5703125" style="33" customWidth="1"/>
    <col min="10496" max="10496" width="29.42578125" style="33" customWidth="1"/>
    <col min="10497" max="10497" width="7.5703125" style="33" customWidth="1"/>
    <col min="10498" max="10498" width="2.28515625" style="33" customWidth="1"/>
    <col min="10499" max="10499" width="11.42578125" style="33"/>
    <col min="10500" max="10500" width="2.28515625" style="33" customWidth="1"/>
    <col min="10501" max="10749" width="11.42578125" style="33"/>
    <col min="10750" max="10750" width="4.85546875" style="33" customWidth="1"/>
    <col min="10751" max="10751" width="6.5703125" style="33" customWidth="1"/>
    <col min="10752" max="10752" width="29.42578125" style="33" customWidth="1"/>
    <col min="10753" max="10753" width="7.5703125" style="33" customWidth="1"/>
    <col min="10754" max="10754" width="2.28515625" style="33" customWidth="1"/>
    <col min="10755" max="10755" width="11.42578125" style="33"/>
    <col min="10756" max="10756" width="2.28515625" style="33" customWidth="1"/>
    <col min="10757" max="11005" width="11.42578125" style="33"/>
    <col min="11006" max="11006" width="4.85546875" style="33" customWidth="1"/>
    <col min="11007" max="11007" width="6.5703125" style="33" customWidth="1"/>
    <col min="11008" max="11008" width="29.42578125" style="33" customWidth="1"/>
    <col min="11009" max="11009" width="7.5703125" style="33" customWidth="1"/>
    <col min="11010" max="11010" width="2.28515625" style="33" customWidth="1"/>
    <col min="11011" max="11011" width="11.42578125" style="33"/>
    <col min="11012" max="11012" width="2.28515625" style="33" customWidth="1"/>
    <col min="11013" max="11261" width="11.42578125" style="33"/>
    <col min="11262" max="11262" width="4.85546875" style="33" customWidth="1"/>
    <col min="11263" max="11263" width="6.5703125" style="33" customWidth="1"/>
    <col min="11264" max="11264" width="29.42578125" style="33" customWidth="1"/>
    <col min="11265" max="11265" width="7.5703125" style="33" customWidth="1"/>
    <col min="11266" max="11266" width="2.28515625" style="33" customWidth="1"/>
    <col min="11267" max="11267" width="11.42578125" style="33"/>
    <col min="11268" max="11268" width="2.28515625" style="33" customWidth="1"/>
    <col min="11269" max="11517" width="11.42578125" style="33"/>
    <col min="11518" max="11518" width="4.85546875" style="33" customWidth="1"/>
    <col min="11519" max="11519" width="6.5703125" style="33" customWidth="1"/>
    <col min="11520" max="11520" width="29.42578125" style="33" customWidth="1"/>
    <col min="11521" max="11521" width="7.5703125" style="33" customWidth="1"/>
    <col min="11522" max="11522" width="2.28515625" style="33" customWidth="1"/>
    <col min="11523" max="11523" width="11.42578125" style="33"/>
    <col min="11524" max="11524" width="2.28515625" style="33" customWidth="1"/>
    <col min="11525" max="11773" width="11.42578125" style="33"/>
    <col min="11774" max="11774" width="4.85546875" style="33" customWidth="1"/>
    <col min="11775" max="11775" width="6.5703125" style="33" customWidth="1"/>
    <col min="11776" max="11776" width="29.42578125" style="33" customWidth="1"/>
    <col min="11777" max="11777" width="7.5703125" style="33" customWidth="1"/>
    <col min="11778" max="11778" width="2.28515625" style="33" customWidth="1"/>
    <col min="11779" max="11779" width="11.42578125" style="33"/>
    <col min="11780" max="11780" width="2.28515625" style="33" customWidth="1"/>
    <col min="11781" max="12029" width="11.42578125" style="33"/>
    <col min="12030" max="12030" width="4.85546875" style="33" customWidth="1"/>
    <col min="12031" max="12031" width="6.5703125" style="33" customWidth="1"/>
    <col min="12032" max="12032" width="29.42578125" style="33" customWidth="1"/>
    <col min="12033" max="12033" width="7.5703125" style="33" customWidth="1"/>
    <col min="12034" max="12034" width="2.28515625" style="33" customWidth="1"/>
    <col min="12035" max="12035" width="11.42578125" style="33"/>
    <col min="12036" max="12036" width="2.28515625" style="33" customWidth="1"/>
    <col min="12037" max="12285" width="11.42578125" style="33"/>
    <col min="12286" max="12286" width="4.85546875" style="33" customWidth="1"/>
    <col min="12287" max="12287" width="6.5703125" style="33" customWidth="1"/>
    <col min="12288" max="12288" width="29.42578125" style="33" customWidth="1"/>
    <col min="12289" max="12289" width="7.5703125" style="33" customWidth="1"/>
    <col min="12290" max="12290" width="2.28515625" style="33" customWidth="1"/>
    <col min="12291" max="12291" width="11.42578125" style="33"/>
    <col min="12292" max="12292" width="2.28515625" style="33" customWidth="1"/>
    <col min="12293" max="12541" width="11.42578125" style="33"/>
    <col min="12542" max="12542" width="4.85546875" style="33" customWidth="1"/>
    <col min="12543" max="12543" width="6.5703125" style="33" customWidth="1"/>
    <col min="12544" max="12544" width="29.42578125" style="33" customWidth="1"/>
    <col min="12545" max="12545" width="7.5703125" style="33" customWidth="1"/>
    <col min="12546" max="12546" width="2.28515625" style="33" customWidth="1"/>
    <col min="12547" max="12547" width="11.42578125" style="33"/>
    <col min="12548" max="12548" width="2.28515625" style="33" customWidth="1"/>
    <col min="12549" max="12797" width="11.42578125" style="33"/>
    <col min="12798" max="12798" width="4.85546875" style="33" customWidth="1"/>
    <col min="12799" max="12799" width="6.5703125" style="33" customWidth="1"/>
    <col min="12800" max="12800" width="29.42578125" style="33" customWidth="1"/>
    <col min="12801" max="12801" width="7.5703125" style="33" customWidth="1"/>
    <col min="12802" max="12802" width="2.28515625" style="33" customWidth="1"/>
    <col min="12803" max="12803" width="11.42578125" style="33"/>
    <col min="12804" max="12804" width="2.28515625" style="33" customWidth="1"/>
    <col min="12805" max="13053" width="11.42578125" style="33"/>
    <col min="13054" max="13054" width="4.85546875" style="33" customWidth="1"/>
    <col min="13055" max="13055" width="6.5703125" style="33" customWidth="1"/>
    <col min="13056" max="13056" width="29.42578125" style="33" customWidth="1"/>
    <col min="13057" max="13057" width="7.5703125" style="33" customWidth="1"/>
    <col min="13058" max="13058" width="2.28515625" style="33" customWidth="1"/>
    <col min="13059" max="13059" width="11.42578125" style="33"/>
    <col min="13060" max="13060" width="2.28515625" style="33" customWidth="1"/>
    <col min="13061" max="13309" width="11.42578125" style="33"/>
    <col min="13310" max="13310" width="4.85546875" style="33" customWidth="1"/>
    <col min="13311" max="13311" width="6.5703125" style="33" customWidth="1"/>
    <col min="13312" max="13312" width="29.42578125" style="33" customWidth="1"/>
    <col min="13313" max="13313" width="7.5703125" style="33" customWidth="1"/>
    <col min="13314" max="13314" width="2.28515625" style="33" customWidth="1"/>
    <col min="13315" max="13315" width="11.42578125" style="33"/>
    <col min="13316" max="13316" width="2.28515625" style="33" customWidth="1"/>
    <col min="13317" max="13565" width="11.42578125" style="33"/>
    <col min="13566" max="13566" width="4.85546875" style="33" customWidth="1"/>
    <col min="13567" max="13567" width="6.5703125" style="33" customWidth="1"/>
    <col min="13568" max="13568" width="29.42578125" style="33" customWidth="1"/>
    <col min="13569" max="13569" width="7.5703125" style="33" customWidth="1"/>
    <col min="13570" max="13570" width="2.28515625" style="33" customWidth="1"/>
    <col min="13571" max="13571" width="11.42578125" style="33"/>
    <col min="13572" max="13572" width="2.28515625" style="33" customWidth="1"/>
    <col min="13573" max="13821" width="11.42578125" style="33"/>
    <col min="13822" max="13822" width="4.85546875" style="33" customWidth="1"/>
    <col min="13823" max="13823" width="6.5703125" style="33" customWidth="1"/>
    <col min="13824" max="13824" width="29.42578125" style="33" customWidth="1"/>
    <col min="13825" max="13825" width="7.5703125" style="33" customWidth="1"/>
    <col min="13826" max="13826" width="2.28515625" style="33" customWidth="1"/>
    <col min="13827" max="13827" width="11.42578125" style="33"/>
    <col min="13828" max="13828" width="2.28515625" style="33" customWidth="1"/>
    <col min="13829" max="14077" width="11.42578125" style="33"/>
    <col min="14078" max="14078" width="4.85546875" style="33" customWidth="1"/>
    <col min="14079" max="14079" width="6.5703125" style="33" customWidth="1"/>
    <col min="14080" max="14080" width="29.42578125" style="33" customWidth="1"/>
    <col min="14081" max="14081" width="7.5703125" style="33" customWidth="1"/>
    <col min="14082" max="14082" width="2.28515625" style="33" customWidth="1"/>
    <col min="14083" max="14083" width="11.42578125" style="33"/>
    <col min="14084" max="14084" width="2.28515625" style="33" customWidth="1"/>
    <col min="14085" max="14333" width="11.42578125" style="33"/>
    <col min="14334" max="14334" width="4.85546875" style="33" customWidth="1"/>
    <col min="14335" max="14335" width="6.5703125" style="33" customWidth="1"/>
    <col min="14336" max="14336" width="29.42578125" style="33" customWidth="1"/>
    <col min="14337" max="14337" width="7.5703125" style="33" customWidth="1"/>
    <col min="14338" max="14338" width="2.28515625" style="33" customWidth="1"/>
    <col min="14339" max="14339" width="11.42578125" style="33"/>
    <col min="14340" max="14340" width="2.28515625" style="33" customWidth="1"/>
    <col min="14341" max="14589" width="11.42578125" style="33"/>
    <col min="14590" max="14590" width="4.85546875" style="33" customWidth="1"/>
    <col min="14591" max="14591" width="6.5703125" style="33" customWidth="1"/>
    <col min="14592" max="14592" width="29.42578125" style="33" customWidth="1"/>
    <col min="14593" max="14593" width="7.5703125" style="33" customWidth="1"/>
    <col min="14594" max="14594" width="2.28515625" style="33" customWidth="1"/>
    <col min="14595" max="14595" width="11.42578125" style="33"/>
    <col min="14596" max="14596" width="2.28515625" style="33" customWidth="1"/>
    <col min="14597" max="14845" width="11.42578125" style="33"/>
    <col min="14846" max="14846" width="4.85546875" style="33" customWidth="1"/>
    <col min="14847" max="14847" width="6.5703125" style="33" customWidth="1"/>
    <col min="14848" max="14848" width="29.42578125" style="33" customWidth="1"/>
    <col min="14849" max="14849" width="7.5703125" style="33" customWidth="1"/>
    <col min="14850" max="14850" width="2.28515625" style="33" customWidth="1"/>
    <col min="14851" max="14851" width="11.42578125" style="33"/>
    <col min="14852" max="14852" width="2.28515625" style="33" customWidth="1"/>
    <col min="14853" max="15101" width="11.42578125" style="33"/>
    <col min="15102" max="15102" width="4.85546875" style="33" customWidth="1"/>
    <col min="15103" max="15103" width="6.5703125" style="33" customWidth="1"/>
    <col min="15104" max="15104" width="29.42578125" style="33" customWidth="1"/>
    <col min="15105" max="15105" width="7.5703125" style="33" customWidth="1"/>
    <col min="15106" max="15106" width="2.28515625" style="33" customWidth="1"/>
    <col min="15107" max="15107" width="11.42578125" style="33"/>
    <col min="15108" max="15108" width="2.28515625" style="33" customWidth="1"/>
    <col min="15109" max="15357" width="11.42578125" style="33"/>
    <col min="15358" max="15358" width="4.85546875" style="33" customWidth="1"/>
    <col min="15359" max="15359" width="6.5703125" style="33" customWidth="1"/>
    <col min="15360" max="15360" width="29.42578125" style="33" customWidth="1"/>
    <col min="15361" max="15361" width="7.5703125" style="33" customWidth="1"/>
    <col min="15362" max="15362" width="2.28515625" style="33" customWidth="1"/>
    <col min="15363" max="15363" width="11.42578125" style="33"/>
    <col min="15364" max="15364" width="2.28515625" style="33" customWidth="1"/>
    <col min="15365" max="15613" width="11.42578125" style="33"/>
    <col min="15614" max="15614" width="4.85546875" style="33" customWidth="1"/>
    <col min="15615" max="15615" width="6.5703125" style="33" customWidth="1"/>
    <col min="15616" max="15616" width="29.42578125" style="33" customWidth="1"/>
    <col min="15617" max="15617" width="7.5703125" style="33" customWidth="1"/>
    <col min="15618" max="15618" width="2.28515625" style="33" customWidth="1"/>
    <col min="15619" max="15619" width="11.42578125" style="33"/>
    <col min="15620" max="15620" width="2.28515625" style="33" customWidth="1"/>
    <col min="15621" max="15869" width="11.42578125" style="33"/>
    <col min="15870" max="15870" width="4.85546875" style="33" customWidth="1"/>
    <col min="15871" max="15871" width="6.5703125" style="33" customWidth="1"/>
    <col min="15872" max="15872" width="29.42578125" style="33" customWidth="1"/>
    <col min="15873" max="15873" width="7.5703125" style="33" customWidth="1"/>
    <col min="15874" max="15874" width="2.28515625" style="33" customWidth="1"/>
    <col min="15875" max="15875" width="11.42578125" style="33"/>
    <col min="15876" max="15876" width="2.28515625" style="33" customWidth="1"/>
    <col min="15877" max="16125" width="11.42578125" style="33"/>
    <col min="16126" max="16126" width="4.85546875" style="33" customWidth="1"/>
    <col min="16127" max="16127" width="6.5703125" style="33" customWidth="1"/>
    <col min="16128" max="16128" width="29.42578125" style="33" customWidth="1"/>
    <col min="16129" max="16129" width="7.5703125" style="33" customWidth="1"/>
    <col min="16130" max="16130" width="2.28515625" style="33" customWidth="1"/>
    <col min="16131" max="16131" width="11.42578125" style="33"/>
    <col min="16132" max="16132" width="2.28515625" style="33" customWidth="1"/>
    <col min="16133" max="16384" width="11.42578125" style="33"/>
  </cols>
  <sheetData>
    <row r="1" spans="1:11" s="54" customFormat="1" ht="15.75" x14ac:dyDescent="0.25">
      <c r="B1" s="56" t="s">
        <v>91</v>
      </c>
      <c r="C1" s="63"/>
      <c r="D1" s="57" t="s">
        <v>32</v>
      </c>
      <c r="E1" s="57" t="s">
        <v>33</v>
      </c>
    </row>
    <row r="2" spans="1:11" ht="15" x14ac:dyDescent="0.25">
      <c r="B2" s="38" t="s">
        <v>47</v>
      </c>
      <c r="C2" s="37"/>
      <c r="D2" s="39"/>
      <c r="E2" s="39"/>
    </row>
    <row r="3" spans="1:11" ht="15" x14ac:dyDescent="0.25">
      <c r="B3" s="38" t="s">
        <v>16</v>
      </c>
      <c r="C3" s="37"/>
      <c r="D3" s="39"/>
      <c r="E3" s="39"/>
    </row>
    <row r="4" spans="1:11" ht="15" x14ac:dyDescent="0.25">
      <c r="B4" s="37" t="s">
        <v>90</v>
      </c>
      <c r="C4" s="37"/>
      <c r="D4" s="39">
        <v>4800</v>
      </c>
      <c r="E4" s="39">
        <v>5000</v>
      </c>
    </row>
    <row r="5" spans="1:11" ht="15" x14ac:dyDescent="0.25">
      <c r="B5" s="37" t="s">
        <v>92</v>
      </c>
      <c r="C5" s="37"/>
      <c r="D5" s="40">
        <v>1825</v>
      </c>
      <c r="E5" s="40">
        <v>1550</v>
      </c>
    </row>
    <row r="6" spans="1:11" s="43" customFormat="1" ht="20.25" x14ac:dyDescent="0.3">
      <c r="B6" s="41" t="s">
        <v>5</v>
      </c>
      <c r="C6" s="32"/>
      <c r="D6" s="42">
        <f>SUM(D4:D5)</f>
        <v>6625</v>
      </c>
      <c r="E6" s="42">
        <f>SUM(E4:E5)</f>
        <v>6550</v>
      </c>
    </row>
    <row r="7" spans="1:11" x14ac:dyDescent="0.2">
      <c r="B7" s="44"/>
      <c r="C7" s="44"/>
      <c r="D7" s="45"/>
      <c r="E7" s="45"/>
    </row>
    <row r="8" spans="1:11" ht="15" x14ac:dyDescent="0.25">
      <c r="B8" s="38" t="s">
        <v>17</v>
      </c>
      <c r="C8" s="37"/>
      <c r="D8" s="39"/>
      <c r="E8" s="39"/>
    </row>
    <row r="9" spans="1:11" ht="15" x14ac:dyDescent="0.25">
      <c r="B9" s="37" t="s">
        <v>48</v>
      </c>
      <c r="C9" s="37"/>
      <c r="D9" s="39">
        <v>2250</v>
      </c>
      <c r="E9" s="39">
        <v>2200</v>
      </c>
    </row>
    <row r="10" spans="1:11" ht="15" x14ac:dyDescent="0.25">
      <c r="B10" s="37" t="s">
        <v>3</v>
      </c>
      <c r="C10" s="37"/>
      <c r="D10" s="39">
        <v>2120</v>
      </c>
      <c r="E10" s="39">
        <v>1960</v>
      </c>
    </row>
    <row r="11" spans="1:11" ht="15" x14ac:dyDescent="0.25">
      <c r="B11" s="37" t="s">
        <v>93</v>
      </c>
      <c r="C11" s="37"/>
      <c r="D11" s="39">
        <v>175</v>
      </c>
      <c r="E11" s="39">
        <v>175</v>
      </c>
    </row>
    <row r="12" spans="1:11" ht="15" x14ac:dyDescent="0.25">
      <c r="B12" s="37" t="s">
        <v>4</v>
      </c>
      <c r="C12" s="37"/>
      <c r="D12" s="39">
        <v>440</v>
      </c>
      <c r="E12" s="39">
        <v>250</v>
      </c>
    </row>
    <row r="13" spans="1:11" s="43" customFormat="1" ht="20.25" x14ac:dyDescent="0.3">
      <c r="A13" s="46"/>
      <c r="B13" s="41" t="s">
        <v>23</v>
      </c>
      <c r="C13" s="37"/>
      <c r="D13" s="42">
        <f>SUM(D9:D12)</f>
        <v>4985</v>
      </c>
      <c r="E13" s="42">
        <f>SUM(E9:E12)</f>
        <v>4585</v>
      </c>
      <c r="F13" s="46"/>
      <c r="G13" s="46"/>
      <c r="H13" s="46"/>
      <c r="I13" s="46"/>
      <c r="J13" s="46"/>
      <c r="K13" s="46"/>
    </row>
    <row r="14" spans="1:11" x14ac:dyDescent="0.2">
      <c r="B14" s="47"/>
      <c r="C14" s="34"/>
      <c r="D14" s="48"/>
      <c r="E14" s="48"/>
    </row>
    <row r="15" spans="1:11" ht="15" x14ac:dyDescent="0.25">
      <c r="B15" s="41" t="s">
        <v>49</v>
      </c>
      <c r="C15" s="37"/>
      <c r="D15" s="64">
        <f>D6+D13</f>
        <v>11610</v>
      </c>
      <c r="E15" s="64">
        <f>E6+E13</f>
        <v>11135</v>
      </c>
    </row>
    <row r="16" spans="1:11" ht="15" x14ac:dyDescent="0.25">
      <c r="B16" s="37"/>
      <c r="C16" s="37"/>
      <c r="D16" s="39"/>
      <c r="E16" s="39"/>
    </row>
    <row r="17" spans="1:16" ht="15" x14ac:dyDescent="0.25">
      <c r="B17" s="38" t="s">
        <v>50</v>
      </c>
      <c r="C17" s="37"/>
      <c r="D17" s="39"/>
      <c r="E17" s="39"/>
    </row>
    <row r="18" spans="1:16" ht="15" x14ac:dyDescent="0.25">
      <c r="B18" s="38" t="s">
        <v>8</v>
      </c>
      <c r="C18" s="37"/>
      <c r="D18" s="39"/>
      <c r="E18" s="39"/>
    </row>
    <row r="19" spans="1:16" ht="15" x14ac:dyDescent="0.25">
      <c r="B19" s="37" t="s">
        <v>34</v>
      </c>
      <c r="C19" s="37"/>
      <c r="D19" s="39">
        <v>2600</v>
      </c>
      <c r="E19" s="39">
        <v>2000</v>
      </c>
    </row>
    <row r="20" spans="1:16" ht="15" x14ac:dyDescent="0.25">
      <c r="B20" s="37" t="s">
        <v>459</v>
      </c>
      <c r="C20" s="37"/>
      <c r="D20" s="39">
        <v>300</v>
      </c>
      <c r="E20" s="39"/>
    </row>
    <row r="21" spans="1:16" ht="15" x14ac:dyDescent="0.25">
      <c r="B21" s="37" t="s">
        <v>35</v>
      </c>
      <c r="C21" s="37"/>
      <c r="D21" s="39">
        <v>1110</v>
      </c>
      <c r="E21" s="39">
        <v>900</v>
      </c>
    </row>
    <row r="22" spans="1:16" s="43" customFormat="1" ht="20.25" x14ac:dyDescent="0.3">
      <c r="A22" s="46"/>
      <c r="B22" s="41" t="s">
        <v>51</v>
      </c>
      <c r="C22" s="37"/>
      <c r="D22" s="42">
        <f>SUM(D19:D21)</f>
        <v>4010</v>
      </c>
      <c r="E22" s="42">
        <f>SUM(E19:E21)</f>
        <v>2900</v>
      </c>
      <c r="F22" s="46"/>
      <c r="G22" s="46"/>
      <c r="H22" s="46"/>
      <c r="I22" s="46"/>
      <c r="J22" s="46"/>
      <c r="K22" s="46"/>
      <c r="L22" s="46"/>
    </row>
    <row r="23" spans="1:16" x14ac:dyDescent="0.2">
      <c r="B23" s="34"/>
      <c r="C23" s="34"/>
      <c r="D23" s="35"/>
      <c r="E23" s="35"/>
    </row>
    <row r="24" spans="1:16" ht="15" x14ac:dyDescent="0.25">
      <c r="B24" s="38" t="s">
        <v>9</v>
      </c>
      <c r="C24" s="37"/>
      <c r="D24" s="39"/>
      <c r="E24" s="39"/>
    </row>
    <row r="25" spans="1:16" ht="15" x14ac:dyDescent="0.25">
      <c r="B25" s="37" t="s">
        <v>36</v>
      </c>
      <c r="C25" s="37"/>
      <c r="D25" s="39">
        <v>130</v>
      </c>
      <c r="E25" s="39">
        <v>100</v>
      </c>
    </row>
    <row r="26" spans="1:16" s="43" customFormat="1" ht="20.25" x14ac:dyDescent="0.3">
      <c r="A26" s="46"/>
      <c r="B26" s="41" t="s">
        <v>52</v>
      </c>
      <c r="C26" s="37"/>
      <c r="D26" s="42">
        <f>SUM(D25)</f>
        <v>130</v>
      </c>
      <c r="E26" s="42">
        <f>SUM(E25)</f>
        <v>100</v>
      </c>
      <c r="F26" s="46"/>
      <c r="G26" s="46"/>
      <c r="H26" s="46"/>
      <c r="I26" s="46"/>
      <c r="J26" s="46"/>
      <c r="K26" s="46"/>
      <c r="L26" s="46"/>
      <c r="M26" s="46"/>
      <c r="N26" s="46"/>
      <c r="O26" s="46"/>
      <c r="P26" s="46"/>
    </row>
    <row r="27" spans="1:16" s="43" customFormat="1" ht="20.25" x14ac:dyDescent="0.3">
      <c r="A27" s="46"/>
      <c r="B27" s="41"/>
      <c r="C27" s="37"/>
      <c r="D27" s="39"/>
      <c r="E27" s="39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</row>
    <row r="28" spans="1:16" ht="15" x14ac:dyDescent="0.25">
      <c r="A28" s="46"/>
      <c r="B28" s="37" t="s">
        <v>53</v>
      </c>
      <c r="C28" s="37"/>
      <c r="D28" s="39">
        <v>3200</v>
      </c>
      <c r="E28" s="39">
        <v>3340</v>
      </c>
      <c r="F28" s="46"/>
      <c r="G28" s="46"/>
      <c r="H28" s="46"/>
      <c r="I28" s="46"/>
      <c r="J28" s="46"/>
      <c r="K28" s="46"/>
      <c r="L28" s="46"/>
      <c r="M28" s="46"/>
      <c r="N28" s="46"/>
      <c r="O28" s="46"/>
      <c r="P28" s="46"/>
    </row>
    <row r="29" spans="1:16" s="43" customFormat="1" ht="20.25" x14ac:dyDescent="0.3">
      <c r="A29" s="46"/>
      <c r="B29" s="41" t="s">
        <v>54</v>
      </c>
      <c r="C29" s="37"/>
      <c r="D29" s="42">
        <f>SUM(D28)</f>
        <v>3200</v>
      </c>
      <c r="E29" s="42">
        <f>SUM(E28)</f>
        <v>3340</v>
      </c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</row>
    <row r="30" spans="1:16" x14ac:dyDescent="0.2">
      <c r="B30" s="34"/>
      <c r="C30" s="34"/>
      <c r="D30" s="35"/>
      <c r="E30" s="35"/>
    </row>
    <row r="31" spans="1:16" ht="15" x14ac:dyDescent="0.25">
      <c r="B31" s="37" t="s">
        <v>37</v>
      </c>
      <c r="C31" s="37"/>
      <c r="D31" s="39">
        <v>1245</v>
      </c>
      <c r="E31" s="39">
        <v>1050</v>
      </c>
    </row>
    <row r="32" spans="1:16" ht="15" x14ac:dyDescent="0.25">
      <c r="B32" s="37" t="s">
        <v>11</v>
      </c>
      <c r="C32" s="37"/>
      <c r="D32" s="39">
        <v>1680</v>
      </c>
      <c r="E32" s="39">
        <v>1920</v>
      </c>
    </row>
    <row r="33" spans="1:22" ht="15" x14ac:dyDescent="0.25">
      <c r="B33" s="37" t="s">
        <v>38</v>
      </c>
      <c r="C33" s="37"/>
      <c r="D33" s="39">
        <v>120</v>
      </c>
      <c r="E33" s="39">
        <v>520</v>
      </c>
    </row>
    <row r="34" spans="1:22" ht="15" x14ac:dyDescent="0.25">
      <c r="B34" s="37" t="s">
        <v>55</v>
      </c>
      <c r="C34" s="37"/>
      <c r="D34" s="39">
        <v>800</v>
      </c>
      <c r="E34" s="39">
        <v>745</v>
      </c>
    </row>
    <row r="35" spans="1:22" ht="15" x14ac:dyDescent="0.25">
      <c r="B35" s="37" t="s">
        <v>56</v>
      </c>
      <c r="C35" s="37"/>
      <c r="D35" s="39">
        <v>130</v>
      </c>
      <c r="E35" s="39">
        <v>300</v>
      </c>
    </row>
    <row r="36" spans="1:22" ht="15" x14ac:dyDescent="0.25">
      <c r="B36" s="37" t="s">
        <v>39</v>
      </c>
      <c r="C36" s="37"/>
      <c r="D36" s="39">
        <v>295</v>
      </c>
      <c r="E36" s="39">
        <v>260</v>
      </c>
    </row>
    <row r="37" spans="1:22" s="43" customFormat="1" ht="20.25" x14ac:dyDescent="0.3">
      <c r="A37" s="49"/>
      <c r="B37" s="41" t="s">
        <v>13</v>
      </c>
      <c r="C37" s="37"/>
      <c r="D37" s="42">
        <f>SUM(D31:D36)</f>
        <v>4270</v>
      </c>
      <c r="E37" s="42">
        <f>SUM(E31:E36)</f>
        <v>4795</v>
      </c>
      <c r="F37" s="49"/>
      <c r="G37" s="49"/>
      <c r="H37" s="49"/>
      <c r="I37" s="49"/>
      <c r="J37" s="49"/>
      <c r="K37" s="49"/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</row>
    <row r="38" spans="1:22" x14ac:dyDescent="0.2">
      <c r="B38" s="34"/>
      <c r="C38" s="34"/>
      <c r="D38" s="35"/>
      <c r="E38" s="35"/>
    </row>
    <row r="39" spans="1:22" ht="15" x14ac:dyDescent="0.25">
      <c r="B39" s="41" t="s">
        <v>57</v>
      </c>
      <c r="C39" s="37"/>
      <c r="D39" s="64">
        <f>D22+D29+D37+D26</f>
        <v>11610</v>
      </c>
      <c r="E39" s="64">
        <f>E22+E29+E37+E26</f>
        <v>11135</v>
      </c>
    </row>
  </sheetData>
  <pageMargins left="0.78740157480314965" right="0.78740157480314965" top="0.59055118110236227" bottom="0.59055118110236227" header="0.51181102362204722" footer="0.51181102362204722"/>
  <pageSetup paperSize="9" orientation="portrait" horizont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"/>
  <sheetViews>
    <sheetView workbookViewId="0"/>
  </sheetViews>
  <sheetFormatPr baseColWidth="10" defaultColWidth="9.140625" defaultRowHeight="15.75" x14ac:dyDescent="0.25"/>
  <cols>
    <col min="1" max="1" width="25.5703125" style="2" bestFit="1" customWidth="1"/>
    <col min="2" max="3" width="9.140625" style="3"/>
    <col min="4" max="4" width="9.140625" style="2"/>
    <col min="5" max="5" width="9.5703125" style="2" bestFit="1" customWidth="1"/>
    <col min="6" max="16384" width="9.140625" style="2"/>
  </cols>
  <sheetData>
    <row r="1" spans="1:13" x14ac:dyDescent="0.25">
      <c r="A1" s="7" t="s">
        <v>31</v>
      </c>
    </row>
    <row r="3" spans="1:13" x14ac:dyDescent="0.25">
      <c r="A3" s="7" t="s">
        <v>61</v>
      </c>
    </row>
    <row r="4" spans="1:13" x14ac:dyDescent="0.25">
      <c r="A4" s="7"/>
      <c r="B4" s="232" t="s">
        <v>531</v>
      </c>
      <c r="C4" s="232"/>
      <c r="D4" s="231" t="s">
        <v>532</v>
      </c>
      <c r="E4" s="231"/>
    </row>
    <row r="5" spans="1:13" x14ac:dyDescent="0.25">
      <c r="A5" s="7"/>
      <c r="B5" s="170" t="s">
        <v>32</v>
      </c>
      <c r="C5" s="170" t="s">
        <v>33</v>
      </c>
      <c r="D5" s="170" t="s">
        <v>32</v>
      </c>
      <c r="E5" s="170" t="s">
        <v>33</v>
      </c>
    </row>
    <row r="6" spans="1:13" x14ac:dyDescent="0.25">
      <c r="A6" s="2" t="s">
        <v>16</v>
      </c>
      <c r="B6" s="3">
        <v>6625</v>
      </c>
      <c r="C6" s="3">
        <v>6550</v>
      </c>
      <c r="D6" s="8">
        <f>B6/$B$8</f>
        <v>0.57062876830318687</v>
      </c>
      <c r="E6" s="8">
        <f>C6/$C$8</f>
        <v>0.58823529411764708</v>
      </c>
    </row>
    <row r="7" spans="1:13" x14ac:dyDescent="0.25">
      <c r="A7" s="2" t="s">
        <v>17</v>
      </c>
      <c r="B7" s="3">
        <v>4985</v>
      </c>
      <c r="C7" s="3">
        <v>4585</v>
      </c>
      <c r="D7" s="8">
        <f t="shared" ref="D7:D8" si="0">B7/$B$8</f>
        <v>0.42937123169681307</v>
      </c>
      <c r="E7" s="8">
        <f t="shared" ref="E7:E8" si="1">C7/$C$8</f>
        <v>0.41176470588235292</v>
      </c>
    </row>
    <row r="8" spans="1:13" s="5" customFormat="1" ht="20.25" x14ac:dyDescent="0.3">
      <c r="A8" s="2" t="s">
        <v>6</v>
      </c>
      <c r="B8" s="6">
        <v>11610</v>
      </c>
      <c r="C8" s="6">
        <v>11135</v>
      </c>
      <c r="D8" s="9">
        <f t="shared" si="0"/>
        <v>1</v>
      </c>
      <c r="E8" s="9">
        <f t="shared" si="1"/>
        <v>1</v>
      </c>
      <c r="F8" s="2"/>
      <c r="G8" s="2"/>
      <c r="H8" s="2"/>
      <c r="I8" s="2"/>
      <c r="J8" s="2"/>
      <c r="K8" s="2"/>
      <c r="L8" s="2"/>
      <c r="M8" s="2"/>
    </row>
    <row r="10" spans="1:13" x14ac:dyDescent="0.25">
      <c r="A10" s="2" t="s">
        <v>8</v>
      </c>
      <c r="B10" s="3">
        <v>4010</v>
      </c>
      <c r="C10" s="3">
        <v>2900</v>
      </c>
      <c r="D10" s="8">
        <f>B10/$B$13</f>
        <v>0.34539190353143839</v>
      </c>
      <c r="E10" s="8">
        <f>C10/$C$13</f>
        <v>0.26044005388414909</v>
      </c>
    </row>
    <row r="11" spans="1:13" x14ac:dyDescent="0.25">
      <c r="A11" s="2" t="s">
        <v>10</v>
      </c>
      <c r="B11" s="3">
        <v>3330</v>
      </c>
      <c r="C11" s="3">
        <v>3440</v>
      </c>
      <c r="D11" s="8">
        <f t="shared" ref="D11:D13" si="2">B11/$B$13</f>
        <v>0.2868217054263566</v>
      </c>
      <c r="E11" s="8">
        <f t="shared" ref="E11:E13" si="3">C11/$C$13</f>
        <v>0.30893578805568028</v>
      </c>
    </row>
    <row r="12" spans="1:13" x14ac:dyDescent="0.25">
      <c r="A12" s="2" t="s">
        <v>18</v>
      </c>
      <c r="B12" s="3">
        <v>4270</v>
      </c>
      <c r="C12" s="3">
        <v>4795</v>
      </c>
      <c r="D12" s="8">
        <f t="shared" si="2"/>
        <v>0.36778639104220501</v>
      </c>
      <c r="E12" s="8">
        <f t="shared" si="3"/>
        <v>0.43062415806017063</v>
      </c>
    </row>
    <row r="13" spans="1:13" s="5" customFormat="1" ht="20.25" x14ac:dyDescent="0.3">
      <c r="A13" s="2"/>
      <c r="B13" s="6">
        <v>11610</v>
      </c>
      <c r="C13" s="6">
        <v>11135</v>
      </c>
      <c r="D13" s="9">
        <f t="shared" si="2"/>
        <v>1</v>
      </c>
      <c r="E13" s="9">
        <f t="shared" si="3"/>
        <v>1</v>
      </c>
      <c r="F13" s="2"/>
      <c r="G13" s="2"/>
      <c r="H13" s="2"/>
      <c r="I13" s="2"/>
      <c r="J13" s="2"/>
      <c r="K13" s="2"/>
    </row>
    <row r="15" spans="1:13" x14ac:dyDescent="0.25">
      <c r="B15" s="170" t="s">
        <v>32</v>
      </c>
      <c r="C15" s="170" t="s">
        <v>33</v>
      </c>
    </row>
    <row r="16" spans="1:13" x14ac:dyDescent="0.25">
      <c r="A16" s="2" t="s">
        <v>40</v>
      </c>
      <c r="B16" s="8">
        <f>B10/B13</f>
        <v>0.34539190353143839</v>
      </c>
      <c r="C16" s="8">
        <f>C10/C13</f>
        <v>0.26044005388414909</v>
      </c>
    </row>
    <row r="17" spans="1:9" x14ac:dyDescent="0.25">
      <c r="A17" s="2" t="s">
        <v>41</v>
      </c>
      <c r="B17" s="30">
        <f>(B11+B12)/B10</f>
        <v>1.8952618453865338</v>
      </c>
      <c r="C17" s="30">
        <f>(C11+C12)/C10</f>
        <v>2.8396551724137931</v>
      </c>
    </row>
    <row r="18" spans="1:9" x14ac:dyDescent="0.25">
      <c r="A18" s="2" t="s">
        <v>42</v>
      </c>
      <c r="B18" s="3">
        <f>B7-B12</f>
        <v>715</v>
      </c>
      <c r="C18" s="3">
        <f>C7-C12</f>
        <v>-210</v>
      </c>
    </row>
    <row r="19" spans="1:9" x14ac:dyDescent="0.25">
      <c r="A19" s="2" t="s">
        <v>2</v>
      </c>
      <c r="B19" s="3">
        <v>2250</v>
      </c>
      <c r="C19" s="3">
        <v>2200</v>
      </c>
    </row>
    <row r="20" spans="1:9" x14ac:dyDescent="0.25">
      <c r="A20" s="2" t="s">
        <v>43</v>
      </c>
      <c r="B20" s="3">
        <f>B10+B11</f>
        <v>7340</v>
      </c>
      <c r="C20" s="3">
        <f>C10+C11</f>
        <v>6340</v>
      </c>
    </row>
    <row r="21" spans="1:9" x14ac:dyDescent="0.25">
      <c r="A21" s="2" t="s">
        <v>44</v>
      </c>
      <c r="B21" s="30">
        <f>B6/B20</f>
        <v>0.90258855585831066</v>
      </c>
      <c r="C21" s="30">
        <f>C6/C20</f>
        <v>1.0331230283911672</v>
      </c>
    </row>
    <row r="22" spans="1:9" x14ac:dyDescent="0.25">
      <c r="A22" s="2" t="s">
        <v>45</v>
      </c>
      <c r="B22" s="30">
        <f>B7/B12</f>
        <v>1.1674473067915692</v>
      </c>
      <c r="C22" s="30">
        <f>C7/C12</f>
        <v>0.95620437956204385</v>
      </c>
    </row>
    <row r="23" spans="1:9" x14ac:dyDescent="0.25">
      <c r="A23" s="2" t="s">
        <v>46</v>
      </c>
      <c r="B23" s="8">
        <f>B18/B19</f>
        <v>0.31777777777777777</v>
      </c>
      <c r="C23" s="8">
        <f>C18/C19</f>
        <v>-9.5454545454545459E-2</v>
      </c>
    </row>
    <row r="25" spans="1:9" x14ac:dyDescent="0.25">
      <c r="A25" s="10"/>
      <c r="B25" s="227" t="s">
        <v>0</v>
      </c>
      <c r="C25" s="228"/>
      <c r="D25" s="227" t="s">
        <v>8</v>
      </c>
      <c r="E25" s="228"/>
      <c r="F25" s="227" t="s">
        <v>10</v>
      </c>
      <c r="G25" s="228"/>
      <c r="H25" s="229" t="s">
        <v>18</v>
      </c>
      <c r="I25" s="229"/>
    </row>
    <row r="26" spans="1:9" x14ac:dyDescent="0.25">
      <c r="A26" s="62" t="s">
        <v>59</v>
      </c>
      <c r="B26" s="12" t="s">
        <v>19</v>
      </c>
      <c r="C26" s="12" t="s">
        <v>20</v>
      </c>
      <c r="D26" s="12" t="s">
        <v>19</v>
      </c>
      <c r="E26" s="12" t="s">
        <v>20</v>
      </c>
      <c r="F26" s="12" t="s">
        <v>19</v>
      </c>
      <c r="G26" s="12" t="s">
        <v>20</v>
      </c>
      <c r="H26" s="12" t="s">
        <v>19</v>
      </c>
      <c r="I26" s="12" t="s">
        <v>20</v>
      </c>
    </row>
    <row r="27" spans="1:9" x14ac:dyDescent="0.25">
      <c r="A27" s="13" t="s">
        <v>16</v>
      </c>
      <c r="B27" s="14">
        <f>C6</f>
        <v>6550</v>
      </c>
      <c r="C27" s="15">
        <f>B27/B31</f>
        <v>0.58823529411764708</v>
      </c>
      <c r="D27" s="14">
        <v>2900</v>
      </c>
      <c r="E27" s="15">
        <f>D27/B27</f>
        <v>0.44274809160305345</v>
      </c>
      <c r="F27" s="14">
        <v>3440</v>
      </c>
      <c r="G27" s="15">
        <f>F27/B27</f>
        <v>0.52519083969465652</v>
      </c>
      <c r="H27" s="14">
        <f>B27-D27-F27</f>
        <v>210</v>
      </c>
      <c r="I27" s="15">
        <f>H27/B27</f>
        <v>3.2061068702290078E-2</v>
      </c>
    </row>
    <row r="28" spans="1:9" x14ac:dyDescent="0.25">
      <c r="A28" s="17" t="s">
        <v>21</v>
      </c>
      <c r="B28" s="18">
        <f>C19</f>
        <v>2200</v>
      </c>
      <c r="C28" s="19">
        <f>B28/B31</f>
        <v>0.19757521329142344</v>
      </c>
      <c r="D28" s="18"/>
      <c r="E28" s="19"/>
      <c r="F28" s="18"/>
      <c r="G28" s="19"/>
      <c r="H28" s="18">
        <f>B28-F28</f>
        <v>2200</v>
      </c>
      <c r="I28" s="19">
        <f>H28/B28</f>
        <v>1</v>
      </c>
    </row>
    <row r="29" spans="1:9" x14ac:dyDescent="0.25">
      <c r="A29" s="20" t="s">
        <v>22</v>
      </c>
      <c r="B29" s="21">
        <f>C7-C19</f>
        <v>2385</v>
      </c>
      <c r="C29" s="22">
        <f>B29/B31</f>
        <v>0.21418949259092951</v>
      </c>
      <c r="D29" s="21"/>
      <c r="E29" s="22"/>
      <c r="F29" s="21"/>
      <c r="G29" s="22"/>
      <c r="H29" s="21">
        <v>2385</v>
      </c>
      <c r="I29" s="22">
        <f>H29/B29</f>
        <v>1</v>
      </c>
    </row>
    <row r="30" spans="1:9" x14ac:dyDescent="0.25">
      <c r="A30" s="13" t="s">
        <v>23</v>
      </c>
      <c r="B30" s="14">
        <f>SUM(B28:B29)</f>
        <v>4585</v>
      </c>
      <c r="C30" s="15">
        <f>B30/B31</f>
        <v>0.41176470588235292</v>
      </c>
      <c r="D30" s="14"/>
      <c r="E30" s="15"/>
      <c r="F30" s="14"/>
      <c r="G30" s="15"/>
      <c r="H30" s="14">
        <f>SUM(H28:H29)</f>
        <v>4585</v>
      </c>
      <c r="I30" s="15">
        <f>H30/B30</f>
        <v>1</v>
      </c>
    </row>
    <row r="31" spans="1:9" x14ac:dyDescent="0.25">
      <c r="A31" s="16" t="s">
        <v>24</v>
      </c>
      <c r="B31" s="14">
        <f>B27+B30</f>
        <v>11135</v>
      </c>
      <c r="C31" s="15">
        <f>B31/B31</f>
        <v>1</v>
      </c>
      <c r="D31" s="14">
        <f>C10</f>
        <v>2900</v>
      </c>
      <c r="E31" s="15">
        <f>D31/B31</f>
        <v>0.26044005388414909</v>
      </c>
      <c r="F31" s="14">
        <f>C11</f>
        <v>3440</v>
      </c>
      <c r="G31" s="15">
        <f>F31/B31</f>
        <v>0.30893578805568028</v>
      </c>
      <c r="H31" s="14">
        <f>C12</f>
        <v>4795</v>
      </c>
      <c r="I31" s="15">
        <f>H31/B31</f>
        <v>0.43062415806017063</v>
      </c>
    </row>
    <row r="32" spans="1:9" x14ac:dyDescent="0.25">
      <c r="A32" s="50"/>
      <c r="B32" s="50"/>
      <c r="C32" s="50"/>
      <c r="D32" s="50"/>
      <c r="E32" s="50"/>
      <c r="F32" s="50"/>
      <c r="G32" s="50"/>
      <c r="H32" s="50"/>
      <c r="I32" s="50"/>
    </row>
    <row r="33" spans="1:9" x14ac:dyDescent="0.25">
      <c r="A33" s="10"/>
      <c r="B33" s="227" t="s">
        <v>0</v>
      </c>
      <c r="C33" s="228"/>
      <c r="D33" s="227" t="s">
        <v>8</v>
      </c>
      <c r="E33" s="228"/>
      <c r="F33" s="227" t="s">
        <v>10</v>
      </c>
      <c r="G33" s="228"/>
      <c r="H33" s="229" t="s">
        <v>18</v>
      </c>
      <c r="I33" s="229"/>
    </row>
    <row r="34" spans="1:9" x14ac:dyDescent="0.25">
      <c r="A34" s="62" t="s">
        <v>58</v>
      </c>
      <c r="B34" s="12" t="s">
        <v>19</v>
      </c>
      <c r="C34" s="12" t="s">
        <v>20</v>
      </c>
      <c r="D34" s="12" t="s">
        <v>19</v>
      </c>
      <c r="E34" s="12" t="s">
        <v>20</v>
      </c>
      <c r="F34" s="12" t="s">
        <v>19</v>
      </c>
      <c r="G34" s="12" t="s">
        <v>20</v>
      </c>
      <c r="H34" s="12" t="s">
        <v>19</v>
      </c>
      <c r="I34" s="12" t="s">
        <v>20</v>
      </c>
    </row>
    <row r="35" spans="1:9" x14ac:dyDescent="0.25">
      <c r="A35" s="13" t="s">
        <v>16</v>
      </c>
      <c r="B35" s="14">
        <f>B6</f>
        <v>6625</v>
      </c>
      <c r="C35" s="15">
        <f>B35/$B$39</f>
        <v>0.57062876830318687</v>
      </c>
      <c r="D35" s="14">
        <f>D39</f>
        <v>4010</v>
      </c>
      <c r="E35" s="15">
        <f>D35/B35</f>
        <v>0.60528301886792457</v>
      </c>
      <c r="F35" s="14">
        <f>B35-D35</f>
        <v>2615</v>
      </c>
      <c r="G35" s="15">
        <f>F35/B35</f>
        <v>0.39471698113207548</v>
      </c>
      <c r="H35" s="14"/>
      <c r="I35" s="15"/>
    </row>
    <row r="36" spans="1:9" x14ac:dyDescent="0.25">
      <c r="A36" s="17" t="s">
        <v>21</v>
      </c>
      <c r="B36" s="18">
        <f>B19</f>
        <v>2250</v>
      </c>
      <c r="C36" s="19">
        <f t="shared" ref="C36:C39" si="4">B36/$B$39</f>
        <v>0.19379844961240311</v>
      </c>
      <c r="D36" s="18"/>
      <c r="E36" s="19"/>
      <c r="F36" s="18">
        <f>F39-F35</f>
        <v>715</v>
      </c>
      <c r="G36" s="19">
        <f>F36/B36</f>
        <v>0.31777777777777777</v>
      </c>
      <c r="H36" s="18">
        <f>B36-F36</f>
        <v>1535</v>
      </c>
      <c r="I36" s="19">
        <f>H36/B36</f>
        <v>0.68222222222222217</v>
      </c>
    </row>
    <row r="37" spans="1:9" x14ac:dyDescent="0.25">
      <c r="A37" s="20" t="s">
        <v>22</v>
      </c>
      <c r="B37" s="21">
        <f>B7-B19</f>
        <v>2735</v>
      </c>
      <c r="C37" s="22">
        <f t="shared" si="4"/>
        <v>0.23557278208440999</v>
      </c>
      <c r="D37" s="21"/>
      <c r="E37" s="22"/>
      <c r="F37" s="21"/>
      <c r="G37" s="22"/>
      <c r="H37" s="21">
        <f>H39-H36</f>
        <v>2735</v>
      </c>
      <c r="I37" s="22">
        <f>H37/B37</f>
        <v>1</v>
      </c>
    </row>
    <row r="38" spans="1:9" x14ac:dyDescent="0.25">
      <c r="A38" s="13" t="s">
        <v>23</v>
      </c>
      <c r="B38" s="14">
        <f>SUM(B36:B37)</f>
        <v>4985</v>
      </c>
      <c r="C38" s="15">
        <f t="shared" si="4"/>
        <v>0.42937123169681307</v>
      </c>
      <c r="D38" s="14"/>
      <c r="E38" s="15"/>
      <c r="F38" s="14"/>
      <c r="G38" s="15"/>
      <c r="H38" s="14">
        <f>SUM(H36:H37)</f>
        <v>4270</v>
      </c>
      <c r="I38" s="15">
        <f>H38/B38</f>
        <v>0.85656970912738217</v>
      </c>
    </row>
    <row r="39" spans="1:9" x14ac:dyDescent="0.25">
      <c r="A39" s="16" t="s">
        <v>24</v>
      </c>
      <c r="B39" s="14">
        <f>B35+B38</f>
        <v>11610</v>
      </c>
      <c r="C39" s="15">
        <f t="shared" si="4"/>
        <v>1</v>
      </c>
      <c r="D39" s="14">
        <f>B10</f>
        <v>4010</v>
      </c>
      <c r="E39" s="15">
        <f>D39/B39</f>
        <v>0.34539190353143839</v>
      </c>
      <c r="F39" s="14">
        <f>B11</f>
        <v>3330</v>
      </c>
      <c r="G39" s="15">
        <f>F39/B39</f>
        <v>0.2868217054263566</v>
      </c>
      <c r="H39" s="14">
        <f>B12</f>
        <v>4270</v>
      </c>
      <c r="I39" s="15">
        <f>H39/B39</f>
        <v>0.36778639104220501</v>
      </c>
    </row>
    <row r="41" spans="1:9" x14ac:dyDescent="0.25">
      <c r="A41" s="2" t="s">
        <v>80</v>
      </c>
    </row>
    <row r="42" spans="1:9" x14ac:dyDescent="0.25">
      <c r="A42" s="2" t="s">
        <v>81</v>
      </c>
    </row>
    <row r="43" spans="1:9" x14ac:dyDescent="0.25">
      <c r="A43" s="2" t="s">
        <v>82</v>
      </c>
    </row>
    <row r="45" spans="1:9" x14ac:dyDescent="0.25">
      <c r="A45" s="2" t="s">
        <v>83</v>
      </c>
    </row>
    <row r="46" spans="1:9" x14ac:dyDescent="0.25">
      <c r="A46" s="2" t="s">
        <v>84</v>
      </c>
    </row>
    <row r="47" spans="1:9" x14ac:dyDescent="0.25">
      <c r="A47" s="2" t="s">
        <v>85</v>
      </c>
    </row>
    <row r="48" spans="1:9" x14ac:dyDescent="0.25">
      <c r="A48" s="2" t="s">
        <v>86</v>
      </c>
    </row>
    <row r="50" spans="1:1" x14ac:dyDescent="0.25">
      <c r="A50" s="2" t="s">
        <v>87</v>
      </c>
    </row>
    <row r="51" spans="1:1" x14ac:dyDescent="0.25">
      <c r="A51" s="2" t="s">
        <v>88</v>
      </c>
    </row>
    <row r="52" spans="1:1" x14ac:dyDescent="0.25">
      <c r="A52" s="2" t="s">
        <v>89</v>
      </c>
    </row>
  </sheetData>
  <mergeCells count="10">
    <mergeCell ref="H25:I25"/>
    <mergeCell ref="B33:C33"/>
    <mergeCell ref="D33:E33"/>
    <mergeCell ref="F33:G33"/>
    <mergeCell ref="H33:I33"/>
    <mergeCell ref="D4:E4"/>
    <mergeCell ref="B4:C4"/>
    <mergeCell ref="B25:C25"/>
    <mergeCell ref="D25:E25"/>
    <mergeCell ref="F25:G2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&amp;CSide &amp;P av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8"/>
  <sheetViews>
    <sheetView showZeros="0" workbookViewId="0"/>
  </sheetViews>
  <sheetFormatPr baseColWidth="10" defaultRowHeight="12.75" x14ac:dyDescent="0.2"/>
  <cols>
    <col min="1" max="1" width="4.85546875" style="33" customWidth="1"/>
    <col min="2" max="2" width="33.5703125" style="33" bestFit="1" customWidth="1"/>
    <col min="3" max="15" width="9.7109375" style="33" customWidth="1"/>
    <col min="16" max="249" width="11.42578125" style="33"/>
    <col min="250" max="250" width="4.85546875" style="33" customWidth="1"/>
    <col min="251" max="251" width="6.5703125" style="33" customWidth="1"/>
    <col min="252" max="252" width="29.42578125" style="33" customWidth="1"/>
    <col min="253" max="253" width="7.5703125" style="33" customWidth="1"/>
    <col min="254" max="254" width="2.28515625" style="33" customWidth="1"/>
    <col min="255" max="255" width="11.42578125" style="33"/>
    <col min="256" max="256" width="2.28515625" style="33" customWidth="1"/>
    <col min="257" max="505" width="11.42578125" style="33"/>
    <col min="506" max="506" width="4.85546875" style="33" customWidth="1"/>
    <col min="507" max="507" width="6.5703125" style="33" customWidth="1"/>
    <col min="508" max="508" width="29.42578125" style="33" customWidth="1"/>
    <col min="509" max="509" width="7.5703125" style="33" customWidth="1"/>
    <col min="510" max="510" width="2.28515625" style="33" customWidth="1"/>
    <col min="511" max="511" width="11.42578125" style="33"/>
    <col min="512" max="512" width="2.28515625" style="33" customWidth="1"/>
    <col min="513" max="761" width="11.42578125" style="33"/>
    <col min="762" max="762" width="4.85546875" style="33" customWidth="1"/>
    <col min="763" max="763" width="6.5703125" style="33" customWidth="1"/>
    <col min="764" max="764" width="29.42578125" style="33" customWidth="1"/>
    <col min="765" max="765" width="7.5703125" style="33" customWidth="1"/>
    <col min="766" max="766" width="2.28515625" style="33" customWidth="1"/>
    <col min="767" max="767" width="11.42578125" style="33"/>
    <col min="768" max="768" width="2.28515625" style="33" customWidth="1"/>
    <col min="769" max="1017" width="11.42578125" style="33"/>
    <col min="1018" max="1018" width="4.85546875" style="33" customWidth="1"/>
    <col min="1019" max="1019" width="6.5703125" style="33" customWidth="1"/>
    <col min="1020" max="1020" width="29.42578125" style="33" customWidth="1"/>
    <col min="1021" max="1021" width="7.5703125" style="33" customWidth="1"/>
    <col min="1022" max="1022" width="2.28515625" style="33" customWidth="1"/>
    <col min="1023" max="1023" width="11.42578125" style="33"/>
    <col min="1024" max="1024" width="2.28515625" style="33" customWidth="1"/>
    <col min="1025" max="1273" width="11.42578125" style="33"/>
    <col min="1274" max="1274" width="4.85546875" style="33" customWidth="1"/>
    <col min="1275" max="1275" width="6.5703125" style="33" customWidth="1"/>
    <col min="1276" max="1276" width="29.42578125" style="33" customWidth="1"/>
    <col min="1277" max="1277" width="7.5703125" style="33" customWidth="1"/>
    <col min="1278" max="1278" width="2.28515625" style="33" customWidth="1"/>
    <col min="1279" max="1279" width="11.42578125" style="33"/>
    <col min="1280" max="1280" width="2.28515625" style="33" customWidth="1"/>
    <col min="1281" max="1529" width="11.42578125" style="33"/>
    <col min="1530" max="1530" width="4.85546875" style="33" customWidth="1"/>
    <col min="1531" max="1531" width="6.5703125" style="33" customWidth="1"/>
    <col min="1532" max="1532" width="29.42578125" style="33" customWidth="1"/>
    <col min="1533" max="1533" width="7.5703125" style="33" customWidth="1"/>
    <col min="1534" max="1534" width="2.28515625" style="33" customWidth="1"/>
    <col min="1535" max="1535" width="11.42578125" style="33"/>
    <col min="1536" max="1536" width="2.28515625" style="33" customWidth="1"/>
    <col min="1537" max="1785" width="11.42578125" style="33"/>
    <col min="1786" max="1786" width="4.85546875" style="33" customWidth="1"/>
    <col min="1787" max="1787" width="6.5703125" style="33" customWidth="1"/>
    <col min="1788" max="1788" width="29.42578125" style="33" customWidth="1"/>
    <col min="1789" max="1789" width="7.5703125" style="33" customWidth="1"/>
    <col min="1790" max="1790" width="2.28515625" style="33" customWidth="1"/>
    <col min="1791" max="1791" width="11.42578125" style="33"/>
    <col min="1792" max="1792" width="2.28515625" style="33" customWidth="1"/>
    <col min="1793" max="2041" width="11.42578125" style="33"/>
    <col min="2042" max="2042" width="4.85546875" style="33" customWidth="1"/>
    <col min="2043" max="2043" width="6.5703125" style="33" customWidth="1"/>
    <col min="2044" max="2044" width="29.42578125" style="33" customWidth="1"/>
    <col min="2045" max="2045" width="7.5703125" style="33" customWidth="1"/>
    <col min="2046" max="2046" width="2.28515625" style="33" customWidth="1"/>
    <col min="2047" max="2047" width="11.42578125" style="33"/>
    <col min="2048" max="2048" width="2.28515625" style="33" customWidth="1"/>
    <col min="2049" max="2297" width="11.42578125" style="33"/>
    <col min="2298" max="2298" width="4.85546875" style="33" customWidth="1"/>
    <col min="2299" max="2299" width="6.5703125" style="33" customWidth="1"/>
    <col min="2300" max="2300" width="29.42578125" style="33" customWidth="1"/>
    <col min="2301" max="2301" width="7.5703125" style="33" customWidth="1"/>
    <col min="2302" max="2302" width="2.28515625" style="33" customWidth="1"/>
    <col min="2303" max="2303" width="11.42578125" style="33"/>
    <col min="2304" max="2304" width="2.28515625" style="33" customWidth="1"/>
    <col min="2305" max="2553" width="11.42578125" style="33"/>
    <col min="2554" max="2554" width="4.85546875" style="33" customWidth="1"/>
    <col min="2555" max="2555" width="6.5703125" style="33" customWidth="1"/>
    <col min="2556" max="2556" width="29.42578125" style="33" customWidth="1"/>
    <col min="2557" max="2557" width="7.5703125" style="33" customWidth="1"/>
    <col min="2558" max="2558" width="2.28515625" style="33" customWidth="1"/>
    <col min="2559" max="2559" width="11.42578125" style="33"/>
    <col min="2560" max="2560" width="2.28515625" style="33" customWidth="1"/>
    <col min="2561" max="2809" width="11.42578125" style="33"/>
    <col min="2810" max="2810" width="4.85546875" style="33" customWidth="1"/>
    <col min="2811" max="2811" width="6.5703125" style="33" customWidth="1"/>
    <col min="2812" max="2812" width="29.42578125" style="33" customWidth="1"/>
    <col min="2813" max="2813" width="7.5703125" style="33" customWidth="1"/>
    <col min="2814" max="2814" width="2.28515625" style="33" customWidth="1"/>
    <col min="2815" max="2815" width="11.42578125" style="33"/>
    <col min="2816" max="2816" width="2.28515625" style="33" customWidth="1"/>
    <col min="2817" max="3065" width="11.42578125" style="33"/>
    <col min="3066" max="3066" width="4.85546875" style="33" customWidth="1"/>
    <col min="3067" max="3067" width="6.5703125" style="33" customWidth="1"/>
    <col min="3068" max="3068" width="29.42578125" style="33" customWidth="1"/>
    <col min="3069" max="3069" width="7.5703125" style="33" customWidth="1"/>
    <col min="3070" max="3070" width="2.28515625" style="33" customWidth="1"/>
    <col min="3071" max="3071" width="11.42578125" style="33"/>
    <col min="3072" max="3072" width="2.28515625" style="33" customWidth="1"/>
    <col min="3073" max="3321" width="11.42578125" style="33"/>
    <col min="3322" max="3322" width="4.85546875" style="33" customWidth="1"/>
    <col min="3323" max="3323" width="6.5703125" style="33" customWidth="1"/>
    <col min="3324" max="3324" width="29.42578125" style="33" customWidth="1"/>
    <col min="3325" max="3325" width="7.5703125" style="33" customWidth="1"/>
    <col min="3326" max="3326" width="2.28515625" style="33" customWidth="1"/>
    <col min="3327" max="3327" width="11.42578125" style="33"/>
    <col min="3328" max="3328" width="2.28515625" style="33" customWidth="1"/>
    <col min="3329" max="3577" width="11.42578125" style="33"/>
    <col min="3578" max="3578" width="4.85546875" style="33" customWidth="1"/>
    <col min="3579" max="3579" width="6.5703125" style="33" customWidth="1"/>
    <col min="3580" max="3580" width="29.42578125" style="33" customWidth="1"/>
    <col min="3581" max="3581" width="7.5703125" style="33" customWidth="1"/>
    <col min="3582" max="3582" width="2.28515625" style="33" customWidth="1"/>
    <col min="3583" max="3583" width="11.42578125" style="33"/>
    <col min="3584" max="3584" width="2.28515625" style="33" customWidth="1"/>
    <col min="3585" max="3833" width="11.42578125" style="33"/>
    <col min="3834" max="3834" width="4.85546875" style="33" customWidth="1"/>
    <col min="3835" max="3835" width="6.5703125" style="33" customWidth="1"/>
    <col min="3836" max="3836" width="29.42578125" style="33" customWidth="1"/>
    <col min="3837" max="3837" width="7.5703125" style="33" customWidth="1"/>
    <col min="3838" max="3838" width="2.28515625" style="33" customWidth="1"/>
    <col min="3839" max="3839" width="11.42578125" style="33"/>
    <col min="3840" max="3840" width="2.28515625" style="33" customWidth="1"/>
    <col min="3841" max="4089" width="11.42578125" style="33"/>
    <col min="4090" max="4090" width="4.85546875" style="33" customWidth="1"/>
    <col min="4091" max="4091" width="6.5703125" style="33" customWidth="1"/>
    <col min="4092" max="4092" width="29.42578125" style="33" customWidth="1"/>
    <col min="4093" max="4093" width="7.5703125" style="33" customWidth="1"/>
    <col min="4094" max="4094" width="2.28515625" style="33" customWidth="1"/>
    <col min="4095" max="4095" width="11.42578125" style="33"/>
    <col min="4096" max="4096" width="2.28515625" style="33" customWidth="1"/>
    <col min="4097" max="4345" width="11.42578125" style="33"/>
    <col min="4346" max="4346" width="4.85546875" style="33" customWidth="1"/>
    <col min="4347" max="4347" width="6.5703125" style="33" customWidth="1"/>
    <col min="4348" max="4348" width="29.42578125" style="33" customWidth="1"/>
    <col min="4349" max="4349" width="7.5703125" style="33" customWidth="1"/>
    <col min="4350" max="4350" width="2.28515625" style="33" customWidth="1"/>
    <col min="4351" max="4351" width="11.42578125" style="33"/>
    <col min="4352" max="4352" width="2.28515625" style="33" customWidth="1"/>
    <col min="4353" max="4601" width="11.42578125" style="33"/>
    <col min="4602" max="4602" width="4.85546875" style="33" customWidth="1"/>
    <col min="4603" max="4603" width="6.5703125" style="33" customWidth="1"/>
    <col min="4604" max="4604" width="29.42578125" style="33" customWidth="1"/>
    <col min="4605" max="4605" width="7.5703125" style="33" customWidth="1"/>
    <col min="4606" max="4606" width="2.28515625" style="33" customWidth="1"/>
    <col min="4607" max="4607" width="11.42578125" style="33"/>
    <col min="4608" max="4608" width="2.28515625" style="33" customWidth="1"/>
    <col min="4609" max="4857" width="11.42578125" style="33"/>
    <col min="4858" max="4858" width="4.85546875" style="33" customWidth="1"/>
    <col min="4859" max="4859" width="6.5703125" style="33" customWidth="1"/>
    <col min="4860" max="4860" width="29.42578125" style="33" customWidth="1"/>
    <col min="4861" max="4861" width="7.5703125" style="33" customWidth="1"/>
    <col min="4862" max="4862" width="2.28515625" style="33" customWidth="1"/>
    <col min="4863" max="4863" width="11.42578125" style="33"/>
    <col min="4864" max="4864" width="2.28515625" style="33" customWidth="1"/>
    <col min="4865" max="5113" width="11.42578125" style="33"/>
    <col min="5114" max="5114" width="4.85546875" style="33" customWidth="1"/>
    <col min="5115" max="5115" width="6.5703125" style="33" customWidth="1"/>
    <col min="5116" max="5116" width="29.42578125" style="33" customWidth="1"/>
    <col min="5117" max="5117" width="7.5703125" style="33" customWidth="1"/>
    <col min="5118" max="5118" width="2.28515625" style="33" customWidth="1"/>
    <col min="5119" max="5119" width="11.42578125" style="33"/>
    <col min="5120" max="5120" width="2.28515625" style="33" customWidth="1"/>
    <col min="5121" max="5369" width="11.42578125" style="33"/>
    <col min="5370" max="5370" width="4.85546875" style="33" customWidth="1"/>
    <col min="5371" max="5371" width="6.5703125" style="33" customWidth="1"/>
    <col min="5372" max="5372" width="29.42578125" style="33" customWidth="1"/>
    <col min="5373" max="5373" width="7.5703125" style="33" customWidth="1"/>
    <col min="5374" max="5374" width="2.28515625" style="33" customWidth="1"/>
    <col min="5375" max="5375" width="11.42578125" style="33"/>
    <col min="5376" max="5376" width="2.28515625" style="33" customWidth="1"/>
    <col min="5377" max="5625" width="11.42578125" style="33"/>
    <col min="5626" max="5626" width="4.85546875" style="33" customWidth="1"/>
    <col min="5627" max="5627" width="6.5703125" style="33" customWidth="1"/>
    <col min="5628" max="5628" width="29.42578125" style="33" customWidth="1"/>
    <col min="5629" max="5629" width="7.5703125" style="33" customWidth="1"/>
    <col min="5630" max="5630" width="2.28515625" style="33" customWidth="1"/>
    <col min="5631" max="5631" width="11.42578125" style="33"/>
    <col min="5632" max="5632" width="2.28515625" style="33" customWidth="1"/>
    <col min="5633" max="5881" width="11.42578125" style="33"/>
    <col min="5882" max="5882" width="4.85546875" style="33" customWidth="1"/>
    <col min="5883" max="5883" width="6.5703125" style="33" customWidth="1"/>
    <col min="5884" max="5884" width="29.42578125" style="33" customWidth="1"/>
    <col min="5885" max="5885" width="7.5703125" style="33" customWidth="1"/>
    <col min="5886" max="5886" width="2.28515625" style="33" customWidth="1"/>
    <col min="5887" max="5887" width="11.42578125" style="33"/>
    <col min="5888" max="5888" width="2.28515625" style="33" customWidth="1"/>
    <col min="5889" max="6137" width="11.42578125" style="33"/>
    <col min="6138" max="6138" width="4.85546875" style="33" customWidth="1"/>
    <col min="6139" max="6139" width="6.5703125" style="33" customWidth="1"/>
    <col min="6140" max="6140" width="29.42578125" style="33" customWidth="1"/>
    <col min="6141" max="6141" width="7.5703125" style="33" customWidth="1"/>
    <col min="6142" max="6142" width="2.28515625" style="33" customWidth="1"/>
    <col min="6143" max="6143" width="11.42578125" style="33"/>
    <col min="6144" max="6144" width="2.28515625" style="33" customWidth="1"/>
    <col min="6145" max="6393" width="11.42578125" style="33"/>
    <col min="6394" max="6394" width="4.85546875" style="33" customWidth="1"/>
    <col min="6395" max="6395" width="6.5703125" style="33" customWidth="1"/>
    <col min="6396" max="6396" width="29.42578125" style="33" customWidth="1"/>
    <col min="6397" max="6397" width="7.5703125" style="33" customWidth="1"/>
    <col min="6398" max="6398" width="2.28515625" style="33" customWidth="1"/>
    <col min="6399" max="6399" width="11.42578125" style="33"/>
    <col min="6400" max="6400" width="2.28515625" style="33" customWidth="1"/>
    <col min="6401" max="6649" width="11.42578125" style="33"/>
    <col min="6650" max="6650" width="4.85546875" style="33" customWidth="1"/>
    <col min="6651" max="6651" width="6.5703125" style="33" customWidth="1"/>
    <col min="6652" max="6652" width="29.42578125" style="33" customWidth="1"/>
    <col min="6653" max="6653" width="7.5703125" style="33" customWidth="1"/>
    <col min="6654" max="6654" width="2.28515625" style="33" customWidth="1"/>
    <col min="6655" max="6655" width="11.42578125" style="33"/>
    <col min="6656" max="6656" width="2.28515625" style="33" customWidth="1"/>
    <col min="6657" max="6905" width="11.42578125" style="33"/>
    <col min="6906" max="6906" width="4.85546875" style="33" customWidth="1"/>
    <col min="6907" max="6907" width="6.5703125" style="33" customWidth="1"/>
    <col min="6908" max="6908" width="29.42578125" style="33" customWidth="1"/>
    <col min="6909" max="6909" width="7.5703125" style="33" customWidth="1"/>
    <col min="6910" max="6910" width="2.28515625" style="33" customWidth="1"/>
    <col min="6911" max="6911" width="11.42578125" style="33"/>
    <col min="6912" max="6912" width="2.28515625" style="33" customWidth="1"/>
    <col min="6913" max="7161" width="11.42578125" style="33"/>
    <col min="7162" max="7162" width="4.85546875" style="33" customWidth="1"/>
    <col min="7163" max="7163" width="6.5703125" style="33" customWidth="1"/>
    <col min="7164" max="7164" width="29.42578125" style="33" customWidth="1"/>
    <col min="7165" max="7165" width="7.5703125" style="33" customWidth="1"/>
    <col min="7166" max="7166" width="2.28515625" style="33" customWidth="1"/>
    <col min="7167" max="7167" width="11.42578125" style="33"/>
    <col min="7168" max="7168" width="2.28515625" style="33" customWidth="1"/>
    <col min="7169" max="7417" width="11.42578125" style="33"/>
    <col min="7418" max="7418" width="4.85546875" style="33" customWidth="1"/>
    <col min="7419" max="7419" width="6.5703125" style="33" customWidth="1"/>
    <col min="7420" max="7420" width="29.42578125" style="33" customWidth="1"/>
    <col min="7421" max="7421" width="7.5703125" style="33" customWidth="1"/>
    <col min="7422" max="7422" width="2.28515625" style="33" customWidth="1"/>
    <col min="7423" max="7423" width="11.42578125" style="33"/>
    <col min="7424" max="7424" width="2.28515625" style="33" customWidth="1"/>
    <col min="7425" max="7673" width="11.42578125" style="33"/>
    <col min="7674" max="7674" width="4.85546875" style="33" customWidth="1"/>
    <col min="7675" max="7675" width="6.5703125" style="33" customWidth="1"/>
    <col min="7676" max="7676" width="29.42578125" style="33" customWidth="1"/>
    <col min="7677" max="7677" width="7.5703125" style="33" customWidth="1"/>
    <col min="7678" max="7678" width="2.28515625" style="33" customWidth="1"/>
    <col min="7679" max="7679" width="11.42578125" style="33"/>
    <col min="7680" max="7680" width="2.28515625" style="33" customWidth="1"/>
    <col min="7681" max="7929" width="11.42578125" style="33"/>
    <col min="7930" max="7930" width="4.85546875" style="33" customWidth="1"/>
    <col min="7931" max="7931" width="6.5703125" style="33" customWidth="1"/>
    <col min="7932" max="7932" width="29.42578125" style="33" customWidth="1"/>
    <col min="7933" max="7933" width="7.5703125" style="33" customWidth="1"/>
    <col min="7934" max="7934" width="2.28515625" style="33" customWidth="1"/>
    <col min="7935" max="7935" width="11.42578125" style="33"/>
    <col min="7936" max="7936" width="2.28515625" style="33" customWidth="1"/>
    <col min="7937" max="8185" width="11.42578125" style="33"/>
    <col min="8186" max="8186" width="4.85546875" style="33" customWidth="1"/>
    <col min="8187" max="8187" width="6.5703125" style="33" customWidth="1"/>
    <col min="8188" max="8188" width="29.42578125" style="33" customWidth="1"/>
    <col min="8189" max="8189" width="7.5703125" style="33" customWidth="1"/>
    <col min="8190" max="8190" width="2.28515625" style="33" customWidth="1"/>
    <col min="8191" max="8191" width="11.42578125" style="33"/>
    <col min="8192" max="8192" width="2.28515625" style="33" customWidth="1"/>
    <col min="8193" max="8441" width="11.42578125" style="33"/>
    <col min="8442" max="8442" width="4.85546875" style="33" customWidth="1"/>
    <col min="8443" max="8443" width="6.5703125" style="33" customWidth="1"/>
    <col min="8444" max="8444" width="29.42578125" style="33" customWidth="1"/>
    <col min="8445" max="8445" width="7.5703125" style="33" customWidth="1"/>
    <col min="8446" max="8446" width="2.28515625" style="33" customWidth="1"/>
    <col min="8447" max="8447" width="11.42578125" style="33"/>
    <col min="8448" max="8448" width="2.28515625" style="33" customWidth="1"/>
    <col min="8449" max="8697" width="11.42578125" style="33"/>
    <col min="8698" max="8698" width="4.85546875" style="33" customWidth="1"/>
    <col min="8699" max="8699" width="6.5703125" style="33" customWidth="1"/>
    <col min="8700" max="8700" width="29.42578125" style="33" customWidth="1"/>
    <col min="8701" max="8701" width="7.5703125" style="33" customWidth="1"/>
    <col min="8702" max="8702" width="2.28515625" style="33" customWidth="1"/>
    <col min="8703" max="8703" width="11.42578125" style="33"/>
    <col min="8704" max="8704" width="2.28515625" style="33" customWidth="1"/>
    <col min="8705" max="8953" width="11.42578125" style="33"/>
    <col min="8954" max="8954" width="4.85546875" style="33" customWidth="1"/>
    <col min="8955" max="8955" width="6.5703125" style="33" customWidth="1"/>
    <col min="8956" max="8956" width="29.42578125" style="33" customWidth="1"/>
    <col min="8957" max="8957" width="7.5703125" style="33" customWidth="1"/>
    <col min="8958" max="8958" width="2.28515625" style="33" customWidth="1"/>
    <col min="8959" max="8959" width="11.42578125" style="33"/>
    <col min="8960" max="8960" width="2.28515625" style="33" customWidth="1"/>
    <col min="8961" max="9209" width="11.42578125" style="33"/>
    <col min="9210" max="9210" width="4.85546875" style="33" customWidth="1"/>
    <col min="9211" max="9211" width="6.5703125" style="33" customWidth="1"/>
    <col min="9212" max="9212" width="29.42578125" style="33" customWidth="1"/>
    <col min="9213" max="9213" width="7.5703125" style="33" customWidth="1"/>
    <col min="9214" max="9214" width="2.28515625" style="33" customWidth="1"/>
    <col min="9215" max="9215" width="11.42578125" style="33"/>
    <col min="9216" max="9216" width="2.28515625" style="33" customWidth="1"/>
    <col min="9217" max="9465" width="11.42578125" style="33"/>
    <col min="9466" max="9466" width="4.85546875" style="33" customWidth="1"/>
    <col min="9467" max="9467" width="6.5703125" style="33" customWidth="1"/>
    <col min="9468" max="9468" width="29.42578125" style="33" customWidth="1"/>
    <col min="9469" max="9469" width="7.5703125" style="33" customWidth="1"/>
    <col min="9470" max="9470" width="2.28515625" style="33" customWidth="1"/>
    <col min="9471" max="9471" width="11.42578125" style="33"/>
    <col min="9472" max="9472" width="2.28515625" style="33" customWidth="1"/>
    <col min="9473" max="9721" width="11.42578125" style="33"/>
    <col min="9722" max="9722" width="4.85546875" style="33" customWidth="1"/>
    <col min="9723" max="9723" width="6.5703125" style="33" customWidth="1"/>
    <col min="9724" max="9724" width="29.42578125" style="33" customWidth="1"/>
    <col min="9725" max="9725" width="7.5703125" style="33" customWidth="1"/>
    <col min="9726" max="9726" width="2.28515625" style="33" customWidth="1"/>
    <col min="9727" max="9727" width="11.42578125" style="33"/>
    <col min="9728" max="9728" width="2.28515625" style="33" customWidth="1"/>
    <col min="9729" max="9977" width="11.42578125" style="33"/>
    <col min="9978" max="9978" width="4.85546875" style="33" customWidth="1"/>
    <col min="9979" max="9979" width="6.5703125" style="33" customWidth="1"/>
    <col min="9980" max="9980" width="29.42578125" style="33" customWidth="1"/>
    <col min="9981" max="9981" width="7.5703125" style="33" customWidth="1"/>
    <col min="9982" max="9982" width="2.28515625" style="33" customWidth="1"/>
    <col min="9983" max="9983" width="11.42578125" style="33"/>
    <col min="9984" max="9984" width="2.28515625" style="33" customWidth="1"/>
    <col min="9985" max="10233" width="11.42578125" style="33"/>
    <col min="10234" max="10234" width="4.85546875" style="33" customWidth="1"/>
    <col min="10235" max="10235" width="6.5703125" style="33" customWidth="1"/>
    <col min="10236" max="10236" width="29.42578125" style="33" customWidth="1"/>
    <col min="10237" max="10237" width="7.5703125" style="33" customWidth="1"/>
    <col min="10238" max="10238" width="2.28515625" style="33" customWidth="1"/>
    <col min="10239" max="10239" width="11.42578125" style="33"/>
    <col min="10240" max="10240" width="2.28515625" style="33" customWidth="1"/>
    <col min="10241" max="10489" width="11.42578125" style="33"/>
    <col min="10490" max="10490" width="4.85546875" style="33" customWidth="1"/>
    <col min="10491" max="10491" width="6.5703125" style="33" customWidth="1"/>
    <col min="10492" max="10492" width="29.42578125" style="33" customWidth="1"/>
    <col min="10493" max="10493" width="7.5703125" style="33" customWidth="1"/>
    <col min="10494" max="10494" width="2.28515625" style="33" customWidth="1"/>
    <col min="10495" max="10495" width="11.42578125" style="33"/>
    <col min="10496" max="10496" width="2.28515625" style="33" customWidth="1"/>
    <col min="10497" max="10745" width="11.42578125" style="33"/>
    <col min="10746" max="10746" width="4.85546875" style="33" customWidth="1"/>
    <col min="10747" max="10747" width="6.5703125" style="33" customWidth="1"/>
    <col min="10748" max="10748" width="29.42578125" style="33" customWidth="1"/>
    <col min="10749" max="10749" width="7.5703125" style="33" customWidth="1"/>
    <col min="10750" max="10750" width="2.28515625" style="33" customWidth="1"/>
    <col min="10751" max="10751" width="11.42578125" style="33"/>
    <col min="10752" max="10752" width="2.28515625" style="33" customWidth="1"/>
    <col min="10753" max="11001" width="11.42578125" style="33"/>
    <col min="11002" max="11002" width="4.85546875" style="33" customWidth="1"/>
    <col min="11003" max="11003" width="6.5703125" style="33" customWidth="1"/>
    <col min="11004" max="11004" width="29.42578125" style="33" customWidth="1"/>
    <col min="11005" max="11005" width="7.5703125" style="33" customWidth="1"/>
    <col min="11006" max="11006" width="2.28515625" style="33" customWidth="1"/>
    <col min="11007" max="11007" width="11.42578125" style="33"/>
    <col min="11008" max="11008" width="2.28515625" style="33" customWidth="1"/>
    <col min="11009" max="11257" width="11.42578125" style="33"/>
    <col min="11258" max="11258" width="4.85546875" style="33" customWidth="1"/>
    <col min="11259" max="11259" width="6.5703125" style="33" customWidth="1"/>
    <col min="11260" max="11260" width="29.42578125" style="33" customWidth="1"/>
    <col min="11261" max="11261" width="7.5703125" style="33" customWidth="1"/>
    <col min="11262" max="11262" width="2.28515625" style="33" customWidth="1"/>
    <col min="11263" max="11263" width="11.42578125" style="33"/>
    <col min="11264" max="11264" width="2.28515625" style="33" customWidth="1"/>
    <col min="11265" max="11513" width="11.42578125" style="33"/>
    <col min="11514" max="11514" width="4.85546875" style="33" customWidth="1"/>
    <col min="11515" max="11515" width="6.5703125" style="33" customWidth="1"/>
    <col min="11516" max="11516" width="29.42578125" style="33" customWidth="1"/>
    <col min="11517" max="11517" width="7.5703125" style="33" customWidth="1"/>
    <col min="11518" max="11518" width="2.28515625" style="33" customWidth="1"/>
    <col min="11519" max="11519" width="11.42578125" style="33"/>
    <col min="11520" max="11520" width="2.28515625" style="33" customWidth="1"/>
    <col min="11521" max="11769" width="11.42578125" style="33"/>
    <col min="11770" max="11770" width="4.85546875" style="33" customWidth="1"/>
    <col min="11771" max="11771" width="6.5703125" style="33" customWidth="1"/>
    <col min="11772" max="11772" width="29.42578125" style="33" customWidth="1"/>
    <col min="11773" max="11773" width="7.5703125" style="33" customWidth="1"/>
    <col min="11774" max="11774" width="2.28515625" style="33" customWidth="1"/>
    <col min="11775" max="11775" width="11.42578125" style="33"/>
    <col min="11776" max="11776" width="2.28515625" style="33" customWidth="1"/>
    <col min="11777" max="12025" width="11.42578125" style="33"/>
    <col min="12026" max="12026" width="4.85546875" style="33" customWidth="1"/>
    <col min="12027" max="12027" width="6.5703125" style="33" customWidth="1"/>
    <col min="12028" max="12028" width="29.42578125" style="33" customWidth="1"/>
    <col min="12029" max="12029" width="7.5703125" style="33" customWidth="1"/>
    <col min="12030" max="12030" width="2.28515625" style="33" customWidth="1"/>
    <col min="12031" max="12031" width="11.42578125" style="33"/>
    <col min="12032" max="12032" width="2.28515625" style="33" customWidth="1"/>
    <col min="12033" max="12281" width="11.42578125" style="33"/>
    <col min="12282" max="12282" width="4.85546875" style="33" customWidth="1"/>
    <col min="12283" max="12283" width="6.5703125" style="33" customWidth="1"/>
    <col min="12284" max="12284" width="29.42578125" style="33" customWidth="1"/>
    <col min="12285" max="12285" width="7.5703125" style="33" customWidth="1"/>
    <col min="12286" max="12286" width="2.28515625" style="33" customWidth="1"/>
    <col min="12287" max="12287" width="11.42578125" style="33"/>
    <col min="12288" max="12288" width="2.28515625" style="33" customWidth="1"/>
    <col min="12289" max="12537" width="11.42578125" style="33"/>
    <col min="12538" max="12538" width="4.85546875" style="33" customWidth="1"/>
    <col min="12539" max="12539" width="6.5703125" style="33" customWidth="1"/>
    <col min="12540" max="12540" width="29.42578125" style="33" customWidth="1"/>
    <col min="12541" max="12541" width="7.5703125" style="33" customWidth="1"/>
    <col min="12542" max="12542" width="2.28515625" style="33" customWidth="1"/>
    <col min="12543" max="12543" width="11.42578125" style="33"/>
    <col min="12544" max="12544" width="2.28515625" style="33" customWidth="1"/>
    <col min="12545" max="12793" width="11.42578125" style="33"/>
    <col min="12794" max="12794" width="4.85546875" style="33" customWidth="1"/>
    <col min="12795" max="12795" width="6.5703125" style="33" customWidth="1"/>
    <col min="12796" max="12796" width="29.42578125" style="33" customWidth="1"/>
    <col min="12797" max="12797" width="7.5703125" style="33" customWidth="1"/>
    <col min="12798" max="12798" width="2.28515625" style="33" customWidth="1"/>
    <col min="12799" max="12799" width="11.42578125" style="33"/>
    <col min="12800" max="12800" width="2.28515625" style="33" customWidth="1"/>
    <col min="12801" max="13049" width="11.42578125" style="33"/>
    <col min="13050" max="13050" width="4.85546875" style="33" customWidth="1"/>
    <col min="13051" max="13051" width="6.5703125" style="33" customWidth="1"/>
    <col min="13052" max="13052" width="29.42578125" style="33" customWidth="1"/>
    <col min="13053" max="13053" width="7.5703125" style="33" customWidth="1"/>
    <col min="13054" max="13054" width="2.28515625" style="33" customWidth="1"/>
    <col min="13055" max="13055" width="11.42578125" style="33"/>
    <col min="13056" max="13056" width="2.28515625" style="33" customWidth="1"/>
    <col min="13057" max="13305" width="11.42578125" style="33"/>
    <col min="13306" max="13306" width="4.85546875" style="33" customWidth="1"/>
    <col min="13307" max="13307" width="6.5703125" style="33" customWidth="1"/>
    <col min="13308" max="13308" width="29.42578125" style="33" customWidth="1"/>
    <col min="13309" max="13309" width="7.5703125" style="33" customWidth="1"/>
    <col min="13310" max="13310" width="2.28515625" style="33" customWidth="1"/>
    <col min="13311" max="13311" width="11.42578125" style="33"/>
    <col min="13312" max="13312" width="2.28515625" style="33" customWidth="1"/>
    <col min="13313" max="13561" width="11.42578125" style="33"/>
    <col min="13562" max="13562" width="4.85546875" style="33" customWidth="1"/>
    <col min="13563" max="13563" width="6.5703125" style="33" customWidth="1"/>
    <col min="13564" max="13564" width="29.42578125" style="33" customWidth="1"/>
    <col min="13565" max="13565" width="7.5703125" style="33" customWidth="1"/>
    <col min="13566" max="13566" width="2.28515625" style="33" customWidth="1"/>
    <col min="13567" max="13567" width="11.42578125" style="33"/>
    <col min="13568" max="13568" width="2.28515625" style="33" customWidth="1"/>
    <col min="13569" max="13817" width="11.42578125" style="33"/>
    <col min="13818" max="13818" width="4.85546875" style="33" customWidth="1"/>
    <col min="13819" max="13819" width="6.5703125" style="33" customWidth="1"/>
    <col min="13820" max="13820" width="29.42578125" style="33" customWidth="1"/>
    <col min="13821" max="13821" width="7.5703125" style="33" customWidth="1"/>
    <col min="13822" max="13822" width="2.28515625" style="33" customWidth="1"/>
    <col min="13823" max="13823" width="11.42578125" style="33"/>
    <col min="13824" max="13824" width="2.28515625" style="33" customWidth="1"/>
    <col min="13825" max="14073" width="11.42578125" style="33"/>
    <col min="14074" max="14074" width="4.85546875" style="33" customWidth="1"/>
    <col min="14075" max="14075" width="6.5703125" style="33" customWidth="1"/>
    <col min="14076" max="14076" width="29.42578125" style="33" customWidth="1"/>
    <col min="14077" max="14077" width="7.5703125" style="33" customWidth="1"/>
    <col min="14078" max="14078" width="2.28515625" style="33" customWidth="1"/>
    <col min="14079" max="14079" width="11.42578125" style="33"/>
    <col min="14080" max="14080" width="2.28515625" style="33" customWidth="1"/>
    <col min="14081" max="14329" width="11.42578125" style="33"/>
    <col min="14330" max="14330" width="4.85546875" style="33" customWidth="1"/>
    <col min="14331" max="14331" width="6.5703125" style="33" customWidth="1"/>
    <col min="14332" max="14332" width="29.42578125" style="33" customWidth="1"/>
    <col min="14333" max="14333" width="7.5703125" style="33" customWidth="1"/>
    <col min="14334" max="14334" width="2.28515625" style="33" customWidth="1"/>
    <col min="14335" max="14335" width="11.42578125" style="33"/>
    <col min="14336" max="14336" width="2.28515625" style="33" customWidth="1"/>
    <col min="14337" max="14585" width="11.42578125" style="33"/>
    <col min="14586" max="14586" width="4.85546875" style="33" customWidth="1"/>
    <col min="14587" max="14587" width="6.5703125" style="33" customWidth="1"/>
    <col min="14588" max="14588" width="29.42578125" style="33" customWidth="1"/>
    <col min="14589" max="14589" width="7.5703125" style="33" customWidth="1"/>
    <col min="14590" max="14590" width="2.28515625" style="33" customWidth="1"/>
    <col min="14591" max="14591" width="11.42578125" style="33"/>
    <col min="14592" max="14592" width="2.28515625" style="33" customWidth="1"/>
    <col min="14593" max="14841" width="11.42578125" style="33"/>
    <col min="14842" max="14842" width="4.85546875" style="33" customWidth="1"/>
    <col min="14843" max="14843" width="6.5703125" style="33" customWidth="1"/>
    <col min="14844" max="14844" width="29.42578125" style="33" customWidth="1"/>
    <col min="14845" max="14845" width="7.5703125" style="33" customWidth="1"/>
    <col min="14846" max="14846" width="2.28515625" style="33" customWidth="1"/>
    <col min="14847" max="14847" width="11.42578125" style="33"/>
    <col min="14848" max="14848" width="2.28515625" style="33" customWidth="1"/>
    <col min="14849" max="15097" width="11.42578125" style="33"/>
    <col min="15098" max="15098" width="4.85546875" style="33" customWidth="1"/>
    <col min="15099" max="15099" width="6.5703125" style="33" customWidth="1"/>
    <col min="15100" max="15100" width="29.42578125" style="33" customWidth="1"/>
    <col min="15101" max="15101" width="7.5703125" style="33" customWidth="1"/>
    <col min="15102" max="15102" width="2.28515625" style="33" customWidth="1"/>
    <col min="15103" max="15103" width="11.42578125" style="33"/>
    <col min="15104" max="15104" width="2.28515625" style="33" customWidth="1"/>
    <col min="15105" max="15353" width="11.42578125" style="33"/>
    <col min="15354" max="15354" width="4.85546875" style="33" customWidth="1"/>
    <col min="15355" max="15355" width="6.5703125" style="33" customWidth="1"/>
    <col min="15356" max="15356" width="29.42578125" style="33" customWidth="1"/>
    <col min="15357" max="15357" width="7.5703125" style="33" customWidth="1"/>
    <col min="15358" max="15358" width="2.28515625" style="33" customWidth="1"/>
    <col min="15359" max="15359" width="11.42578125" style="33"/>
    <col min="15360" max="15360" width="2.28515625" style="33" customWidth="1"/>
    <col min="15361" max="15609" width="11.42578125" style="33"/>
    <col min="15610" max="15610" width="4.85546875" style="33" customWidth="1"/>
    <col min="15611" max="15611" width="6.5703125" style="33" customWidth="1"/>
    <col min="15612" max="15612" width="29.42578125" style="33" customWidth="1"/>
    <col min="15613" max="15613" width="7.5703125" style="33" customWidth="1"/>
    <col min="15614" max="15614" width="2.28515625" style="33" customWidth="1"/>
    <col min="15615" max="15615" width="11.42578125" style="33"/>
    <col min="15616" max="15616" width="2.28515625" style="33" customWidth="1"/>
    <col min="15617" max="15865" width="11.42578125" style="33"/>
    <col min="15866" max="15866" width="4.85546875" style="33" customWidth="1"/>
    <col min="15867" max="15867" width="6.5703125" style="33" customWidth="1"/>
    <col min="15868" max="15868" width="29.42578125" style="33" customWidth="1"/>
    <col min="15869" max="15869" width="7.5703125" style="33" customWidth="1"/>
    <col min="15870" max="15870" width="2.28515625" style="33" customWidth="1"/>
    <col min="15871" max="15871" width="11.42578125" style="33"/>
    <col min="15872" max="15872" width="2.28515625" style="33" customWidth="1"/>
    <col min="15873" max="16121" width="11.42578125" style="33"/>
    <col min="16122" max="16122" width="4.85546875" style="33" customWidth="1"/>
    <col min="16123" max="16123" width="6.5703125" style="33" customWidth="1"/>
    <col min="16124" max="16124" width="29.42578125" style="33" customWidth="1"/>
    <col min="16125" max="16125" width="7.5703125" style="33" customWidth="1"/>
    <col min="16126" max="16126" width="2.28515625" style="33" customWidth="1"/>
    <col min="16127" max="16127" width="11.42578125" style="33"/>
    <col min="16128" max="16128" width="2.28515625" style="33" customWidth="1"/>
    <col min="16129" max="16384" width="11.42578125" style="33"/>
  </cols>
  <sheetData>
    <row r="1" spans="1:11" s="50" customFormat="1" ht="15.75" x14ac:dyDescent="0.25">
      <c r="A1" s="54" t="s">
        <v>60</v>
      </c>
      <c r="J1" s="158"/>
    </row>
    <row r="2" spans="1:11" s="50" customFormat="1" ht="15.75" x14ac:dyDescent="0.25"/>
    <row r="3" spans="1:11" s="55" customFormat="1" ht="15.75" x14ac:dyDescent="0.25">
      <c r="B3" s="56" t="s">
        <v>61</v>
      </c>
      <c r="C3" s="57" t="s">
        <v>32</v>
      </c>
      <c r="D3" s="57" t="s">
        <v>33</v>
      </c>
    </row>
    <row r="4" spans="1:11" s="36" customFormat="1" ht="8.25" x14ac:dyDescent="0.15">
      <c r="B4" s="34"/>
      <c r="C4" s="35"/>
      <c r="D4" s="35"/>
    </row>
    <row r="5" spans="1:11" s="53" customFormat="1" ht="15.75" x14ac:dyDescent="0.25">
      <c r="B5" s="51" t="s">
        <v>16</v>
      </c>
      <c r="C5" s="52">
        <v>12960</v>
      </c>
      <c r="D5" s="52">
        <v>13600</v>
      </c>
    </row>
    <row r="6" spans="1:11" s="53" customFormat="1" ht="15.75" x14ac:dyDescent="0.25">
      <c r="B6" s="51" t="s">
        <v>17</v>
      </c>
      <c r="C6" s="58">
        <v>13180</v>
      </c>
      <c r="D6" s="58">
        <v>11680</v>
      </c>
    </row>
    <row r="7" spans="1:11" s="31" customFormat="1" ht="20.25" x14ac:dyDescent="0.3">
      <c r="A7" s="50"/>
      <c r="B7" s="51" t="s">
        <v>49</v>
      </c>
      <c r="C7" s="58">
        <f>C5+C6</f>
        <v>26140</v>
      </c>
      <c r="D7" s="58">
        <f>D5+D6</f>
        <v>25280</v>
      </c>
      <c r="E7" s="50"/>
      <c r="F7" s="50"/>
      <c r="G7" s="50"/>
      <c r="H7" s="50"/>
      <c r="I7" s="50"/>
    </row>
    <row r="8" spans="1:11" ht="15" x14ac:dyDescent="0.25">
      <c r="B8" s="37"/>
      <c r="C8" s="39"/>
      <c r="D8" s="39"/>
    </row>
    <row r="9" spans="1:11" ht="15" x14ac:dyDescent="0.25">
      <c r="B9" s="38" t="s">
        <v>50</v>
      </c>
      <c r="C9" s="39"/>
      <c r="D9" s="39"/>
    </row>
    <row r="10" spans="1:11" s="50" customFormat="1" ht="15.75" x14ac:dyDescent="0.25">
      <c r="B10" s="51" t="s">
        <v>8</v>
      </c>
      <c r="C10" s="52">
        <v>7800</v>
      </c>
      <c r="D10" s="52">
        <v>8580</v>
      </c>
    </row>
    <row r="11" spans="1:11" s="50" customFormat="1" ht="15.75" x14ac:dyDescent="0.25">
      <c r="B11" s="51" t="s">
        <v>10</v>
      </c>
      <c r="C11" s="52">
        <v>7060</v>
      </c>
      <c r="D11" s="52">
        <v>8280</v>
      </c>
    </row>
    <row r="12" spans="1:11" s="50" customFormat="1" ht="15.75" x14ac:dyDescent="0.25">
      <c r="B12" s="51" t="s">
        <v>18</v>
      </c>
      <c r="C12" s="58">
        <v>11280</v>
      </c>
      <c r="D12" s="58">
        <v>8420</v>
      </c>
    </row>
    <row r="13" spans="1:11" s="43" customFormat="1" ht="20.25" x14ac:dyDescent="0.3">
      <c r="A13" s="53"/>
      <c r="B13" s="51" t="s">
        <v>57</v>
      </c>
      <c r="C13" s="58">
        <f>C10+C11+C12</f>
        <v>26140</v>
      </c>
      <c r="D13" s="58">
        <f>D10+D11+D12</f>
        <v>25280</v>
      </c>
      <c r="E13" s="53"/>
      <c r="F13" s="53"/>
      <c r="G13" s="53"/>
      <c r="H13" s="53"/>
      <c r="I13" s="53"/>
      <c r="J13" s="53"/>
      <c r="K13" s="53"/>
    </row>
    <row r="14" spans="1:11" s="50" customFormat="1" ht="15.75" x14ac:dyDescent="0.25"/>
    <row r="15" spans="1:11" s="50" customFormat="1" ht="15.75" x14ac:dyDescent="0.25">
      <c r="B15" s="50" t="s">
        <v>62</v>
      </c>
      <c r="C15" s="59">
        <f>C10/C13</f>
        <v>0.29839326702371843</v>
      </c>
      <c r="D15" s="59">
        <f>D10/D13</f>
        <v>0.33939873417721517</v>
      </c>
    </row>
    <row r="16" spans="1:11" s="50" customFormat="1" ht="15.75" x14ac:dyDescent="0.25">
      <c r="B16" s="50" t="s">
        <v>42</v>
      </c>
      <c r="C16" s="60">
        <f>C6-C12</f>
        <v>1900</v>
      </c>
      <c r="D16" s="60">
        <f>D6-D12</f>
        <v>3260</v>
      </c>
    </row>
    <row r="17" spans="1:14" s="50" customFormat="1" ht="15.75" x14ac:dyDescent="0.25">
      <c r="B17" s="50" t="s">
        <v>63</v>
      </c>
      <c r="C17" s="60">
        <v>6780</v>
      </c>
      <c r="D17" s="60">
        <v>4960</v>
      </c>
    </row>
    <row r="18" spans="1:14" s="50" customFormat="1" ht="15.75" x14ac:dyDescent="0.25">
      <c r="B18" s="50" t="s">
        <v>64</v>
      </c>
      <c r="C18" s="59">
        <f>C16/C17</f>
        <v>0.28023598820058998</v>
      </c>
      <c r="D18" s="59">
        <f>D16/D17</f>
        <v>0.657258064516129</v>
      </c>
    </row>
    <row r="19" spans="1:14" s="50" customFormat="1" ht="15.75" x14ac:dyDescent="0.25">
      <c r="B19" s="50" t="s">
        <v>41</v>
      </c>
      <c r="C19" s="61">
        <f>(C11+C12)/C10</f>
        <v>2.3512820512820514</v>
      </c>
      <c r="D19" s="61">
        <f>(D11+D12)/D10</f>
        <v>1.9463869463869463</v>
      </c>
    </row>
    <row r="20" spans="1:14" s="50" customFormat="1" ht="15.75" x14ac:dyDescent="0.25">
      <c r="B20" s="50" t="s">
        <v>43</v>
      </c>
      <c r="C20" s="60">
        <f>C10+C11</f>
        <v>14860</v>
      </c>
      <c r="D20" s="60">
        <f>D10+D11</f>
        <v>16860</v>
      </c>
    </row>
    <row r="21" spans="1:14" s="50" customFormat="1" ht="15.75" x14ac:dyDescent="0.25">
      <c r="B21" s="50" t="s">
        <v>44</v>
      </c>
      <c r="C21" s="61">
        <f>C5/C20</f>
        <v>0.87213997308209956</v>
      </c>
      <c r="D21" s="61">
        <f>D5/D20</f>
        <v>0.80664294187425856</v>
      </c>
    </row>
    <row r="22" spans="1:14" s="50" customFormat="1" ht="15.75" x14ac:dyDescent="0.25">
      <c r="B22" s="50" t="s">
        <v>45</v>
      </c>
      <c r="C22" s="61">
        <f>C6/C12</f>
        <v>1.1684397163120568</v>
      </c>
      <c r="D22" s="61">
        <f>D6/D12</f>
        <v>1.3871733966745843</v>
      </c>
    </row>
    <row r="23" spans="1:14" s="50" customFormat="1" ht="15.75" x14ac:dyDescent="0.25"/>
    <row r="24" spans="1:14" s="50" customFormat="1" ht="15.75" x14ac:dyDescent="0.25">
      <c r="B24" s="10"/>
      <c r="C24" s="227" t="s">
        <v>0</v>
      </c>
      <c r="D24" s="228"/>
      <c r="E24" s="227" t="s">
        <v>8</v>
      </c>
      <c r="F24" s="228"/>
      <c r="G24" s="227" t="s">
        <v>10</v>
      </c>
      <c r="H24" s="228"/>
      <c r="I24" s="229" t="s">
        <v>18</v>
      </c>
      <c r="J24" s="229"/>
    </row>
    <row r="25" spans="1:14" s="50" customFormat="1" ht="15.75" x14ac:dyDescent="0.25">
      <c r="B25" s="62" t="s">
        <v>59</v>
      </c>
      <c r="C25" s="12" t="s">
        <v>19</v>
      </c>
      <c r="D25" s="12" t="s">
        <v>20</v>
      </c>
      <c r="E25" s="12" t="s">
        <v>19</v>
      </c>
      <c r="F25" s="12" t="s">
        <v>20</v>
      </c>
      <c r="G25" s="12" t="s">
        <v>19</v>
      </c>
      <c r="H25" s="12" t="s">
        <v>20</v>
      </c>
      <c r="I25" s="12" t="s">
        <v>19</v>
      </c>
      <c r="J25" s="12" t="s">
        <v>20</v>
      </c>
    </row>
    <row r="26" spans="1:14" s="50" customFormat="1" ht="15.75" x14ac:dyDescent="0.25">
      <c r="B26" s="13" t="s">
        <v>16</v>
      </c>
      <c r="C26" s="14">
        <f>D5</f>
        <v>13600</v>
      </c>
      <c r="D26" s="15">
        <f>C26/C30</f>
        <v>0.53797468354430378</v>
      </c>
      <c r="E26" s="14">
        <v>8580</v>
      </c>
      <c r="F26" s="15">
        <f>E26/C26</f>
        <v>0.63088235294117645</v>
      </c>
      <c r="G26" s="14">
        <f>C26-E26</f>
        <v>5020</v>
      </c>
      <c r="H26" s="15">
        <f>G26/C26</f>
        <v>0.36911764705882355</v>
      </c>
      <c r="I26" s="14"/>
      <c r="J26" s="15"/>
    </row>
    <row r="27" spans="1:14" s="50" customFormat="1" ht="15.75" x14ac:dyDescent="0.25">
      <c r="B27" s="17" t="s">
        <v>21</v>
      </c>
      <c r="C27" s="18">
        <f>D17</f>
        <v>4960</v>
      </c>
      <c r="D27" s="19">
        <f>C27/C30</f>
        <v>0.19620253164556961</v>
      </c>
      <c r="E27" s="18"/>
      <c r="F27" s="19"/>
      <c r="G27" s="18">
        <f>G30-G26</f>
        <v>3260</v>
      </c>
      <c r="H27" s="19">
        <f>G27/C27</f>
        <v>0.657258064516129</v>
      </c>
      <c r="I27" s="18">
        <f>C27-G27</f>
        <v>1700</v>
      </c>
      <c r="J27" s="19">
        <f>I27/C27</f>
        <v>0.34274193548387094</v>
      </c>
    </row>
    <row r="28" spans="1:14" s="50" customFormat="1" ht="15.75" x14ac:dyDescent="0.25">
      <c r="B28" s="20" t="s">
        <v>22</v>
      </c>
      <c r="C28" s="21">
        <f>D6-D17</f>
        <v>6720</v>
      </c>
      <c r="D28" s="22">
        <f>C28/C30</f>
        <v>0.26582278481012656</v>
      </c>
      <c r="E28" s="21"/>
      <c r="F28" s="22"/>
      <c r="G28" s="21"/>
      <c r="H28" s="22"/>
      <c r="I28" s="21">
        <f>I30-I27</f>
        <v>6720</v>
      </c>
      <c r="J28" s="22">
        <f>I28/C28</f>
        <v>1</v>
      </c>
    </row>
    <row r="29" spans="1:14" s="50" customFormat="1" ht="15.75" x14ac:dyDescent="0.25">
      <c r="B29" s="13" t="s">
        <v>23</v>
      </c>
      <c r="C29" s="14">
        <f>SUM(C27:C28)</f>
        <v>11680</v>
      </c>
      <c r="D29" s="15">
        <f>C29/C30</f>
        <v>0.46202531645569622</v>
      </c>
      <c r="E29" s="14"/>
      <c r="F29" s="15"/>
      <c r="G29" s="14">
        <f>SUM(G27:G28)</f>
        <v>3260</v>
      </c>
      <c r="H29" s="15">
        <f>G29/C29</f>
        <v>0.2791095890410959</v>
      </c>
      <c r="I29" s="14">
        <f>SUM(I27:I28)</f>
        <v>8420</v>
      </c>
      <c r="J29" s="15">
        <f>I29/C29</f>
        <v>0.72089041095890416</v>
      </c>
    </row>
    <row r="30" spans="1:14" s="31" customFormat="1" ht="20.25" x14ac:dyDescent="0.3">
      <c r="A30" s="50"/>
      <c r="B30" s="16" t="s">
        <v>24</v>
      </c>
      <c r="C30" s="14">
        <f>C26+C29</f>
        <v>25280</v>
      </c>
      <c r="D30" s="15">
        <f>C30/C30</f>
        <v>1</v>
      </c>
      <c r="E30" s="14">
        <f>D10</f>
        <v>8580</v>
      </c>
      <c r="F30" s="15">
        <f>E30/C30</f>
        <v>0.33939873417721517</v>
      </c>
      <c r="G30" s="14">
        <f>D11</f>
        <v>8280</v>
      </c>
      <c r="H30" s="15">
        <f>G30/C30</f>
        <v>0.32753164556962028</v>
      </c>
      <c r="I30" s="14">
        <f>D12</f>
        <v>8420</v>
      </c>
      <c r="J30" s="15">
        <f>I30/C30</f>
        <v>0.33306962025316456</v>
      </c>
      <c r="K30" s="50"/>
      <c r="L30" s="50"/>
      <c r="M30" s="50"/>
      <c r="N30" s="50"/>
    </row>
    <row r="31" spans="1:14" s="50" customFormat="1" ht="15.75" x14ac:dyDescent="0.25"/>
    <row r="32" spans="1:14" s="50" customFormat="1" ht="15.75" x14ac:dyDescent="0.25"/>
    <row r="33" spans="1:14" s="50" customFormat="1" ht="15.75" x14ac:dyDescent="0.25"/>
    <row r="34" spans="1:14" s="50" customFormat="1" ht="15.75" x14ac:dyDescent="0.25">
      <c r="B34" s="10"/>
      <c r="C34" s="227" t="s">
        <v>0</v>
      </c>
      <c r="D34" s="228"/>
      <c r="E34" s="227" t="s">
        <v>8</v>
      </c>
      <c r="F34" s="228"/>
      <c r="G34" s="227" t="s">
        <v>10</v>
      </c>
      <c r="H34" s="228"/>
      <c r="I34" s="229" t="s">
        <v>18</v>
      </c>
      <c r="J34" s="229"/>
    </row>
    <row r="35" spans="1:14" s="50" customFormat="1" ht="15.75" x14ac:dyDescent="0.25">
      <c r="B35" s="62" t="s">
        <v>58</v>
      </c>
      <c r="C35" s="12" t="s">
        <v>19</v>
      </c>
      <c r="D35" s="12" t="s">
        <v>20</v>
      </c>
      <c r="E35" s="12" t="s">
        <v>19</v>
      </c>
      <c r="F35" s="12" t="s">
        <v>20</v>
      </c>
      <c r="G35" s="12" t="s">
        <v>19</v>
      </c>
      <c r="H35" s="12" t="s">
        <v>20</v>
      </c>
      <c r="I35" s="12" t="s">
        <v>19</v>
      </c>
      <c r="J35" s="12" t="s">
        <v>20</v>
      </c>
    </row>
    <row r="36" spans="1:14" s="50" customFormat="1" ht="15.75" x14ac:dyDescent="0.25">
      <c r="B36" s="13" t="s">
        <v>16</v>
      </c>
      <c r="C36" s="14">
        <f>C5</f>
        <v>12960</v>
      </c>
      <c r="D36" s="15">
        <f>C36/$C$40</f>
        <v>0.4957918898240245</v>
      </c>
      <c r="E36" s="14">
        <f>E40</f>
        <v>7800</v>
      </c>
      <c r="F36" s="15">
        <f>E36/C36</f>
        <v>0.60185185185185186</v>
      </c>
      <c r="G36" s="14">
        <f>C36-E36</f>
        <v>5160</v>
      </c>
      <c r="H36" s="15">
        <f>G36/C36</f>
        <v>0.39814814814814814</v>
      </c>
      <c r="I36" s="14"/>
      <c r="J36" s="15"/>
    </row>
    <row r="37" spans="1:14" s="50" customFormat="1" ht="15.75" x14ac:dyDescent="0.25">
      <c r="B37" s="17" t="s">
        <v>21</v>
      </c>
      <c r="C37" s="18">
        <f>C17</f>
        <v>6780</v>
      </c>
      <c r="D37" s="19">
        <f t="shared" ref="D37:D40" si="0">C37/$C$40</f>
        <v>0.25937260902830911</v>
      </c>
      <c r="E37" s="18"/>
      <c r="F37" s="19"/>
      <c r="G37" s="18">
        <f>G40-G36</f>
        <v>1900</v>
      </c>
      <c r="H37" s="19">
        <f>G37/C37</f>
        <v>0.28023598820058998</v>
      </c>
      <c r="I37" s="18">
        <f>C37-G37</f>
        <v>4880</v>
      </c>
      <c r="J37" s="19">
        <f>I37/C37</f>
        <v>0.71976401179941008</v>
      </c>
    </row>
    <row r="38" spans="1:14" s="50" customFormat="1" ht="15.75" x14ac:dyDescent="0.25">
      <c r="B38" s="20" t="s">
        <v>22</v>
      </c>
      <c r="C38" s="21">
        <f>C6-C17</f>
        <v>6400</v>
      </c>
      <c r="D38" s="22">
        <f t="shared" si="0"/>
        <v>0.24483550114766642</v>
      </c>
      <c r="E38" s="21"/>
      <c r="F38" s="22"/>
      <c r="G38" s="21"/>
      <c r="H38" s="22"/>
      <c r="I38" s="21">
        <f>I40-I37</f>
        <v>6400</v>
      </c>
      <c r="J38" s="22">
        <f>I38/C38</f>
        <v>1</v>
      </c>
    </row>
    <row r="39" spans="1:14" s="50" customFormat="1" ht="15.75" x14ac:dyDescent="0.25">
      <c r="B39" s="13" t="s">
        <v>23</v>
      </c>
      <c r="C39" s="14">
        <f>SUM(C37:C38)</f>
        <v>13180</v>
      </c>
      <c r="D39" s="15">
        <f t="shared" si="0"/>
        <v>0.50420811017597555</v>
      </c>
      <c r="E39" s="14"/>
      <c r="F39" s="15"/>
      <c r="G39" s="14"/>
      <c r="H39" s="15">
        <f>G39/C39</f>
        <v>0</v>
      </c>
      <c r="I39" s="14">
        <f>SUM(I37:I38)</f>
        <v>11280</v>
      </c>
      <c r="J39" s="15">
        <f>I39/C39</f>
        <v>0.85584218512898336</v>
      </c>
    </row>
    <row r="40" spans="1:14" s="31" customFormat="1" ht="20.25" x14ac:dyDescent="0.3">
      <c r="A40" s="50"/>
      <c r="B40" s="16" t="s">
        <v>24</v>
      </c>
      <c r="C40" s="14">
        <f>C36+C39</f>
        <v>26140</v>
      </c>
      <c r="D40" s="15">
        <f t="shared" si="0"/>
        <v>1</v>
      </c>
      <c r="E40" s="14">
        <f>C10</f>
        <v>7800</v>
      </c>
      <c r="F40" s="15">
        <f>E40/C40</f>
        <v>0.29839326702371843</v>
      </c>
      <c r="G40" s="14">
        <f>C11</f>
        <v>7060</v>
      </c>
      <c r="H40" s="15">
        <f>G40/C40</f>
        <v>0.2700841622035195</v>
      </c>
      <c r="I40" s="14">
        <f>C12</f>
        <v>11280</v>
      </c>
      <c r="J40" s="15">
        <f>I40/C40</f>
        <v>0.43152257077276207</v>
      </c>
      <c r="K40" s="50"/>
      <c r="L40" s="50"/>
      <c r="M40" s="50"/>
      <c r="N40" s="50"/>
    </row>
    <row r="41" spans="1:14" s="50" customFormat="1" ht="15.75" x14ac:dyDescent="0.25"/>
    <row r="42" spans="1:14" s="50" customFormat="1" ht="15.75" x14ac:dyDescent="0.25">
      <c r="A42" s="50" t="s">
        <v>65</v>
      </c>
      <c r="B42" s="50" t="s">
        <v>66</v>
      </c>
    </row>
    <row r="43" spans="1:14" s="50" customFormat="1" ht="15.75" x14ac:dyDescent="0.25">
      <c r="B43" s="50" t="s">
        <v>67</v>
      </c>
    </row>
    <row r="44" spans="1:14" s="50" customFormat="1" ht="15.75" x14ac:dyDescent="0.25">
      <c r="B44" s="50" t="s">
        <v>68</v>
      </c>
    </row>
    <row r="45" spans="1:14" s="50" customFormat="1" ht="15.75" x14ac:dyDescent="0.25">
      <c r="B45" s="50" t="s">
        <v>69</v>
      </c>
    </row>
    <row r="46" spans="1:14" s="50" customFormat="1" ht="15.75" x14ac:dyDescent="0.25">
      <c r="B46" s="50" t="s">
        <v>70</v>
      </c>
    </row>
    <row r="47" spans="1:14" s="50" customFormat="1" ht="15.75" x14ac:dyDescent="0.25">
      <c r="B47" s="50" t="s">
        <v>71</v>
      </c>
    </row>
    <row r="48" spans="1:14" s="50" customFormat="1" ht="15.75" x14ac:dyDescent="0.25">
      <c r="B48" s="50" t="s">
        <v>72</v>
      </c>
    </row>
    <row r="49" spans="1:7" s="50" customFormat="1" ht="15.75" x14ac:dyDescent="0.25"/>
    <row r="50" spans="1:7" s="50" customFormat="1" ht="15.75" x14ac:dyDescent="0.25">
      <c r="B50" s="50" t="s">
        <v>73</v>
      </c>
      <c r="G50" s="171"/>
    </row>
    <row r="51" spans="1:7" s="50" customFormat="1" ht="15.75" x14ac:dyDescent="0.25"/>
    <row r="52" spans="1:7" s="50" customFormat="1" ht="15.75" x14ac:dyDescent="0.25">
      <c r="A52" s="50" t="s">
        <v>74</v>
      </c>
      <c r="B52" s="50" t="s">
        <v>75</v>
      </c>
    </row>
    <row r="53" spans="1:7" s="50" customFormat="1" ht="15.75" x14ac:dyDescent="0.25">
      <c r="B53" s="50" t="s">
        <v>76</v>
      </c>
    </row>
    <row r="54" spans="1:7" s="50" customFormat="1" ht="15.75" x14ac:dyDescent="0.25">
      <c r="B54" s="50" t="s">
        <v>77</v>
      </c>
    </row>
    <row r="55" spans="1:7" s="50" customFormat="1" ht="15.75" x14ac:dyDescent="0.25">
      <c r="B55" s="50" t="s">
        <v>79</v>
      </c>
    </row>
    <row r="56" spans="1:7" s="50" customFormat="1" ht="15.75" x14ac:dyDescent="0.25">
      <c r="B56" s="50" t="s">
        <v>78</v>
      </c>
    </row>
    <row r="57" spans="1:7" s="50" customFormat="1" ht="15.75" x14ac:dyDescent="0.25"/>
    <row r="58" spans="1:7" s="50" customFormat="1" ht="15.75" x14ac:dyDescent="0.25"/>
    <row r="59" spans="1:7" s="50" customFormat="1" ht="15.75" x14ac:dyDescent="0.25"/>
    <row r="60" spans="1:7" s="50" customFormat="1" ht="15.75" x14ac:dyDescent="0.25"/>
    <row r="61" spans="1:7" s="50" customFormat="1" ht="15.75" x14ac:dyDescent="0.25"/>
    <row r="62" spans="1:7" s="50" customFormat="1" ht="15.75" x14ac:dyDescent="0.25"/>
    <row r="63" spans="1:7" s="50" customFormat="1" ht="15.75" x14ac:dyDescent="0.25"/>
    <row r="64" spans="1:7" s="50" customFormat="1" ht="15.75" x14ac:dyDescent="0.25"/>
    <row r="65" s="50" customFormat="1" ht="15.75" x14ac:dyDescent="0.25"/>
    <row r="66" s="50" customFormat="1" ht="15.75" x14ac:dyDescent="0.25"/>
    <row r="67" s="50" customFormat="1" ht="15.75" x14ac:dyDescent="0.25"/>
    <row r="68" s="50" customFormat="1" ht="15.75" x14ac:dyDescent="0.25"/>
    <row r="69" s="50" customFormat="1" ht="15.75" x14ac:dyDescent="0.25"/>
    <row r="70" s="50" customFormat="1" ht="15.75" x14ac:dyDescent="0.25"/>
    <row r="71" s="50" customFormat="1" ht="15.75" x14ac:dyDescent="0.25"/>
    <row r="72" s="50" customFormat="1" ht="15.75" x14ac:dyDescent="0.25"/>
    <row r="73" s="50" customFormat="1" ht="15.75" x14ac:dyDescent="0.25"/>
    <row r="74" s="50" customFormat="1" ht="15.75" x14ac:dyDescent="0.25"/>
    <row r="75" s="50" customFormat="1" ht="15.75" x14ac:dyDescent="0.25"/>
    <row r="76" s="50" customFormat="1" ht="15.75" x14ac:dyDescent="0.25"/>
    <row r="77" s="50" customFormat="1" ht="15.75" x14ac:dyDescent="0.25"/>
    <row r="78" s="50" customFormat="1" ht="15.75" x14ac:dyDescent="0.25"/>
  </sheetData>
  <mergeCells count="8">
    <mergeCell ref="C24:D24"/>
    <mergeCell ref="E24:F24"/>
    <mergeCell ref="G24:H24"/>
    <mergeCell ref="I24:J24"/>
    <mergeCell ref="C34:D34"/>
    <mergeCell ref="E34:F34"/>
    <mergeCell ref="G34:H34"/>
    <mergeCell ref="I34:J34"/>
  </mergeCells>
  <pageMargins left="0.78740157480314965" right="0.78740157480314965" top="0.59055118110236227" bottom="0.59055118110236227" header="0.51181102362204722" footer="0.51181102362204722"/>
  <pageSetup paperSize="9" orientation="landscape" horizontalDpi="4294967292" r:id="rId1"/>
  <headerFooter alignWithMargins="0">
    <oddFooter>&amp;CSide &amp;P av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workbookViewId="0"/>
  </sheetViews>
  <sheetFormatPr baseColWidth="10" defaultColWidth="9.140625" defaultRowHeight="15.75" x14ac:dyDescent="0.25"/>
  <cols>
    <col min="1" max="1" width="5.85546875" style="2" customWidth="1"/>
    <col min="2" max="2" width="22.85546875" style="2" bestFit="1" customWidth="1"/>
    <col min="3" max="3" width="9.140625" style="3"/>
    <col min="4" max="6" width="9.140625" style="2"/>
    <col min="7" max="7" width="6.85546875" style="2" customWidth="1"/>
    <col min="8" max="16384" width="9.140625" style="2"/>
  </cols>
  <sheetData>
    <row r="1" spans="1:14" x14ac:dyDescent="0.25">
      <c r="A1" s="7" t="s">
        <v>94</v>
      </c>
    </row>
    <row r="3" spans="1:14" x14ac:dyDescent="0.25">
      <c r="B3" s="1" t="s">
        <v>0</v>
      </c>
    </row>
    <row r="4" spans="1:14" x14ac:dyDescent="0.25">
      <c r="B4" s="2" t="s">
        <v>16</v>
      </c>
      <c r="C4" s="4">
        <v>1550</v>
      </c>
    </row>
    <row r="6" spans="1:14" x14ac:dyDescent="0.25">
      <c r="B6" s="2" t="s">
        <v>2</v>
      </c>
      <c r="C6" s="3">
        <v>774</v>
      </c>
    </row>
    <row r="7" spans="1:14" x14ac:dyDescent="0.25">
      <c r="B7" s="2" t="s">
        <v>3</v>
      </c>
      <c r="C7" s="3">
        <v>378</v>
      </c>
      <c r="E7" s="3"/>
    </row>
    <row r="8" spans="1:14" x14ac:dyDescent="0.25">
      <c r="B8" s="2" t="s">
        <v>4</v>
      </c>
      <c r="C8" s="3">
        <v>762</v>
      </c>
    </row>
    <row r="9" spans="1:14" s="5" customFormat="1" ht="20.25" x14ac:dyDescent="0.3">
      <c r="A9" s="2"/>
      <c r="B9" s="2" t="s">
        <v>23</v>
      </c>
      <c r="C9" s="6">
        <f>SUM(C6:C8)</f>
        <v>1914</v>
      </c>
      <c r="D9" s="2"/>
      <c r="E9" s="2"/>
      <c r="F9" s="2"/>
      <c r="G9" s="2"/>
      <c r="H9" s="2"/>
      <c r="I9" s="2"/>
      <c r="J9" s="2"/>
      <c r="K9" s="2"/>
      <c r="L9" s="2"/>
      <c r="M9" s="2"/>
    </row>
    <row r="11" spans="1:14" x14ac:dyDescent="0.25">
      <c r="B11" s="2" t="s">
        <v>6</v>
      </c>
      <c r="C11" s="4">
        <f>C4+C9</f>
        <v>3464</v>
      </c>
    </row>
    <row r="13" spans="1:14" x14ac:dyDescent="0.25">
      <c r="B13" s="1" t="s">
        <v>7</v>
      </c>
    </row>
    <row r="14" spans="1:14" x14ac:dyDescent="0.25">
      <c r="B14" s="2" t="s">
        <v>34</v>
      </c>
      <c r="C14" s="3">
        <v>800</v>
      </c>
    </row>
    <row r="15" spans="1:14" x14ac:dyDescent="0.25">
      <c r="B15" s="2" t="s">
        <v>35</v>
      </c>
      <c r="C15" s="3">
        <v>252</v>
      </c>
    </row>
    <row r="16" spans="1:14" s="5" customFormat="1" ht="20.25" x14ac:dyDescent="0.3">
      <c r="A16" s="2"/>
      <c r="B16" s="2" t="s">
        <v>51</v>
      </c>
      <c r="C16" s="6">
        <f>SUM(C14:C15)</f>
        <v>1052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</row>
    <row r="18" spans="1:7" x14ac:dyDescent="0.25">
      <c r="B18" s="2" t="s">
        <v>10</v>
      </c>
      <c r="C18" s="3">
        <v>1310</v>
      </c>
    </row>
    <row r="19" spans="1:7" x14ac:dyDescent="0.25">
      <c r="B19" s="2" t="s">
        <v>18</v>
      </c>
      <c r="C19" s="3">
        <v>1102</v>
      </c>
    </row>
    <row r="21" spans="1:7" x14ac:dyDescent="0.25">
      <c r="B21" s="2" t="s">
        <v>14</v>
      </c>
      <c r="C21" s="4">
        <f>C16+C18+C19</f>
        <v>3464</v>
      </c>
    </row>
    <row r="23" spans="1:7" x14ac:dyDescent="0.25">
      <c r="A23" s="2" t="s">
        <v>65</v>
      </c>
      <c r="B23" s="2" t="s">
        <v>95</v>
      </c>
      <c r="D23" s="3" t="s">
        <v>96</v>
      </c>
      <c r="G23" s="23">
        <f>C9/C19</f>
        <v>1.736842105263158</v>
      </c>
    </row>
    <row r="25" spans="1:7" x14ac:dyDescent="0.25">
      <c r="B25" s="2" t="s">
        <v>97</v>
      </c>
      <c r="E25" s="2" t="s">
        <v>98</v>
      </c>
      <c r="G25" s="23">
        <f>1140/C19</f>
        <v>1.0344827586206897</v>
      </c>
    </row>
    <row r="27" spans="1:7" x14ac:dyDescent="0.25">
      <c r="A27" s="2" t="s">
        <v>74</v>
      </c>
      <c r="B27" s="2" t="s">
        <v>99</v>
      </c>
    </row>
    <row r="28" spans="1:7" x14ac:dyDescent="0.25">
      <c r="B28" s="2" t="s">
        <v>100</v>
      </c>
    </row>
    <row r="29" spans="1:7" x14ac:dyDescent="0.25">
      <c r="B29" s="2" t="s">
        <v>101</v>
      </c>
    </row>
    <row r="30" spans="1:7" x14ac:dyDescent="0.25">
      <c r="B30" s="2" t="s">
        <v>102</v>
      </c>
    </row>
    <row r="31" spans="1:7" x14ac:dyDescent="0.25">
      <c r="B31" s="2" t="s">
        <v>103</v>
      </c>
    </row>
    <row r="33" spans="2:2" x14ac:dyDescent="0.25">
      <c r="B33" s="2" t="s">
        <v>104</v>
      </c>
    </row>
    <row r="34" spans="2:2" x14ac:dyDescent="0.25">
      <c r="B34" s="2" t="s">
        <v>105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/>
  </sheetViews>
  <sheetFormatPr baseColWidth="10" defaultRowHeight="15.75" x14ac:dyDescent="0.25"/>
  <cols>
    <col min="1" max="1" width="6.42578125" style="2" customWidth="1"/>
    <col min="2" max="2" width="22.85546875" style="2" bestFit="1" customWidth="1"/>
    <col min="3" max="3" width="11.42578125" style="3"/>
    <col min="4" max="4" width="6.140625" style="2" customWidth="1"/>
    <col min="5" max="16384" width="11.42578125" style="2"/>
  </cols>
  <sheetData>
    <row r="1" spans="1:15" x14ac:dyDescent="0.25">
      <c r="A1" s="7" t="s">
        <v>114</v>
      </c>
    </row>
    <row r="3" spans="1:15" x14ac:dyDescent="0.25">
      <c r="A3" s="2" t="s">
        <v>65</v>
      </c>
      <c r="B3" s="1" t="s">
        <v>0</v>
      </c>
    </row>
    <row r="4" spans="1:15" x14ac:dyDescent="0.25">
      <c r="B4" s="2" t="s">
        <v>90</v>
      </c>
      <c r="C4" s="3">
        <v>5200</v>
      </c>
    </row>
    <row r="5" spans="1:15" x14ac:dyDescent="0.25">
      <c r="B5" s="2" t="s">
        <v>106</v>
      </c>
      <c r="C5" s="3">
        <v>3464</v>
      </c>
    </row>
    <row r="6" spans="1:15" s="5" customFormat="1" ht="20.25" x14ac:dyDescent="0.3">
      <c r="A6" s="2"/>
      <c r="B6" s="2" t="s">
        <v>5</v>
      </c>
      <c r="C6" s="6">
        <f>SUM(C4:C5)</f>
        <v>8664</v>
      </c>
      <c r="D6" s="2"/>
      <c r="E6" s="2"/>
      <c r="F6" s="2"/>
    </row>
    <row r="8" spans="1:15" x14ac:dyDescent="0.25">
      <c r="B8" s="2" t="s">
        <v>63</v>
      </c>
      <c r="C8" s="3">
        <v>1732</v>
      </c>
    </row>
    <row r="9" spans="1:15" x14ac:dyDescent="0.25">
      <c r="B9" s="2" t="s">
        <v>3</v>
      </c>
      <c r="C9" s="3">
        <v>910</v>
      </c>
    </row>
    <row r="10" spans="1:15" x14ac:dyDescent="0.25">
      <c r="B10" s="2" t="s">
        <v>4</v>
      </c>
      <c r="C10" s="3">
        <v>874</v>
      </c>
      <c r="E10" s="3"/>
    </row>
    <row r="11" spans="1:15" s="5" customFormat="1" ht="20.25" x14ac:dyDescent="0.3">
      <c r="A11" s="2"/>
      <c r="B11" s="2" t="s">
        <v>23</v>
      </c>
      <c r="C11" s="6">
        <f>SUM(C8:C10)</f>
        <v>3516</v>
      </c>
      <c r="D11" s="2"/>
      <c r="E11" s="2"/>
      <c r="F11" s="2"/>
      <c r="G11" s="2"/>
      <c r="H11" s="2"/>
      <c r="I11" s="2"/>
    </row>
    <row r="12" spans="1:15" x14ac:dyDescent="0.25">
      <c r="C12" s="65"/>
    </row>
    <row r="13" spans="1:15" s="5" customFormat="1" ht="20.25" x14ac:dyDescent="0.3">
      <c r="A13" s="2"/>
      <c r="B13" s="2" t="s">
        <v>6</v>
      </c>
      <c r="C13" s="4">
        <f>C6+C11</f>
        <v>12180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5" spans="1:15" x14ac:dyDescent="0.25">
      <c r="B15" s="1" t="s">
        <v>7</v>
      </c>
    </row>
    <row r="16" spans="1:15" x14ac:dyDescent="0.25">
      <c r="B16" s="2" t="s">
        <v>34</v>
      </c>
      <c r="C16" s="3">
        <v>1750</v>
      </c>
    </row>
    <row r="17" spans="1:8" x14ac:dyDescent="0.25">
      <c r="B17" s="2" t="s">
        <v>35</v>
      </c>
      <c r="C17" s="3">
        <v>735</v>
      </c>
    </row>
    <row r="18" spans="1:8" s="5" customFormat="1" ht="20.25" x14ac:dyDescent="0.3">
      <c r="A18" s="2"/>
      <c r="B18" s="2" t="s">
        <v>51</v>
      </c>
      <c r="C18" s="6">
        <f>SUM(C16:C17)</f>
        <v>2485</v>
      </c>
      <c r="D18" s="2"/>
      <c r="E18" s="2"/>
      <c r="F18" s="2"/>
      <c r="G18" s="2"/>
      <c r="H18" s="2"/>
    </row>
    <row r="20" spans="1:8" x14ac:dyDescent="0.25">
      <c r="B20" s="2" t="s">
        <v>107</v>
      </c>
      <c r="C20" s="4">
        <v>6230</v>
      </c>
    </row>
    <row r="21" spans="1:8" s="5" customFormat="1" ht="20.25" x14ac:dyDescent="0.3">
      <c r="A21" s="2"/>
      <c r="B21" s="2" t="s">
        <v>54</v>
      </c>
      <c r="C21" s="4">
        <f>SUM(C20)</f>
        <v>6230</v>
      </c>
      <c r="D21" s="2"/>
      <c r="E21" s="2"/>
      <c r="F21" s="2"/>
      <c r="G21" s="2"/>
    </row>
    <row r="23" spans="1:8" x14ac:dyDescent="0.25">
      <c r="B23" s="2" t="s">
        <v>11</v>
      </c>
      <c r="C23" s="3">
        <v>1295</v>
      </c>
    </row>
    <row r="24" spans="1:8" x14ac:dyDescent="0.25">
      <c r="B24" s="2" t="s">
        <v>38</v>
      </c>
      <c r="C24" s="3">
        <v>436</v>
      </c>
    </row>
    <row r="25" spans="1:8" x14ac:dyDescent="0.25">
      <c r="B25" s="2" t="s">
        <v>39</v>
      </c>
      <c r="C25" s="3">
        <v>1734</v>
      </c>
    </row>
    <row r="26" spans="1:8" s="5" customFormat="1" ht="20.25" x14ac:dyDescent="0.3">
      <c r="A26" s="2"/>
      <c r="B26" s="2" t="s">
        <v>13</v>
      </c>
      <c r="C26" s="6">
        <f>SUM(C23:C25)</f>
        <v>3465</v>
      </c>
      <c r="D26" s="2"/>
      <c r="E26" s="2"/>
    </row>
    <row r="28" spans="1:8" x14ac:dyDescent="0.25">
      <c r="B28" s="2" t="s">
        <v>14</v>
      </c>
      <c r="C28" s="3">
        <f>C18+C21+C26</f>
        <v>12180</v>
      </c>
    </row>
    <row r="30" spans="1:8" x14ac:dyDescent="0.25">
      <c r="A30" s="2" t="s">
        <v>74</v>
      </c>
      <c r="B30" s="2" t="s">
        <v>108</v>
      </c>
      <c r="D30" s="23">
        <f>C11/C26</f>
        <v>1.0147186147186147</v>
      </c>
      <c r="E30" s="2" t="s">
        <v>110</v>
      </c>
    </row>
    <row r="31" spans="1:8" x14ac:dyDescent="0.25">
      <c r="B31" s="2" t="s">
        <v>109</v>
      </c>
      <c r="D31" s="66">
        <f>(C9+C10)/C26</f>
        <v>0.51486291486291491</v>
      </c>
      <c r="E31" s="2" t="s">
        <v>111</v>
      </c>
    </row>
    <row r="33" spans="2:2" x14ac:dyDescent="0.25">
      <c r="B33" s="2" t="s">
        <v>112</v>
      </c>
    </row>
    <row r="34" spans="2:2" x14ac:dyDescent="0.25">
      <c r="B34" s="2" t="s">
        <v>113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/>
  </sheetViews>
  <sheetFormatPr baseColWidth="10" defaultRowHeight="15.75" x14ac:dyDescent="0.25"/>
  <cols>
    <col min="1" max="1" width="5.5703125" style="2" customWidth="1"/>
    <col min="2" max="3" width="11.42578125" style="2"/>
    <col min="4" max="4" width="11.42578125" style="2" customWidth="1"/>
    <col min="5" max="5" width="11.42578125" style="2"/>
    <col min="6" max="6" width="4.5703125" style="2" customWidth="1"/>
    <col min="7" max="7" width="6.5703125" style="2" customWidth="1"/>
    <col min="8" max="16384" width="11.42578125" style="2"/>
  </cols>
  <sheetData>
    <row r="1" spans="1:7" x14ac:dyDescent="0.25">
      <c r="A1" s="7" t="s">
        <v>115</v>
      </c>
    </row>
    <row r="3" spans="1:7" x14ac:dyDescent="0.25">
      <c r="A3" s="2" t="s">
        <v>65</v>
      </c>
      <c r="B3" s="2" t="s">
        <v>116</v>
      </c>
      <c r="F3" s="67">
        <f>365*750/8000</f>
        <v>34.21875</v>
      </c>
      <c r="G3" s="68" t="s">
        <v>117</v>
      </c>
    </row>
    <row r="5" spans="1:7" x14ac:dyDescent="0.25">
      <c r="A5" s="2" t="s">
        <v>74</v>
      </c>
      <c r="B5" s="2" t="s">
        <v>118</v>
      </c>
      <c r="F5" s="68">
        <f>365/12</f>
        <v>30.416666666666668</v>
      </c>
      <c r="G5" s="68" t="s">
        <v>117</v>
      </c>
    </row>
    <row r="7" spans="1:7" x14ac:dyDescent="0.25">
      <c r="A7" s="2" t="s">
        <v>119</v>
      </c>
      <c r="B7" s="2" t="s">
        <v>120</v>
      </c>
      <c r="F7" s="68">
        <f>365*400/3600</f>
        <v>40.555555555555557</v>
      </c>
      <c r="G7" s="68" t="s">
        <v>117</v>
      </c>
    </row>
    <row r="10" spans="1:7" x14ac:dyDescent="0.25">
      <c r="A10" s="7" t="s">
        <v>121</v>
      </c>
    </row>
    <row r="12" spans="1:7" x14ac:dyDescent="0.25">
      <c r="A12" s="2" t="s">
        <v>65</v>
      </c>
      <c r="B12" s="2" t="s">
        <v>122</v>
      </c>
      <c r="F12" s="68">
        <f>365*750/(8000*1.25)</f>
        <v>27.375</v>
      </c>
      <c r="G12" s="68" t="s">
        <v>117</v>
      </c>
    </row>
    <row r="14" spans="1:7" x14ac:dyDescent="0.25">
      <c r="A14" s="2" t="s">
        <v>74</v>
      </c>
      <c r="B14" s="2" t="s">
        <v>122</v>
      </c>
      <c r="F14" s="68">
        <f>365*200/(2400*1.25)</f>
        <v>24.333333333333332</v>
      </c>
      <c r="G14" s="68" t="s">
        <v>117</v>
      </c>
    </row>
    <row r="17" spans="1:11" x14ac:dyDescent="0.25">
      <c r="A17" s="7" t="s">
        <v>123</v>
      </c>
    </row>
    <row r="19" spans="1:11" x14ac:dyDescent="0.25">
      <c r="A19" s="2" t="s">
        <v>65</v>
      </c>
      <c r="B19" s="2" t="s">
        <v>124</v>
      </c>
      <c r="F19" s="68">
        <f>365*280/(4000*1.25)</f>
        <v>20.440000000000001</v>
      </c>
      <c r="G19" s="68" t="s">
        <v>117</v>
      </c>
    </row>
    <row r="22" spans="1:11" x14ac:dyDescent="0.25">
      <c r="A22" s="2" t="s">
        <v>74</v>
      </c>
      <c r="B22" s="2" t="s">
        <v>125</v>
      </c>
      <c r="D22" s="3">
        <v>6350000</v>
      </c>
    </row>
    <row r="23" spans="1:11" x14ac:dyDescent="0.25">
      <c r="A23" s="69" t="s">
        <v>127</v>
      </c>
      <c r="B23" s="2" t="s">
        <v>126</v>
      </c>
      <c r="D23" s="4">
        <v>50000</v>
      </c>
    </row>
    <row r="24" spans="1:11" s="5" customFormat="1" ht="20.25" x14ac:dyDescent="0.3">
      <c r="A24" s="69" t="s">
        <v>128</v>
      </c>
      <c r="B24" s="2" t="s">
        <v>129</v>
      </c>
      <c r="C24" s="2"/>
      <c r="D24" s="6">
        <f>D22+D23</f>
        <v>6400000</v>
      </c>
      <c r="E24" s="2"/>
      <c r="F24" s="2"/>
      <c r="G24" s="2"/>
      <c r="H24" s="2"/>
      <c r="I24" s="2"/>
      <c r="J24" s="2"/>
      <c r="K24" s="2"/>
    </row>
    <row r="26" spans="1:11" x14ac:dyDescent="0.25">
      <c r="B26" s="2" t="str">
        <f>B19</f>
        <v>Kredittid for varekjøpet:</v>
      </c>
      <c r="F26" s="68">
        <f>365*500/(6400*1.25)</f>
        <v>22.8125</v>
      </c>
      <c r="G26" s="68" t="s">
        <v>117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workbookViewId="0"/>
  </sheetViews>
  <sheetFormatPr baseColWidth="10" defaultRowHeight="15.75" x14ac:dyDescent="0.25"/>
  <cols>
    <col min="1" max="1" width="32.85546875" style="2" customWidth="1"/>
    <col min="2" max="2" width="8.7109375" style="3" customWidth="1"/>
    <col min="3" max="3" width="2" style="154" customWidth="1"/>
    <col min="4" max="4" width="8.7109375" style="3" customWidth="1"/>
    <col min="5" max="16384" width="11.42578125" style="2"/>
  </cols>
  <sheetData>
    <row r="1" spans="1:6" x14ac:dyDescent="0.25">
      <c r="A1" s="7" t="s">
        <v>460</v>
      </c>
    </row>
    <row r="3" spans="1:6" x14ac:dyDescent="0.25">
      <c r="A3" s="7" t="s">
        <v>91</v>
      </c>
      <c r="B3" s="70" t="s">
        <v>32</v>
      </c>
      <c r="C3" s="155"/>
      <c r="D3" s="70" t="s">
        <v>33</v>
      </c>
    </row>
    <row r="4" spans="1:6" x14ac:dyDescent="0.25">
      <c r="A4" s="1" t="s">
        <v>0</v>
      </c>
    </row>
    <row r="5" spans="1:6" x14ac:dyDescent="0.25">
      <c r="A5" s="2" t="s">
        <v>130</v>
      </c>
      <c r="B5" s="3">
        <v>0</v>
      </c>
      <c r="D5" s="3">
        <v>3240</v>
      </c>
    </row>
    <row r="6" spans="1:6" x14ac:dyDescent="0.25">
      <c r="A6" s="2" t="s">
        <v>131</v>
      </c>
      <c r="B6" s="4">
        <v>2850</v>
      </c>
      <c r="D6" s="4">
        <v>1620</v>
      </c>
    </row>
    <row r="7" spans="1:6" s="5" customFormat="1" ht="20.25" x14ac:dyDescent="0.3">
      <c r="A7" s="2" t="s">
        <v>5</v>
      </c>
      <c r="B7" s="6">
        <f>SUM(B5:B6)</f>
        <v>2850</v>
      </c>
      <c r="C7" s="154"/>
      <c r="D7" s="6">
        <f>SUM(D5:D6)</f>
        <v>4860</v>
      </c>
      <c r="E7" s="2"/>
      <c r="F7" s="2"/>
    </row>
    <row r="9" spans="1:6" x14ac:dyDescent="0.25">
      <c r="A9" s="2" t="s">
        <v>2</v>
      </c>
      <c r="B9" s="3">
        <v>1852</v>
      </c>
      <c r="D9" s="3">
        <v>1712</v>
      </c>
    </row>
    <row r="10" spans="1:6" x14ac:dyDescent="0.25">
      <c r="A10" s="2" t="s">
        <v>3</v>
      </c>
      <c r="B10" s="3">
        <v>2233</v>
      </c>
      <c r="D10" s="3">
        <v>1865</v>
      </c>
    </row>
    <row r="11" spans="1:6" x14ac:dyDescent="0.25">
      <c r="A11" s="2" t="s">
        <v>4</v>
      </c>
      <c r="B11" s="3">
        <v>2455</v>
      </c>
      <c r="D11" s="3">
        <v>653</v>
      </c>
    </row>
    <row r="12" spans="1:6" s="5" customFormat="1" ht="20.25" x14ac:dyDescent="0.3">
      <c r="A12" s="2" t="s">
        <v>23</v>
      </c>
      <c r="B12" s="6">
        <f>SUM(B9:B11)</f>
        <v>6540</v>
      </c>
      <c r="C12" s="154"/>
      <c r="D12" s="6">
        <f>SUM(D9:D11)</f>
        <v>4230</v>
      </c>
    </row>
    <row r="14" spans="1:6" x14ac:dyDescent="0.25">
      <c r="A14" s="2" t="s">
        <v>6</v>
      </c>
      <c r="B14" s="4">
        <f>B7+B12</f>
        <v>9390</v>
      </c>
      <c r="D14" s="4">
        <f>D7+D12</f>
        <v>9090</v>
      </c>
    </row>
    <row r="16" spans="1:6" x14ac:dyDescent="0.25">
      <c r="A16" s="1" t="s">
        <v>7</v>
      </c>
    </row>
    <row r="17" spans="1:4" x14ac:dyDescent="0.25">
      <c r="A17" s="2" t="s">
        <v>8</v>
      </c>
      <c r="B17" s="4">
        <v>5500</v>
      </c>
      <c r="D17" s="4">
        <v>3000</v>
      </c>
    </row>
    <row r="19" spans="1:4" x14ac:dyDescent="0.25">
      <c r="A19" s="2" t="s">
        <v>10</v>
      </c>
      <c r="B19" s="4">
        <v>450</v>
      </c>
      <c r="D19" s="4">
        <v>2610</v>
      </c>
    </row>
    <row r="21" spans="1:4" x14ac:dyDescent="0.25">
      <c r="A21" s="2" t="s">
        <v>132</v>
      </c>
      <c r="B21" s="3">
        <v>536</v>
      </c>
      <c r="D21" s="3">
        <v>1263</v>
      </c>
    </row>
    <row r="22" spans="1:4" x14ac:dyDescent="0.25">
      <c r="A22" s="2" t="s">
        <v>11</v>
      </c>
      <c r="B22" s="3">
        <v>1352</v>
      </c>
      <c r="D22" s="3">
        <v>1496</v>
      </c>
    </row>
    <row r="23" spans="1:4" x14ac:dyDescent="0.25">
      <c r="A23" s="2" t="s">
        <v>133</v>
      </c>
      <c r="B23" s="3">
        <v>1552</v>
      </c>
      <c r="D23" s="3">
        <v>721</v>
      </c>
    </row>
    <row r="24" spans="1:4" s="5" customFormat="1" ht="20.25" x14ac:dyDescent="0.3">
      <c r="A24" s="2" t="s">
        <v>13</v>
      </c>
      <c r="B24" s="6">
        <f>SUM(B21:B23)</f>
        <v>3440</v>
      </c>
      <c r="C24" s="154"/>
      <c r="D24" s="6">
        <f>SUM(D21:D23)</f>
        <v>3480</v>
      </c>
    </row>
    <row r="26" spans="1:4" x14ac:dyDescent="0.25">
      <c r="A26" s="2" t="s">
        <v>14</v>
      </c>
      <c r="B26" s="4">
        <f>B17+B19+B24</f>
        <v>9390</v>
      </c>
      <c r="D26" s="4">
        <f>D17+D19+D24</f>
        <v>9090</v>
      </c>
    </row>
    <row r="28" spans="1:4" x14ac:dyDescent="0.25">
      <c r="A28" s="2" t="s">
        <v>134</v>
      </c>
      <c r="B28" s="3">
        <v>24400</v>
      </c>
    </row>
    <row r="29" spans="1:4" x14ac:dyDescent="0.25">
      <c r="A29" s="2" t="s">
        <v>125</v>
      </c>
      <c r="B29" s="3">
        <v>12800</v>
      </c>
    </row>
    <row r="30" spans="1:4" x14ac:dyDescent="0.25">
      <c r="A30" s="2" t="s">
        <v>135</v>
      </c>
      <c r="B30" s="3">
        <v>750</v>
      </c>
    </row>
    <row r="32" spans="1:4" x14ac:dyDescent="0.25">
      <c r="A32" s="2" t="s">
        <v>136</v>
      </c>
    </row>
    <row r="34" spans="1:4" x14ac:dyDescent="0.25">
      <c r="A34" s="7" t="s">
        <v>137</v>
      </c>
      <c r="B34" s="70" t="s">
        <v>138</v>
      </c>
      <c r="C34" s="155"/>
      <c r="D34" s="70" t="s">
        <v>139</v>
      </c>
    </row>
    <row r="35" spans="1:4" x14ac:dyDescent="0.25">
      <c r="A35" s="1" t="s">
        <v>140</v>
      </c>
    </row>
    <row r="36" spans="1:4" x14ac:dyDescent="0.25">
      <c r="A36" s="2" t="s">
        <v>17</v>
      </c>
      <c r="B36" s="3">
        <f>B12</f>
        <v>6540</v>
      </c>
      <c r="D36" s="3">
        <f>D12</f>
        <v>4230</v>
      </c>
    </row>
    <row r="37" spans="1:4" x14ac:dyDescent="0.25">
      <c r="A37" s="2" t="s">
        <v>141</v>
      </c>
      <c r="B37" s="3">
        <f>B10+B11</f>
        <v>4688</v>
      </c>
      <c r="D37" s="3">
        <f>D10+D11</f>
        <v>2518</v>
      </c>
    </row>
    <row r="38" spans="1:4" x14ac:dyDescent="0.25">
      <c r="A38" s="2" t="s">
        <v>18</v>
      </c>
      <c r="B38" s="3">
        <f>B24</f>
        <v>3440</v>
      </c>
      <c r="D38" s="3">
        <f>D24</f>
        <v>3480</v>
      </c>
    </row>
    <row r="39" spans="1:4" x14ac:dyDescent="0.25">
      <c r="A39" s="2" t="s">
        <v>142</v>
      </c>
      <c r="B39" s="3">
        <f>B24-B21</f>
        <v>2904</v>
      </c>
      <c r="D39" s="3">
        <f>D24-D21</f>
        <v>2217</v>
      </c>
    </row>
    <row r="40" spans="1:4" x14ac:dyDescent="0.25">
      <c r="A40" s="2" t="s">
        <v>42</v>
      </c>
      <c r="B40" s="3">
        <f>B36-B38</f>
        <v>3100</v>
      </c>
      <c r="D40" s="3">
        <f>D36-D38</f>
        <v>750</v>
      </c>
    </row>
    <row r="41" spans="1:4" x14ac:dyDescent="0.25">
      <c r="A41" s="2" t="s">
        <v>143</v>
      </c>
      <c r="B41" s="3">
        <f>B11+1500-B21</f>
        <v>3419</v>
      </c>
      <c r="D41" s="3">
        <f>D11+1500-D21</f>
        <v>890</v>
      </c>
    </row>
    <row r="43" spans="1:4" x14ac:dyDescent="0.25">
      <c r="B43" s="70" t="s">
        <v>32</v>
      </c>
      <c r="C43" s="155"/>
    </row>
    <row r="44" spans="1:4" x14ac:dyDescent="0.25">
      <c r="A44" s="2" t="s">
        <v>144</v>
      </c>
      <c r="B44" s="3">
        <f>B28*1.25</f>
        <v>30500</v>
      </c>
    </row>
    <row r="45" spans="1:4" x14ac:dyDescent="0.25">
      <c r="A45" s="2" t="s">
        <v>125</v>
      </c>
      <c r="B45" s="3">
        <f>B29</f>
        <v>12800</v>
      </c>
    </row>
    <row r="46" spans="1:4" x14ac:dyDescent="0.25">
      <c r="A46" s="2" t="s">
        <v>146</v>
      </c>
      <c r="B46" s="3">
        <f>B29+B9-D9</f>
        <v>12940</v>
      </c>
    </row>
    <row r="47" spans="1:4" x14ac:dyDescent="0.25">
      <c r="A47" s="2" t="s">
        <v>147</v>
      </c>
    </row>
    <row r="48" spans="1:4" x14ac:dyDescent="0.25">
      <c r="A48" s="2" t="s">
        <v>145</v>
      </c>
      <c r="B48" s="3">
        <f>B46*1.25</f>
        <v>16175</v>
      </c>
    </row>
    <row r="49" spans="1:4" x14ac:dyDescent="0.25">
      <c r="A49" s="2" t="s">
        <v>148</v>
      </c>
      <c r="B49" s="3">
        <f>(B9+D9)/2</f>
        <v>1782</v>
      </c>
    </row>
    <row r="50" spans="1:4" x14ac:dyDescent="0.25">
      <c r="A50" s="2" t="s">
        <v>149</v>
      </c>
      <c r="B50" s="3">
        <f>(B10+D10)/2</f>
        <v>2049</v>
      </c>
    </row>
    <row r="51" spans="1:4" x14ac:dyDescent="0.25">
      <c r="A51" s="2" t="s">
        <v>150</v>
      </c>
      <c r="B51" s="3">
        <f>(B22+D22)/2</f>
        <v>1424</v>
      </c>
    </row>
    <row r="53" spans="1:4" x14ac:dyDescent="0.25">
      <c r="A53" s="1" t="s">
        <v>151</v>
      </c>
    </row>
    <row r="54" spans="1:4" x14ac:dyDescent="0.25">
      <c r="A54" s="2" t="s">
        <v>152</v>
      </c>
      <c r="B54" s="30">
        <f>B36/B38</f>
        <v>1.9011627906976745</v>
      </c>
      <c r="C54" s="156"/>
      <c r="D54" s="30">
        <f>D36/D38</f>
        <v>1.2155172413793103</v>
      </c>
    </row>
    <row r="55" spans="1:4" x14ac:dyDescent="0.25">
      <c r="A55" s="2" t="s">
        <v>153</v>
      </c>
      <c r="B55" s="30">
        <f>B37/B38</f>
        <v>1.3627906976744186</v>
      </c>
      <c r="C55" s="156"/>
      <c r="D55" s="30">
        <f>D37/D38</f>
        <v>0.72356321839080462</v>
      </c>
    </row>
    <row r="56" spans="1:4" x14ac:dyDescent="0.25">
      <c r="A56" s="2" t="s">
        <v>154</v>
      </c>
      <c r="B56" s="8">
        <f>B40/B28</f>
        <v>0.12704918032786885</v>
      </c>
      <c r="C56" s="157"/>
    </row>
    <row r="57" spans="1:4" x14ac:dyDescent="0.25">
      <c r="A57" s="2" t="s">
        <v>155</v>
      </c>
      <c r="B57" s="8">
        <f>B41/B28</f>
        <v>0.14012295081967213</v>
      </c>
      <c r="C57" s="157"/>
    </row>
    <row r="58" spans="1:4" x14ac:dyDescent="0.25">
      <c r="A58" s="2" t="s">
        <v>156</v>
      </c>
      <c r="B58" s="3">
        <f>365*B49/B45</f>
        <v>50.814843750000001</v>
      </c>
      <c r="D58" s="3" t="s">
        <v>117</v>
      </c>
    </row>
    <row r="59" spans="1:4" x14ac:dyDescent="0.25">
      <c r="A59" s="2" t="s">
        <v>157</v>
      </c>
      <c r="B59" s="3">
        <f>365*B50/B44</f>
        <v>24.520819672131147</v>
      </c>
      <c r="D59" s="3" t="s">
        <v>117</v>
      </c>
    </row>
    <row r="60" spans="1:4" x14ac:dyDescent="0.25">
      <c r="A60" s="2" t="s">
        <v>158</v>
      </c>
      <c r="B60" s="3">
        <f>365*B51/B48</f>
        <v>32.133539412673876</v>
      </c>
      <c r="D60" s="3" t="s">
        <v>117</v>
      </c>
    </row>
    <row r="63" spans="1:4" x14ac:dyDescent="0.25">
      <c r="A63" s="7" t="s">
        <v>159</v>
      </c>
    </row>
    <row r="64" spans="1:4" x14ac:dyDescent="0.25">
      <c r="A64" s="1" t="s">
        <v>140</v>
      </c>
    </row>
    <row r="65" spans="1:4" x14ac:dyDescent="0.25">
      <c r="A65" s="2" t="s">
        <v>8</v>
      </c>
      <c r="B65" s="3">
        <f>B17</f>
        <v>5500</v>
      </c>
      <c r="D65" s="3">
        <f>D17</f>
        <v>3000</v>
      </c>
    </row>
    <row r="66" spans="1:4" x14ac:dyDescent="0.25">
      <c r="A66" s="2" t="s">
        <v>160</v>
      </c>
      <c r="B66" s="3">
        <f>B26</f>
        <v>9390</v>
      </c>
      <c r="D66" s="3">
        <f>D26</f>
        <v>9090</v>
      </c>
    </row>
    <row r="67" spans="1:4" x14ac:dyDescent="0.25">
      <c r="A67" s="2" t="s">
        <v>161</v>
      </c>
      <c r="B67" s="3">
        <f>B19+B24</f>
        <v>3890</v>
      </c>
      <c r="D67" s="3">
        <f>D19+D24</f>
        <v>6090</v>
      </c>
    </row>
    <row r="68" spans="1:4" x14ac:dyDescent="0.25">
      <c r="A68" s="2" t="s">
        <v>17</v>
      </c>
      <c r="B68" s="3">
        <f>B12</f>
        <v>6540</v>
      </c>
      <c r="D68" s="3">
        <f>D12</f>
        <v>4230</v>
      </c>
    </row>
    <row r="69" spans="1:4" x14ac:dyDescent="0.25">
      <c r="A69" s="2" t="s">
        <v>18</v>
      </c>
      <c r="B69" s="3">
        <f>B24</f>
        <v>3440</v>
      </c>
      <c r="D69" s="3">
        <f>D24</f>
        <v>3480</v>
      </c>
    </row>
    <row r="70" spans="1:4" x14ac:dyDescent="0.25">
      <c r="A70" s="2" t="s">
        <v>2</v>
      </c>
      <c r="B70" s="3">
        <f>B9</f>
        <v>1852</v>
      </c>
      <c r="D70" s="3">
        <f>D9</f>
        <v>1712</v>
      </c>
    </row>
    <row r="71" spans="1:4" x14ac:dyDescent="0.25">
      <c r="A71" s="2" t="s">
        <v>43</v>
      </c>
      <c r="B71" s="3">
        <f>B17+B19</f>
        <v>5950</v>
      </c>
      <c r="D71" s="3">
        <f>D17+D19</f>
        <v>5610</v>
      </c>
    </row>
    <row r="72" spans="1:4" x14ac:dyDescent="0.25">
      <c r="A72" s="2" t="s">
        <v>16</v>
      </c>
      <c r="B72" s="3">
        <f>B7</f>
        <v>2850</v>
      </c>
      <c r="D72" s="3">
        <f>D7</f>
        <v>4860</v>
      </c>
    </row>
    <row r="73" spans="1:4" x14ac:dyDescent="0.25">
      <c r="A73" s="2" t="s">
        <v>42</v>
      </c>
      <c r="B73" s="3">
        <f>B68-B69</f>
        <v>3100</v>
      </c>
      <c r="D73" s="3">
        <f>D68-D69</f>
        <v>750</v>
      </c>
    </row>
    <row r="75" spans="1:4" x14ac:dyDescent="0.25">
      <c r="A75" s="1" t="s">
        <v>162</v>
      </c>
    </row>
    <row r="76" spans="1:4" x14ac:dyDescent="0.25">
      <c r="A76" s="2" t="s">
        <v>62</v>
      </c>
      <c r="B76" s="8">
        <f>B65/B66</f>
        <v>0.58572949946751862</v>
      </c>
      <c r="C76" s="157"/>
      <c r="D76" s="8">
        <f>D65/D66</f>
        <v>0.33003300330033003</v>
      </c>
    </row>
    <row r="77" spans="1:4" x14ac:dyDescent="0.25">
      <c r="A77" s="2" t="s">
        <v>41</v>
      </c>
      <c r="B77" s="30">
        <f>B67/B65</f>
        <v>0.70727272727272728</v>
      </c>
      <c r="C77" s="156"/>
      <c r="D77" s="30">
        <f>D67/D65</f>
        <v>2.0299999999999998</v>
      </c>
    </row>
    <row r="78" spans="1:4" x14ac:dyDescent="0.25">
      <c r="A78" s="2" t="s">
        <v>163</v>
      </c>
      <c r="B78" s="8">
        <f>B73/B70</f>
        <v>1.6738660907127429</v>
      </c>
      <c r="C78" s="157"/>
      <c r="D78" s="8">
        <f>D73/D70</f>
        <v>0.43808411214953269</v>
      </c>
    </row>
    <row r="79" spans="1:4" x14ac:dyDescent="0.25">
      <c r="A79" s="2" t="s">
        <v>44</v>
      </c>
      <c r="B79" s="30">
        <f>B72/B71</f>
        <v>0.47899159663865548</v>
      </c>
      <c r="C79" s="156"/>
      <c r="D79" s="30">
        <f>D72/D71</f>
        <v>0.86631016042780751</v>
      </c>
    </row>
    <row r="80" spans="1:4" x14ac:dyDescent="0.25">
      <c r="A80" s="2" t="s">
        <v>45</v>
      </c>
      <c r="B80" s="30">
        <f>B68/B69</f>
        <v>1.9011627906976745</v>
      </c>
      <c r="C80" s="156"/>
      <c r="D80" s="30">
        <f>D68/D69</f>
        <v>1.2155172413793103</v>
      </c>
    </row>
    <row r="82" spans="1:1" x14ac:dyDescent="0.25">
      <c r="A82" s="2" t="s">
        <v>164</v>
      </c>
    </row>
    <row r="83" spans="1:1" x14ac:dyDescent="0.25">
      <c r="A83" s="2" t="s">
        <v>165</v>
      </c>
    </row>
    <row r="84" spans="1:1" x14ac:dyDescent="0.25">
      <c r="A84" s="2" t="s">
        <v>166</v>
      </c>
    </row>
    <row r="85" spans="1:1" x14ac:dyDescent="0.25">
      <c r="A85" s="2" t="s">
        <v>167</v>
      </c>
    </row>
    <row r="86" spans="1:1" x14ac:dyDescent="0.25">
      <c r="A86" s="2" t="s">
        <v>168</v>
      </c>
    </row>
    <row r="87" spans="1:1" x14ac:dyDescent="0.25">
      <c r="A87" s="2" t="s">
        <v>169</v>
      </c>
    </row>
    <row r="88" spans="1:1" x14ac:dyDescent="0.25">
      <c r="A88" s="2" t="s">
        <v>170</v>
      </c>
    </row>
    <row r="89" spans="1:1" x14ac:dyDescent="0.25">
      <c r="A89" s="2" t="s">
        <v>171</v>
      </c>
    </row>
    <row r="90" spans="1:1" x14ac:dyDescent="0.25">
      <c r="A90" s="2" t="s">
        <v>172</v>
      </c>
    </row>
    <row r="91" spans="1:1" x14ac:dyDescent="0.25">
      <c r="A91" s="2" t="s">
        <v>173</v>
      </c>
    </row>
    <row r="92" spans="1:1" x14ac:dyDescent="0.25">
      <c r="A92" s="2" t="s">
        <v>174</v>
      </c>
    </row>
    <row r="93" spans="1:1" x14ac:dyDescent="0.25">
      <c r="A93" s="2" t="s">
        <v>175</v>
      </c>
    </row>
    <row r="94" spans="1:1" x14ac:dyDescent="0.25">
      <c r="A94" s="2" t="s">
        <v>176</v>
      </c>
    </row>
    <row r="95" spans="1:1" x14ac:dyDescent="0.25">
      <c r="A95" s="2" t="s">
        <v>177</v>
      </c>
    </row>
    <row r="96" spans="1:1" x14ac:dyDescent="0.25">
      <c r="A96" s="2" t="s">
        <v>178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Footer>&amp;CSide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20</vt:i4>
      </vt:variant>
    </vt:vector>
  </HeadingPairs>
  <TitlesOfParts>
    <vt:vector size="20" baseType="lpstr">
      <vt:lpstr>6.1 </vt:lpstr>
      <vt:lpstr>6.1 Prosentbalanse</vt:lpstr>
      <vt:lpstr>Oppgave 6.2 – regnskap</vt:lpstr>
      <vt:lpstr>6.2</vt:lpstr>
      <vt:lpstr>6.3</vt:lpstr>
      <vt:lpstr>6.4</vt:lpstr>
      <vt:lpstr>6.5</vt:lpstr>
      <vt:lpstr>6.6-6.8</vt:lpstr>
      <vt:lpstr>6.9</vt:lpstr>
      <vt:lpstr>6.10</vt:lpstr>
      <vt:lpstr>6.11</vt:lpstr>
      <vt:lpstr>6.12</vt:lpstr>
      <vt:lpstr>6.13</vt:lpstr>
      <vt:lpstr>6.14</vt:lpstr>
      <vt:lpstr>6.15</vt:lpstr>
      <vt:lpstr>6.16</vt:lpstr>
      <vt:lpstr>6.17</vt:lpstr>
      <vt:lpstr>6.18</vt:lpstr>
      <vt:lpstr>6.19</vt:lpstr>
      <vt:lpstr>6.20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2015-09-09T12:11:15Z</dcterms:modified>
</cp:coreProperties>
</file>