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13_ncr:1_{F9E469B3-3EC9-405D-88AB-5A497FF0E223}" xr6:coauthVersionLast="47" xr6:coauthVersionMax="47" xr10:uidLastSave="{00000000-0000-0000-0000-000000000000}"/>
  <bookViews>
    <workbookView xWindow="-105" yWindow="0" windowWidth="19410" windowHeight="20985" firstSheet="2" activeTab="9" xr2:uid="{00000000-000D-0000-FFFF-FFFF00000000}"/>
  </bookViews>
  <sheets>
    <sheet name="Opp 1 a - d" sheetId="1" r:id="rId1"/>
    <sheet name="Opp 1 e - f" sheetId="3" r:id="rId2"/>
    <sheet name="Opp 2" sheetId="4" r:id="rId3"/>
    <sheet name="Opp 3" sheetId="10" r:id="rId4"/>
    <sheet name="Opp 4" sheetId="5" r:id="rId5"/>
    <sheet name="Opp 5" sheetId="6" r:id="rId6"/>
    <sheet name="Opp 7" sheetId="9" r:id="rId7"/>
    <sheet name="Opp 8" sheetId="7" r:id="rId8"/>
    <sheet name="Opp 9" sheetId="8" r:id="rId9"/>
    <sheet name="Opp 10" sheetId="11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0" l="1"/>
  <c r="B9" i="10"/>
  <c r="D16" i="1"/>
  <c r="C16" i="1"/>
  <c r="D15" i="1"/>
  <c r="C15" i="1"/>
  <c r="D5" i="1"/>
  <c r="C5" i="1"/>
  <c r="D4" i="1"/>
  <c r="C4" i="1"/>
  <c r="B57" i="11"/>
  <c r="B55" i="11"/>
  <c r="B54" i="11"/>
  <c r="B49" i="11"/>
  <c r="B46" i="11"/>
  <c r="B44" i="11"/>
  <c r="B43" i="11"/>
  <c r="B42" i="11"/>
  <c r="B36" i="11"/>
  <c r="B38" i="11"/>
  <c r="B33" i="8"/>
  <c r="B31" i="8"/>
  <c r="B25" i="5"/>
  <c r="D18" i="6" l="1"/>
  <c r="E18" i="6"/>
  <c r="F18" i="6"/>
  <c r="G18" i="6"/>
  <c r="H18" i="6"/>
  <c r="C18" i="6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C13" i="11"/>
  <c r="B12" i="11"/>
  <c r="B11" i="11"/>
  <c r="B16" i="11" s="1"/>
  <c r="B3" i="11"/>
  <c r="F14" i="11" l="1"/>
  <c r="D14" i="11"/>
  <c r="E14" i="11"/>
  <c r="E16" i="11" s="1"/>
  <c r="H14" i="11"/>
  <c r="I14" i="11"/>
  <c r="J14" i="11"/>
  <c r="J16" i="11" s="1"/>
  <c r="K14" i="11"/>
  <c r="L14" i="11"/>
  <c r="M14" i="11"/>
  <c r="M16" i="11" s="1"/>
  <c r="P14" i="11"/>
  <c r="Q14" i="11"/>
  <c r="R14" i="11"/>
  <c r="C14" i="11"/>
  <c r="D15" i="11"/>
  <c r="D16" i="11" s="1"/>
  <c r="E15" i="11"/>
  <c r="H15" i="11"/>
  <c r="H16" i="11" s="1"/>
  <c r="I15" i="11"/>
  <c r="J15" i="11"/>
  <c r="K15" i="11"/>
  <c r="K16" i="11" s="1"/>
  <c r="L15" i="11"/>
  <c r="M15" i="11"/>
  <c r="P15" i="11"/>
  <c r="P16" i="11" s="1"/>
  <c r="Q15" i="11"/>
  <c r="R15" i="11"/>
  <c r="C15" i="11"/>
  <c r="O15" i="11"/>
  <c r="G15" i="11"/>
  <c r="O14" i="11"/>
  <c r="G14" i="11"/>
  <c r="B8" i="11"/>
  <c r="B21" i="11" s="1"/>
  <c r="B25" i="11" s="1"/>
  <c r="N15" i="11"/>
  <c r="F15" i="11"/>
  <c r="N14" i="11"/>
  <c r="B19" i="10"/>
  <c r="B20" i="10" s="1"/>
  <c r="A9" i="10"/>
  <c r="B3" i="10"/>
  <c r="B8" i="10" s="1"/>
  <c r="B7" i="1"/>
  <c r="B10" i="1"/>
  <c r="C7" i="1" s="1"/>
  <c r="B18" i="1"/>
  <c r="B21" i="1"/>
  <c r="B29" i="1"/>
  <c r="B30" i="1"/>
  <c r="B34" i="1"/>
  <c r="B35" i="1" s="1"/>
  <c r="C3" i="3"/>
  <c r="D3" i="3"/>
  <c r="E4" i="3" s="1"/>
  <c r="E3" i="3"/>
  <c r="F3" i="3"/>
  <c r="G3" i="3"/>
  <c r="H3" i="3"/>
  <c r="C4" i="3"/>
  <c r="B6" i="3"/>
  <c r="C17" i="3"/>
  <c r="C18" i="3" s="1"/>
  <c r="D17" i="3"/>
  <c r="D18" i="3" s="1"/>
  <c r="E17" i="3"/>
  <c r="E18" i="3" s="1"/>
  <c r="F17" i="3"/>
  <c r="F18" i="3" s="1"/>
  <c r="G17" i="3"/>
  <c r="G18" i="3" s="1"/>
  <c r="H17" i="3"/>
  <c r="H18" i="3" s="1"/>
  <c r="I17" i="3"/>
  <c r="I18" i="3" s="1"/>
  <c r="J17" i="3"/>
  <c r="J18" i="3" s="1"/>
  <c r="K17" i="3"/>
  <c r="K18" i="3" s="1"/>
  <c r="L17" i="3"/>
  <c r="L18" i="3" s="1"/>
  <c r="M17" i="3"/>
  <c r="M18" i="3" s="1"/>
  <c r="B18" i="3"/>
  <c r="N18" i="3"/>
  <c r="B2" i="4"/>
  <c r="G2" i="4" s="1"/>
  <c r="H2" i="4" s="1"/>
  <c r="B3" i="4"/>
  <c r="G3" i="4" s="1"/>
  <c r="H3" i="4" s="1"/>
  <c r="B5" i="5"/>
  <c r="C5" i="5"/>
  <c r="D5" i="5"/>
  <c r="E5" i="5"/>
  <c r="F5" i="5"/>
  <c r="G5" i="5"/>
  <c r="B14" i="5"/>
  <c r="B19" i="5"/>
  <c r="B17" i="5" s="1"/>
  <c r="B22" i="5"/>
  <c r="B5" i="6"/>
  <c r="C5" i="6"/>
  <c r="B12" i="6"/>
  <c r="C17" i="6"/>
  <c r="D17" i="6"/>
  <c r="E17" i="6"/>
  <c r="F17" i="6"/>
  <c r="G17" i="6"/>
  <c r="H17" i="6"/>
  <c r="B20" i="6"/>
  <c r="B22" i="6"/>
  <c r="B5" i="9"/>
  <c r="B6" i="9"/>
  <c r="G11" i="9"/>
  <c r="G16" i="9"/>
  <c r="G15" i="9"/>
  <c r="B17" i="9"/>
  <c r="B18" i="9" s="1"/>
  <c r="G22" i="9" s="1"/>
  <c r="G23" i="9"/>
  <c r="F2" i="7"/>
  <c r="F5" i="7"/>
  <c r="F6" i="7"/>
  <c r="F4" i="7" s="1"/>
  <c r="F8" i="7" s="1"/>
  <c r="F10" i="7"/>
  <c r="F11" i="7"/>
  <c r="F13" i="7"/>
  <c r="B6" i="8"/>
  <c r="C6" i="8"/>
  <c r="D6" i="8"/>
  <c r="E6" i="8"/>
  <c r="F6" i="8"/>
  <c r="G6" i="8"/>
  <c r="B19" i="8"/>
  <c r="C19" i="8"/>
  <c r="D19" i="8"/>
  <c r="E19" i="8"/>
  <c r="F19" i="8"/>
  <c r="G19" i="8"/>
  <c r="H19" i="8"/>
  <c r="B26" i="8"/>
  <c r="B29" i="8"/>
  <c r="B34" i="8" s="1"/>
  <c r="Q16" i="11" l="1"/>
  <c r="N16" i="11"/>
  <c r="B29" i="11"/>
  <c r="L16" i="11"/>
  <c r="R16" i="11"/>
  <c r="F16" i="11"/>
  <c r="I16" i="11"/>
  <c r="C16" i="11"/>
  <c r="G16" i="11"/>
  <c r="O16" i="11"/>
  <c r="B26" i="11"/>
  <c r="B27" i="11" s="1"/>
  <c r="B15" i="10"/>
  <c r="C16" i="10"/>
  <c r="D16" i="10"/>
  <c r="B16" i="10"/>
  <c r="C15" i="10"/>
  <c r="D15" i="10"/>
  <c r="B9" i="8"/>
  <c r="E6" i="3"/>
  <c r="B18" i="11"/>
  <c r="B19" i="11" s="1"/>
  <c r="B10" i="8"/>
  <c r="G4" i="3"/>
  <c r="B21" i="8"/>
  <c r="B22" i="8" s="1"/>
  <c r="G24" i="9"/>
  <c r="G6" i="3"/>
  <c r="D18" i="1"/>
  <c r="D7" i="1"/>
  <c r="B12" i="1" s="1"/>
  <c r="F15" i="7"/>
  <c r="G19" i="9"/>
  <c r="B7" i="5"/>
  <c r="D4" i="3"/>
  <c r="D6" i="3" s="1"/>
  <c r="B7" i="6"/>
  <c r="B8" i="6" s="1"/>
  <c r="B27" i="5"/>
  <c r="E20" i="6"/>
  <c r="B20" i="3"/>
  <c r="B10" i="10"/>
  <c r="B21" i="10" s="1"/>
  <c r="G20" i="6"/>
  <c r="C6" i="3"/>
  <c r="H4" i="3"/>
  <c r="H6" i="3" s="1"/>
  <c r="C18" i="1"/>
  <c r="H20" i="6"/>
  <c r="C20" i="6"/>
  <c r="F4" i="3"/>
  <c r="F6" i="3" s="1"/>
  <c r="F20" i="6"/>
  <c r="D20" i="6"/>
  <c r="B22" i="10" l="1"/>
  <c r="B17" i="10"/>
  <c r="B23" i="1"/>
  <c r="B29" i="5"/>
  <c r="B30" i="5" s="1"/>
  <c r="G25" i="9"/>
  <c r="B23" i="6"/>
  <c r="B24" i="6" s="1"/>
  <c r="B9" i="3"/>
  <c r="B10" i="3" s="1"/>
  <c r="B12" i="3" s="1"/>
  <c r="B13" i="3" s="1"/>
  <c r="C17" i="10" l="1"/>
  <c r="D17" i="10"/>
</calcChain>
</file>

<file path=xl/sharedStrings.xml><?xml version="1.0" encoding="utf-8"?>
<sst xmlns="http://schemas.openxmlformats.org/spreadsheetml/2006/main" count="226" uniqueCount="132">
  <si>
    <t>Oppgave a og b</t>
  </si>
  <si>
    <t xml:space="preserve">Periode </t>
  </si>
  <si>
    <t>Avdrag</t>
  </si>
  <si>
    <t>Renter</t>
  </si>
  <si>
    <t>Gebyr</t>
  </si>
  <si>
    <t>Kontantstrøm</t>
  </si>
  <si>
    <t>Lånebeløp</t>
  </si>
  <si>
    <t>Årlig ytelse</t>
  </si>
  <si>
    <t>Nominell rente</t>
  </si>
  <si>
    <t>Effektiv årsrente</t>
  </si>
  <si>
    <t>Oppgave c og d</t>
  </si>
  <si>
    <t>Betale om 15 dager</t>
  </si>
  <si>
    <t>Betale om 45 dager</t>
  </si>
  <si>
    <t>Rente pr 30 dager</t>
  </si>
  <si>
    <t>Betale om 60 dager</t>
  </si>
  <si>
    <t>Rente pr 45 dager</t>
  </si>
  <si>
    <t>Periode</t>
  </si>
  <si>
    <t>Lån</t>
  </si>
  <si>
    <t>Nominell rente 6 mnd</t>
  </si>
  <si>
    <t>Effektiv rente 6 mnd</t>
  </si>
  <si>
    <t>Kvartalsrente</t>
  </si>
  <si>
    <t>Avgift</t>
  </si>
  <si>
    <t>Målsøking - sett celle B20 til 5 % ved å endre celle B17</t>
  </si>
  <si>
    <t>Perioderente</t>
  </si>
  <si>
    <t>Årsrente</t>
  </si>
  <si>
    <t>Lån 1</t>
  </si>
  <si>
    <t>Lån 2</t>
  </si>
  <si>
    <t>Månedsrente</t>
  </si>
  <si>
    <t>Termingebyr</t>
  </si>
  <si>
    <t>Etableringsgebyr</t>
  </si>
  <si>
    <t>Ytelse</t>
  </si>
  <si>
    <t>Restgjeld</t>
  </si>
  <si>
    <t>Månedsrente uten gebyr</t>
  </si>
  <si>
    <t>Effektiv rente uten gebyr</t>
  </si>
  <si>
    <t>Effektiv månedsrente</t>
  </si>
  <si>
    <t>Oppgave a</t>
  </si>
  <si>
    <t>Kontant</t>
  </si>
  <si>
    <t>Avbetaling</t>
  </si>
  <si>
    <t>Oppgave b</t>
  </si>
  <si>
    <t>Limitprovisjon</t>
  </si>
  <si>
    <t>Utnyttelse</t>
  </si>
  <si>
    <t>Effektiv rente</t>
  </si>
  <si>
    <t>Oppgave c</t>
  </si>
  <si>
    <t>Utbetalt</t>
  </si>
  <si>
    <t>Nominell årsrente</t>
  </si>
  <si>
    <t>Nominell månedsrente</t>
  </si>
  <si>
    <t>Perioder</t>
  </si>
  <si>
    <t>Renter og avdrag</t>
  </si>
  <si>
    <t>Sum</t>
  </si>
  <si>
    <t>Nå</t>
  </si>
  <si>
    <t>4 mnd</t>
  </si>
  <si>
    <t>Kreditt</t>
  </si>
  <si>
    <t>Rente 4 mnd</t>
  </si>
  <si>
    <t>Effelktiv årsrente</t>
  </si>
  <si>
    <t>Måned</t>
  </si>
  <si>
    <t>Nom rente mnd</t>
  </si>
  <si>
    <t>Månedlig ytelse</t>
  </si>
  <si>
    <t>Eff. månedsrente</t>
  </si>
  <si>
    <t>Kassekredittrente pr kvartal</t>
  </si>
  <si>
    <t>Utnyttelsesgrad</t>
  </si>
  <si>
    <t>Effektiv rente pr. kvartal</t>
  </si>
  <si>
    <t>Kapitalbinding før factoring</t>
  </si>
  <si>
    <t>Kredittsalg</t>
  </si>
  <si>
    <t>Kredittid</t>
  </si>
  <si>
    <t>Kundefordringer før factoring</t>
  </si>
  <si>
    <t>Kapitalbinding etter factoring</t>
  </si>
  <si>
    <t>Kundefordringer etter factoring</t>
  </si>
  <si>
    <t>Margin</t>
  </si>
  <si>
    <t>Finansiering margin</t>
  </si>
  <si>
    <t>Forskuttert</t>
  </si>
  <si>
    <t>Rest forskutteres</t>
  </si>
  <si>
    <t>Forskuttert beløp</t>
  </si>
  <si>
    <t>Frigjort kapital</t>
  </si>
  <si>
    <t>Kostnader</t>
  </si>
  <si>
    <t>Renter forskuttert beløp</t>
  </si>
  <si>
    <t>Factoringgebyr</t>
  </si>
  <si>
    <t>Sum kostnader ved factoring</t>
  </si>
  <si>
    <t>Prosentvise kostnader ved faktoring</t>
  </si>
  <si>
    <t>Omsetning</t>
  </si>
  <si>
    <t>Kundekredittid</t>
  </si>
  <si>
    <t>Kundefordinger før factoring</t>
  </si>
  <si>
    <t>Factoring data:</t>
  </si>
  <si>
    <t>Margin tilbakeholdes</t>
  </si>
  <si>
    <t>Margin må finansieres i 60 dager</t>
  </si>
  <si>
    <t>Rest forskutteres etter</t>
  </si>
  <si>
    <t>Rest må finansieres i 7 dager</t>
  </si>
  <si>
    <t>Reduksjon kapitalbinding</t>
  </si>
  <si>
    <t>Kostnader factoring</t>
  </si>
  <si>
    <t>Renter forskuttert kap.</t>
  </si>
  <si>
    <t>Fakturagebyr</t>
  </si>
  <si>
    <t>Sparte administrasjonskostnader</t>
  </si>
  <si>
    <t>Sum kostnader netto</t>
  </si>
  <si>
    <t>Prosentvise kostnader ved factoring</t>
  </si>
  <si>
    <t>År</t>
  </si>
  <si>
    <t>Investering</t>
  </si>
  <si>
    <t>Kontantstrøm drift</t>
  </si>
  <si>
    <t>Salg anleggsmiddel</t>
  </si>
  <si>
    <t>Avkastningskrav</t>
  </si>
  <si>
    <t>Nåverdi</t>
  </si>
  <si>
    <t>Internrente</t>
  </si>
  <si>
    <t>Halvårstermin</t>
  </si>
  <si>
    <t>Halvårsrente</t>
  </si>
  <si>
    <t>Oppgave d</t>
  </si>
  <si>
    <t>Leasingavgift (%)</t>
  </si>
  <si>
    <t>Leasingavgift (kr)</t>
  </si>
  <si>
    <t>Forskuddsbetaling</t>
  </si>
  <si>
    <t>Netto år periode 0</t>
  </si>
  <si>
    <t>Effektiv kvartalsrente</t>
  </si>
  <si>
    <t>Terminer</t>
  </si>
  <si>
    <t>Termin</t>
  </si>
  <si>
    <t>Etablering</t>
  </si>
  <si>
    <t>Rente</t>
  </si>
  <si>
    <t>Betaling pr. periode</t>
  </si>
  <si>
    <t>Gjenværende perioder</t>
  </si>
  <si>
    <t>Ny perioderente</t>
  </si>
  <si>
    <t>NV gjenværende betalinger</t>
  </si>
  <si>
    <t>Overkurs</t>
  </si>
  <si>
    <t>Restgjeld etter 3 år</t>
  </si>
  <si>
    <t>Alternativt for beregning av effektiv rente og overkurs</t>
  </si>
  <si>
    <t>Netto utbetalt</t>
  </si>
  <si>
    <t>Renter og avdrag pr. kvartal</t>
  </si>
  <si>
    <t>Opprinnelig kvartalsrente</t>
  </si>
  <si>
    <t>Ny kvartalsrente</t>
  </si>
  <si>
    <t>Nåverdi med 1,25 %</t>
  </si>
  <si>
    <t>Nåverdi med 1,00 %</t>
  </si>
  <si>
    <t>Lån og avdrag</t>
  </si>
  <si>
    <t>Netto utbetalt lån</t>
  </si>
  <si>
    <t>Effektiv månedsrente med gebyrer</t>
  </si>
  <si>
    <t>Løpetid (mnd.)</t>
  </si>
  <si>
    <t>Sum pr. mnd.</t>
  </si>
  <si>
    <t>Rente/avdrag pr. mnd.</t>
  </si>
  <si>
    <t>Nominell kvartalsrente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</si>
</sst>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0.000\ %"/>
    <numFmt numFmtId="168" formatCode="0.0000\ %"/>
    <numFmt numFmtId="169" formatCode="0.0%"/>
    <numFmt numFmtId="170" formatCode="0&quot; dager&quot;"/>
    <numFmt numFmtId="171" formatCode="#,##0.00_ ;[Red]\-#,##0.00\ "/>
    <numFmt numFmtId="172" formatCode="#,##0_ ;\-#,##0\ "/>
    <numFmt numFmtId="173" formatCode="#,##0_ ;[Red]\-#,##0\ "/>
    <numFmt numFmtId="174" formatCode="0.00000\ %"/>
  </numFmts>
  <fonts count="4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2" borderId="3" xfId="0" applyFill="1" applyBorder="1" applyAlignment="1">
      <alignment horizontal="center"/>
    </xf>
    <xf numFmtId="165" fontId="0" fillId="0" borderId="3" xfId="1" applyNumberFormat="1" applyFont="1" applyBorder="1"/>
    <xf numFmtId="0" fontId="0" fillId="0" borderId="4" xfId="0" applyBorder="1"/>
    <xf numFmtId="3" fontId="0" fillId="0" borderId="4" xfId="0" applyNumberFormat="1" applyBorder="1"/>
    <xf numFmtId="3" fontId="0" fillId="0" borderId="3" xfId="0" applyNumberFormat="1" applyBorder="1"/>
    <xf numFmtId="0" fontId="0" fillId="2" borderId="3" xfId="0" applyFill="1" applyBorder="1"/>
    <xf numFmtId="0" fontId="0" fillId="0" borderId="3" xfId="0" applyBorder="1"/>
    <xf numFmtId="0" fontId="0" fillId="0" borderId="5" xfId="0" applyBorder="1"/>
    <xf numFmtId="3" fontId="0" fillId="0" borderId="5" xfId="0" applyNumberFormat="1" applyBorder="1"/>
    <xf numFmtId="165" fontId="0" fillId="0" borderId="5" xfId="1" applyNumberFormat="1" applyFont="1" applyBorder="1"/>
    <xf numFmtId="164" fontId="0" fillId="0" borderId="3" xfId="1" applyFont="1" applyBorder="1"/>
    <xf numFmtId="164" fontId="0" fillId="0" borderId="5" xfId="1" applyFont="1" applyBorder="1"/>
    <xf numFmtId="2" fontId="0" fillId="0" borderId="4" xfId="0" applyNumberFormat="1" applyBorder="1"/>
    <xf numFmtId="0" fontId="0" fillId="0" borderId="6" xfId="0" applyBorder="1"/>
    <xf numFmtId="0" fontId="0" fillId="3" borderId="7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7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165" fontId="0" fillId="0" borderId="4" xfId="1" applyNumberFormat="1" applyFont="1" applyBorder="1"/>
    <xf numFmtId="10" fontId="0" fillId="4" borderId="3" xfId="0" applyNumberFormat="1" applyFill="1" applyBorder="1"/>
    <xf numFmtId="10" fontId="0" fillId="4" borderId="4" xfId="0" applyNumberFormat="1" applyFill="1" applyBorder="1"/>
    <xf numFmtId="10" fontId="0" fillId="4" borderId="3" xfId="2" applyNumberFormat="1" applyFont="1" applyFill="1" applyBorder="1"/>
    <xf numFmtId="10" fontId="0" fillId="4" borderId="4" xfId="2" applyNumberFormat="1" applyFont="1" applyFill="1" applyBorder="1"/>
    <xf numFmtId="168" fontId="0" fillId="0" borderId="0" xfId="2" applyNumberFormat="1" applyFont="1"/>
    <xf numFmtId="0" fontId="0" fillId="4" borderId="4" xfId="0" applyFill="1" applyBorder="1"/>
    <xf numFmtId="0" fontId="0" fillId="4" borderId="3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6" xfId="0" applyFill="1" applyBorder="1"/>
    <xf numFmtId="0" fontId="0" fillId="4" borderId="7" xfId="0" applyFill="1" applyBorder="1"/>
    <xf numFmtId="10" fontId="0" fillId="0" borderId="5" xfId="0" applyNumberFormat="1" applyBorder="1"/>
    <xf numFmtId="9" fontId="0" fillId="0" borderId="4" xfId="0" applyNumberFormat="1" applyBorder="1"/>
    <xf numFmtId="10" fontId="0" fillId="0" borderId="3" xfId="0" applyNumberFormat="1" applyBorder="1"/>
    <xf numFmtId="164" fontId="0" fillId="0" borderId="5" xfId="0" applyNumberFormat="1" applyBorder="1"/>
    <xf numFmtId="2" fontId="0" fillId="0" borderId="5" xfId="0" applyNumberFormat="1" applyBorder="1"/>
    <xf numFmtId="3" fontId="0" fillId="5" borderId="5" xfId="0" applyNumberFormat="1" applyFill="1" applyBorder="1"/>
    <xf numFmtId="10" fontId="0" fillId="5" borderId="4" xfId="0" applyNumberFormat="1" applyFill="1" applyBorder="1"/>
    <xf numFmtId="0" fontId="0" fillId="5" borderId="3" xfId="0" applyFill="1" applyBorder="1"/>
    <xf numFmtId="0" fontId="0" fillId="5" borderId="5" xfId="0" applyFill="1" applyBorder="1"/>
    <xf numFmtId="10" fontId="0" fillId="5" borderId="3" xfId="0" applyNumberFormat="1" applyFill="1" applyBorder="1"/>
    <xf numFmtId="0" fontId="0" fillId="4" borderId="5" xfId="0" applyFill="1" applyBorder="1"/>
    <xf numFmtId="3" fontId="0" fillId="5" borderId="3" xfId="0" applyNumberFormat="1" applyFill="1" applyBorder="1"/>
    <xf numFmtId="10" fontId="0" fillId="5" borderId="5" xfId="0" applyNumberFormat="1" applyFill="1" applyBorder="1"/>
    <xf numFmtId="0" fontId="0" fillId="6" borderId="4" xfId="0" applyFill="1" applyBorder="1"/>
    <xf numFmtId="3" fontId="0" fillId="6" borderId="4" xfId="0" applyNumberFormat="1" applyFill="1" applyBorder="1"/>
    <xf numFmtId="4" fontId="0" fillId="6" borderId="4" xfId="0" applyNumberFormat="1" applyFill="1" applyBorder="1"/>
    <xf numFmtId="0" fontId="0" fillId="4" borderId="0" xfId="0" applyFill="1"/>
    <xf numFmtId="10" fontId="0" fillId="0" borderId="0" xfId="0" applyNumberFormat="1"/>
    <xf numFmtId="10" fontId="0" fillId="5" borderId="5" xfId="2" applyNumberFormat="1" applyFont="1" applyFill="1" applyBorder="1"/>
    <xf numFmtId="10" fontId="0" fillId="5" borderId="4" xfId="2" applyNumberFormat="1" applyFont="1" applyFill="1" applyBorder="1"/>
    <xf numFmtId="10" fontId="0" fillId="5" borderId="7" xfId="0" applyNumberFormat="1" applyFill="1" applyBorder="1"/>
    <xf numFmtId="10" fontId="0" fillId="5" borderId="7" xfId="2" applyNumberFormat="1" applyFont="1" applyFill="1" applyBorder="1"/>
    <xf numFmtId="3" fontId="0" fillId="5" borderId="4" xfId="0" applyNumberFormat="1" applyFill="1" applyBorder="1"/>
    <xf numFmtId="168" fontId="0" fillId="5" borderId="3" xfId="0" applyNumberFormat="1" applyFill="1" applyBorder="1"/>
    <xf numFmtId="165" fontId="0" fillId="5" borderId="7" xfId="0" applyNumberFormat="1" applyFill="1" applyBorder="1"/>
    <xf numFmtId="165" fontId="0" fillId="5" borderId="4" xfId="1" applyNumberFormat="1" applyFont="1" applyFill="1" applyBorder="1"/>
    <xf numFmtId="0" fontId="0" fillId="6" borderId="8" xfId="0" applyFill="1" applyBorder="1"/>
    <xf numFmtId="3" fontId="0" fillId="6" borderId="7" xfId="0" applyNumberFormat="1" applyFill="1" applyBorder="1"/>
    <xf numFmtId="164" fontId="0" fillId="5" borderId="5" xfId="1" applyFont="1" applyFill="1" applyBorder="1"/>
    <xf numFmtId="0" fontId="0" fillId="6" borderId="7" xfId="0" applyFill="1" applyBorder="1"/>
    <xf numFmtId="4" fontId="0" fillId="6" borderId="7" xfId="0" applyNumberFormat="1" applyFill="1" applyBorder="1"/>
    <xf numFmtId="170" fontId="2" fillId="5" borderId="5" xfId="0" applyNumberFormat="1" applyFont="1" applyFill="1" applyBorder="1"/>
    <xf numFmtId="165" fontId="0" fillId="5" borderId="1" xfId="1" applyNumberFormat="1" applyFont="1" applyFill="1" applyBorder="1"/>
    <xf numFmtId="170" fontId="0" fillId="5" borderId="6" xfId="0" applyNumberFormat="1" applyFill="1" applyBorder="1"/>
    <xf numFmtId="0" fontId="0" fillId="5" borderId="6" xfId="0" applyFill="1" applyBorder="1"/>
    <xf numFmtId="9" fontId="0" fillId="5" borderId="6" xfId="0" applyNumberFormat="1" applyFill="1" applyBorder="1"/>
    <xf numFmtId="0" fontId="0" fillId="5" borderId="2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 applyAlignment="1">
      <alignment horizontal="right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 applyAlignment="1">
      <alignment horizontal="right"/>
    </xf>
    <xf numFmtId="165" fontId="0" fillId="5" borderId="5" xfId="1" applyNumberFormat="1" applyFont="1" applyFill="1" applyBorder="1"/>
    <xf numFmtId="0" fontId="0" fillId="6" borderId="6" xfId="0" applyFill="1" applyBorder="1"/>
    <xf numFmtId="0" fontId="0" fillId="6" borderId="0" xfId="0" applyFill="1"/>
    <xf numFmtId="0" fontId="0" fillId="6" borderId="13" xfId="0" applyFill="1" applyBorder="1" applyAlignment="1">
      <alignment horizontal="right"/>
    </xf>
    <xf numFmtId="165" fontId="0" fillId="6" borderId="5" xfId="1" applyNumberFormat="1" applyFont="1" applyFill="1" applyBorder="1"/>
    <xf numFmtId="0" fontId="0" fillId="6" borderId="9" xfId="0" applyFill="1" applyBorder="1"/>
    <xf numFmtId="0" fontId="0" fillId="6" borderId="10" xfId="0" applyFill="1" applyBorder="1" applyAlignment="1">
      <alignment horizontal="right"/>
    </xf>
    <xf numFmtId="165" fontId="0" fillId="6" borderId="7" xfId="1" applyNumberFormat="1" applyFont="1" applyFill="1" applyBorder="1"/>
    <xf numFmtId="169" fontId="0" fillId="6" borderId="7" xfId="0" applyNumberFormat="1" applyFill="1" applyBorder="1"/>
    <xf numFmtId="0" fontId="0" fillId="2" borderId="4" xfId="0" applyFill="1" applyBorder="1"/>
    <xf numFmtId="0" fontId="0" fillId="2" borderId="5" xfId="0" applyFill="1" applyBorder="1"/>
    <xf numFmtId="166" fontId="0" fillId="5" borderId="3" xfId="2" applyNumberFormat="1" applyFont="1" applyFill="1" applyBorder="1"/>
    <xf numFmtId="10" fontId="0" fillId="6" borderId="7" xfId="2" applyNumberFormat="1" applyFont="1" applyFill="1" applyBorder="1"/>
    <xf numFmtId="3" fontId="0" fillId="6" borderId="8" xfId="0" applyNumberFormat="1" applyFill="1" applyBorder="1"/>
    <xf numFmtId="167" fontId="0" fillId="5" borderId="4" xfId="2" applyNumberFormat="1" applyFont="1" applyFill="1" applyBorder="1"/>
    <xf numFmtId="167" fontId="0" fillId="5" borderId="7" xfId="0" applyNumberFormat="1" applyFill="1" applyBorder="1"/>
    <xf numFmtId="10" fontId="0" fillId="0" borderId="0" xfId="2" applyNumberFormat="1" applyFont="1"/>
    <xf numFmtId="0" fontId="0" fillId="0" borderId="14" xfId="0" applyBorder="1"/>
    <xf numFmtId="0" fontId="0" fillId="4" borderId="7" xfId="0" applyFill="1" applyBorder="1" applyAlignment="1">
      <alignment horizontal="center"/>
    </xf>
    <xf numFmtId="0" fontId="0" fillId="6" borderId="5" xfId="0" applyFill="1" applyBorder="1"/>
    <xf numFmtId="0" fontId="0" fillId="8" borderId="3" xfId="0" applyFill="1" applyBorder="1"/>
    <xf numFmtId="0" fontId="0" fillId="8" borderId="5" xfId="0" applyFill="1" applyBorder="1"/>
    <xf numFmtId="0" fontId="0" fillId="8" borderId="4" xfId="0" applyFill="1" applyBorder="1"/>
    <xf numFmtId="3" fontId="0" fillId="9" borderId="3" xfId="0" applyNumberFormat="1" applyFill="1" applyBorder="1"/>
    <xf numFmtId="10" fontId="0" fillId="9" borderId="5" xfId="0" applyNumberFormat="1" applyFill="1" applyBorder="1"/>
    <xf numFmtId="10" fontId="0" fillId="9" borderId="5" xfId="2" applyNumberFormat="1" applyFont="1" applyFill="1" applyBorder="1"/>
    <xf numFmtId="0" fontId="0" fillId="9" borderId="5" xfId="0" applyFill="1" applyBorder="1"/>
    <xf numFmtId="3" fontId="0" fillId="10" borderId="3" xfId="0" applyNumberFormat="1" applyFill="1" applyBorder="1"/>
    <xf numFmtId="0" fontId="0" fillId="10" borderId="5" xfId="0" applyFill="1" applyBorder="1"/>
    <xf numFmtId="3" fontId="0" fillId="10" borderId="4" xfId="0" applyNumberFormat="1" applyFill="1" applyBorder="1"/>
    <xf numFmtId="0" fontId="1" fillId="0" borderId="0" xfId="0" applyFont="1"/>
    <xf numFmtId="0" fontId="1" fillId="8" borderId="14" xfId="0" applyFont="1" applyFill="1" applyBorder="1"/>
    <xf numFmtId="0" fontId="0" fillId="8" borderId="14" xfId="0" applyFill="1" applyBorder="1" applyAlignment="1">
      <alignment horizontal="center"/>
    </xf>
    <xf numFmtId="165" fontId="0" fillId="0" borderId="0" xfId="1" applyNumberFormat="1" applyFont="1"/>
    <xf numFmtId="0" fontId="1" fillId="0" borderId="14" xfId="0" applyFont="1" applyBorder="1"/>
    <xf numFmtId="172" fontId="0" fillId="0" borderId="14" xfId="0" applyNumberFormat="1" applyBorder="1"/>
    <xf numFmtId="0" fontId="1" fillId="7" borderId="3" xfId="0" applyFont="1" applyFill="1" applyBorder="1"/>
    <xf numFmtId="0" fontId="1" fillId="7" borderId="5" xfId="0" applyFont="1" applyFill="1" applyBorder="1"/>
    <xf numFmtId="0" fontId="1" fillId="7" borderId="4" xfId="0" applyFont="1" applyFill="1" applyBorder="1"/>
    <xf numFmtId="3" fontId="0" fillId="9" borderId="5" xfId="0" applyNumberFormat="1" applyFill="1" applyBorder="1"/>
    <xf numFmtId="0" fontId="0" fillId="9" borderId="4" xfId="0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71" fontId="0" fillId="0" borderId="3" xfId="0" applyNumberFormat="1" applyBorder="1"/>
    <xf numFmtId="0" fontId="1" fillId="8" borderId="7" xfId="0" applyFont="1" applyFill="1" applyBorder="1"/>
    <xf numFmtId="165" fontId="0" fillId="8" borderId="7" xfId="0" applyNumberFormat="1" applyFill="1" applyBorder="1"/>
    <xf numFmtId="0" fontId="1" fillId="7" borderId="9" xfId="0" applyFont="1" applyFill="1" applyBorder="1"/>
    <xf numFmtId="3" fontId="0" fillId="7" borderId="9" xfId="0" applyNumberFormat="1" applyFill="1" applyBorder="1"/>
    <xf numFmtId="168" fontId="0" fillId="11" borderId="3" xfId="0" applyNumberFormat="1" applyFill="1" applyBorder="1"/>
    <xf numFmtId="168" fontId="0" fillId="11" borderId="5" xfId="2" applyNumberFormat="1" applyFont="1" applyFill="1" applyBorder="1"/>
    <xf numFmtId="1" fontId="0" fillId="11" borderId="4" xfId="2" applyNumberFormat="1" applyFont="1" applyFill="1" applyBorder="1"/>
    <xf numFmtId="168" fontId="0" fillId="5" borderId="4" xfId="0" applyNumberFormat="1" applyFill="1" applyBorder="1"/>
    <xf numFmtId="0" fontId="1" fillId="3" borderId="7" xfId="0" applyFont="1" applyFill="1" applyBorder="1"/>
    <xf numFmtId="0" fontId="1" fillId="4" borderId="3" xfId="0" applyFont="1" applyFill="1" applyBorder="1"/>
    <xf numFmtId="10" fontId="1" fillId="5" borderId="3" xfId="0" applyNumberFormat="1" applyFont="1" applyFill="1" applyBorder="1"/>
    <xf numFmtId="0" fontId="1" fillId="4" borderId="5" xfId="0" applyFont="1" applyFill="1" applyBorder="1"/>
    <xf numFmtId="10" fontId="1" fillId="5" borderId="5" xfId="0" applyNumberFormat="1" applyFont="1" applyFill="1" applyBorder="1"/>
    <xf numFmtId="0" fontId="1" fillId="4" borderId="4" xfId="0" applyFont="1" applyFill="1" applyBorder="1"/>
    <xf numFmtId="9" fontId="1" fillId="5" borderId="4" xfId="0" applyNumberFormat="1" applyFont="1" applyFill="1" applyBorder="1"/>
    <xf numFmtId="169" fontId="1" fillId="5" borderId="3" xfId="0" applyNumberFormat="1" applyFont="1" applyFill="1" applyBorder="1"/>
    <xf numFmtId="169" fontId="1" fillId="5" borderId="4" xfId="0" applyNumberFormat="1" applyFont="1" applyFill="1" applyBorder="1"/>
    <xf numFmtId="0" fontId="1" fillId="5" borderId="3" xfId="0" applyFont="1" applyFill="1" applyBorder="1"/>
    <xf numFmtId="0" fontId="1" fillId="5" borderId="5" xfId="0" applyFont="1" applyFill="1" applyBorder="1"/>
    <xf numFmtId="165" fontId="1" fillId="5" borderId="3" xfId="1" applyNumberFormat="1" applyFont="1" applyFill="1" applyBorder="1"/>
    <xf numFmtId="0" fontId="1" fillId="5" borderId="4" xfId="0" applyFont="1" applyFill="1" applyBorder="1"/>
    <xf numFmtId="170" fontId="1" fillId="5" borderId="4" xfId="0" applyNumberFormat="1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165" fontId="1" fillId="5" borderId="7" xfId="1" applyNumberFormat="1" applyFont="1" applyFill="1" applyBorder="1"/>
    <xf numFmtId="0" fontId="1" fillId="5" borderId="1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9" fontId="1" fillId="5" borderId="5" xfId="0" applyNumberFormat="1" applyFont="1" applyFill="1" applyBorder="1"/>
    <xf numFmtId="0" fontId="1" fillId="5" borderId="6" xfId="0" applyFont="1" applyFill="1" applyBorder="1"/>
    <xf numFmtId="0" fontId="1" fillId="5" borderId="0" xfId="0" applyFont="1" applyFill="1"/>
    <xf numFmtId="170" fontId="1" fillId="5" borderId="13" xfId="0" applyNumberFormat="1" applyFont="1" applyFill="1" applyBorder="1"/>
    <xf numFmtId="165" fontId="1" fillId="5" borderId="5" xfId="1" applyNumberFormat="1" applyFont="1" applyFill="1" applyBorder="1"/>
    <xf numFmtId="0" fontId="1" fillId="5" borderId="2" xfId="0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165" fontId="1" fillId="5" borderId="4" xfId="1" applyNumberFormat="1" applyFont="1" applyFill="1" applyBorder="1"/>
    <xf numFmtId="165" fontId="1" fillId="0" borderId="0" xfId="1" applyNumberFormat="1" applyFont="1"/>
    <xf numFmtId="9" fontId="1" fillId="5" borderId="13" xfId="0" applyNumberFormat="1" applyFont="1" applyFill="1" applyBorder="1"/>
    <xf numFmtId="10" fontId="1" fillId="5" borderId="13" xfId="0" applyNumberFormat="1" applyFont="1" applyFill="1" applyBorder="1"/>
    <xf numFmtId="0" fontId="1" fillId="6" borderId="2" xfId="0" applyFont="1" applyFill="1" applyBorder="1"/>
    <xf numFmtId="0" fontId="1" fillId="6" borderId="14" xfId="0" applyFont="1" applyFill="1" applyBorder="1"/>
    <xf numFmtId="0" fontId="1" fillId="6" borderId="15" xfId="0" applyFont="1" applyFill="1" applyBorder="1"/>
    <xf numFmtId="169" fontId="1" fillId="6" borderId="4" xfId="0" applyNumberFormat="1" applyFont="1" applyFill="1" applyBorder="1"/>
    <xf numFmtId="4" fontId="0" fillId="6" borderId="5" xfId="0" applyNumberFormat="1" applyFill="1" applyBorder="1"/>
    <xf numFmtId="0" fontId="0" fillId="7" borderId="3" xfId="0" applyFill="1" applyBorder="1"/>
    <xf numFmtId="0" fontId="0" fillId="7" borderId="5" xfId="0" applyFill="1" applyBorder="1"/>
    <xf numFmtId="10" fontId="1" fillId="7" borderId="3" xfId="2" applyNumberFormat="1" applyFont="1" applyFill="1" applyBorder="1"/>
    <xf numFmtId="10" fontId="1" fillId="7" borderId="5" xfId="2" applyNumberFormat="1" applyFont="1" applyFill="1" applyBorder="1"/>
    <xf numFmtId="10" fontId="0" fillId="6" borderId="5" xfId="2" applyNumberFormat="1" applyFont="1" applyFill="1" applyBorder="1"/>
    <xf numFmtId="10" fontId="0" fillId="6" borderId="4" xfId="2" applyNumberFormat="1" applyFont="1" applyFill="1" applyBorder="1"/>
    <xf numFmtId="168" fontId="0" fillId="5" borderId="5" xfId="0" applyNumberFormat="1" applyFill="1" applyBorder="1"/>
    <xf numFmtId="0" fontId="3" fillId="0" borderId="0" xfId="0" applyFont="1"/>
    <xf numFmtId="3" fontId="0" fillId="9" borderId="4" xfId="0" applyNumberFormat="1" applyFill="1" applyBorder="1"/>
    <xf numFmtId="0" fontId="0" fillId="7" borderId="7" xfId="0" applyFill="1" applyBorder="1"/>
    <xf numFmtId="3" fontId="0" fillId="7" borderId="7" xfId="0" applyNumberFormat="1" applyFill="1" applyBorder="1"/>
    <xf numFmtId="164" fontId="0" fillId="0" borderId="4" xfId="1" applyFont="1" applyBorder="1"/>
    <xf numFmtId="164" fontId="0" fillId="4" borderId="7" xfId="1" applyFont="1" applyFill="1" applyBorder="1"/>
    <xf numFmtId="0" fontId="0" fillId="12" borderId="7" xfId="0" applyFill="1" applyBorder="1"/>
    <xf numFmtId="4" fontId="0" fillId="12" borderId="7" xfId="0" applyNumberFormat="1" applyFill="1" applyBorder="1"/>
    <xf numFmtId="168" fontId="0" fillId="10" borderId="5" xfId="0" applyNumberFormat="1" applyFill="1" applyBorder="1"/>
    <xf numFmtId="168" fontId="0" fillId="10" borderId="5" xfId="2" applyNumberFormat="1" applyFont="1" applyFill="1" applyBorder="1"/>
    <xf numFmtId="0" fontId="1" fillId="8" borderId="5" xfId="0" applyFont="1" applyFill="1" applyBorder="1"/>
    <xf numFmtId="0" fontId="1" fillId="4" borderId="7" xfId="0" applyFont="1" applyFill="1" applyBorder="1"/>
    <xf numFmtId="0" fontId="1" fillId="11" borderId="7" xfId="0" applyFont="1" applyFill="1" applyBorder="1"/>
    <xf numFmtId="173" fontId="0" fillId="11" borderId="7" xfId="0" applyNumberFormat="1" applyFill="1" applyBorder="1"/>
    <xf numFmtId="0" fontId="1" fillId="11" borderId="3" xfId="0" applyFont="1" applyFill="1" applyBorder="1"/>
    <xf numFmtId="174" fontId="0" fillId="11" borderId="3" xfId="2" applyNumberFormat="1" applyFont="1" applyFill="1" applyBorder="1"/>
    <xf numFmtId="0" fontId="1" fillId="11" borderId="4" xfId="0" applyFont="1" applyFill="1" applyBorder="1"/>
    <xf numFmtId="10" fontId="0" fillId="11" borderId="4" xfId="2" applyNumberFormat="1" applyFont="1" applyFill="1" applyBorder="1"/>
    <xf numFmtId="0" fontId="1" fillId="7" borderId="7" xfId="0" applyFont="1" applyFill="1" applyBorder="1"/>
    <xf numFmtId="174" fontId="0" fillId="7" borderId="7" xfId="0" applyNumberFormat="1" applyFill="1" applyBorder="1"/>
    <xf numFmtId="0" fontId="0" fillId="10" borderId="7" xfId="0" applyFill="1" applyBorder="1"/>
    <xf numFmtId="3" fontId="0" fillId="10" borderId="7" xfId="0" applyNumberFormat="1" applyFill="1" applyBorder="1"/>
    <xf numFmtId="0" fontId="0" fillId="10" borderId="3" xfId="0" applyFill="1" applyBorder="1"/>
    <xf numFmtId="0" fontId="0" fillId="10" borderId="4" xfId="0" applyFill="1" applyBorder="1"/>
    <xf numFmtId="4" fontId="0" fillId="13" borderId="3" xfId="0" applyNumberFormat="1" applyFill="1" applyBorder="1"/>
    <xf numFmtId="0" fontId="0" fillId="13" borderId="5" xfId="0" applyFill="1" applyBorder="1"/>
    <xf numFmtId="10" fontId="0" fillId="13" borderId="5" xfId="0" applyNumberFormat="1" applyFill="1" applyBorder="1"/>
    <xf numFmtId="10" fontId="0" fillId="13" borderId="4" xfId="0" applyNumberFormat="1" applyFill="1" applyBorder="1"/>
    <xf numFmtId="165" fontId="0" fillId="13" borderId="3" xfId="1" applyNumberFormat="1" applyFont="1" applyFill="1" applyBorder="1"/>
    <xf numFmtId="165" fontId="0" fillId="13" borderId="4" xfId="1" applyNumberFormat="1" applyFont="1" applyFill="1" applyBorder="1"/>
    <xf numFmtId="165" fontId="0" fillId="13" borderId="7" xfId="0" applyNumberFormat="1" applyFill="1" applyBorder="1"/>
    <xf numFmtId="0" fontId="1" fillId="10" borderId="7" xfId="0" applyFont="1" applyFill="1" applyBorder="1"/>
    <xf numFmtId="172" fontId="0" fillId="13" borderId="7" xfId="0" applyNumberForma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19</xdr:row>
      <xdr:rowOff>0</xdr:rowOff>
    </xdr:from>
    <xdr:to>
      <xdr:col>2</xdr:col>
      <xdr:colOff>342900</xdr:colOff>
      <xdr:row>25</xdr:row>
      <xdr:rowOff>38100</xdr:rowOff>
    </xdr:to>
    <xdr:sp macro="" textlink="">
      <xdr:nvSpPr>
        <xdr:cNvPr id="1025" name="Tekst 1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SpPr txBox="1">
          <a:spLocks noChangeArrowheads="1"/>
        </xdr:cNvSpPr>
      </xdr:nvSpPr>
      <xdr:spPr bwMode="auto">
        <a:xfrm>
          <a:off x="47625" y="3076575"/>
          <a:ext cx="274320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Dersom factoringselskapet greier å presse ned kunde-kredittiden (til ca 32 dager) vil factroing være mest gunstig. Prøv dette ved å sette inn 32 i B15.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zoomScale="130" zoomScaleNormal="130" workbookViewId="0">
      <selection activeCell="D31" sqref="D31"/>
    </sheetView>
  </sheetViews>
  <sheetFormatPr baseColWidth="10" defaultColWidth="11.42578125" defaultRowHeight="12.75" x14ac:dyDescent="0.2"/>
  <cols>
    <col min="1" max="1" width="17.28515625" bestFit="1" customWidth="1"/>
    <col min="2" max="2" width="11.42578125" customWidth="1"/>
    <col min="3" max="3" width="11.85546875" bestFit="1" customWidth="1"/>
  </cols>
  <sheetData>
    <row r="1" spans="1:4" x14ac:dyDescent="0.2">
      <c r="A1" s="18" t="s">
        <v>0</v>
      </c>
    </row>
    <row r="3" spans="1:4" x14ac:dyDescent="0.2">
      <c r="A3" s="9" t="s">
        <v>1</v>
      </c>
      <c r="B3" s="4">
        <v>0</v>
      </c>
      <c r="C3" s="4">
        <v>1</v>
      </c>
      <c r="D3" s="4">
        <v>2</v>
      </c>
    </row>
    <row r="4" spans="1:4" x14ac:dyDescent="0.2">
      <c r="A4" s="10" t="s">
        <v>125</v>
      </c>
      <c r="B4" s="8">
        <v>50000</v>
      </c>
      <c r="C4" s="14">
        <f>PPMT($B$11,C3,2,$B$4)</f>
        <v>-23923.444976076549</v>
      </c>
      <c r="D4" s="14">
        <f>PPMT($B$11,D3,2,$B$4)</f>
        <v>-26076.55502392344</v>
      </c>
    </row>
    <row r="5" spans="1:4" x14ac:dyDescent="0.2">
      <c r="A5" s="11" t="s">
        <v>3</v>
      </c>
      <c r="B5" s="12"/>
      <c r="C5" s="15">
        <f>IPMT($B$11,C3,2,$B$4)</f>
        <v>-4500</v>
      </c>
      <c r="D5" s="15">
        <f>IPMT($B$11,D3,2,$B$4)</f>
        <v>-2346.8899521531098</v>
      </c>
    </row>
    <row r="6" spans="1:4" x14ac:dyDescent="0.2">
      <c r="A6" s="6" t="s">
        <v>4</v>
      </c>
      <c r="B6" s="6"/>
      <c r="C6" s="16">
        <v>-100</v>
      </c>
      <c r="D6" s="16">
        <v>-100</v>
      </c>
    </row>
    <row r="7" spans="1:4" x14ac:dyDescent="0.2">
      <c r="A7" s="50" t="s">
        <v>5</v>
      </c>
      <c r="B7" s="51">
        <f>SUM(B4:B6)</f>
        <v>50000</v>
      </c>
      <c r="C7" s="52">
        <f>SUM(C4:C6)</f>
        <v>-28523.444976076549</v>
      </c>
      <c r="D7" s="52">
        <f>SUM(D4:D6)</f>
        <v>-28523.444976076549</v>
      </c>
    </row>
    <row r="9" spans="1:4" x14ac:dyDescent="0.2">
      <c r="A9" s="31" t="s">
        <v>6</v>
      </c>
      <c r="B9" s="48">
        <v>50000</v>
      </c>
    </row>
    <row r="10" spans="1:4" x14ac:dyDescent="0.2">
      <c r="A10" s="47" t="s">
        <v>7</v>
      </c>
      <c r="B10" s="42">
        <f>PMT(B11,2,B9)</f>
        <v>-28423.444976076549</v>
      </c>
    </row>
    <row r="11" spans="1:4" x14ac:dyDescent="0.2">
      <c r="A11" s="47" t="s">
        <v>8</v>
      </c>
      <c r="B11" s="49">
        <v>0.09</v>
      </c>
    </row>
    <row r="12" spans="1:4" x14ac:dyDescent="0.2">
      <c r="A12" s="30" t="s">
        <v>9</v>
      </c>
      <c r="B12" s="43">
        <f>IRR(B7:D7)</f>
        <v>9.2592852734324493E-2</v>
      </c>
    </row>
    <row r="14" spans="1:4" x14ac:dyDescent="0.2">
      <c r="A14" s="9" t="s">
        <v>1</v>
      </c>
      <c r="B14" s="4">
        <v>0</v>
      </c>
      <c r="C14" s="4">
        <v>1</v>
      </c>
      <c r="D14" s="4">
        <v>2</v>
      </c>
    </row>
    <row r="15" spans="1:4" x14ac:dyDescent="0.2">
      <c r="A15" s="10" t="s">
        <v>2</v>
      </c>
      <c r="B15" s="8">
        <v>50000</v>
      </c>
      <c r="C15" s="14">
        <f>PPMT($B$22,C14,2,$B$15)</f>
        <v>-24271.844660194176</v>
      </c>
      <c r="D15" s="14">
        <f>PPMT($B$22,D14,2,$B$15)</f>
        <v>-25728.155339805828</v>
      </c>
    </row>
    <row r="16" spans="1:4" x14ac:dyDescent="0.2">
      <c r="A16" s="11" t="s">
        <v>3</v>
      </c>
      <c r="B16" s="12"/>
      <c r="C16" s="15">
        <f>IPMT($B$22,C14,2,$B$15)</f>
        <v>-3000</v>
      </c>
      <c r="D16" s="15">
        <f>IPMT($B$22,D14,2,$B$15)</f>
        <v>-1543.6893203883494</v>
      </c>
    </row>
    <row r="17" spans="1:4" x14ac:dyDescent="0.2">
      <c r="A17" s="6" t="s">
        <v>4</v>
      </c>
      <c r="B17" s="7">
        <v>-2500</v>
      </c>
      <c r="C17" s="16">
        <v>-100</v>
      </c>
      <c r="D17" s="16">
        <v>-100</v>
      </c>
    </row>
    <row r="18" spans="1:4" x14ac:dyDescent="0.2">
      <c r="A18" s="50" t="s">
        <v>5</v>
      </c>
      <c r="B18" s="51">
        <f>SUM(B15:B17)</f>
        <v>47500</v>
      </c>
      <c r="C18" s="52">
        <f>SUM(C15:C17)</f>
        <v>-27371.844660194176</v>
      </c>
      <c r="D18" s="52">
        <f>SUM(D15:D17)</f>
        <v>-27371.844660194176</v>
      </c>
    </row>
    <row r="20" spans="1:4" x14ac:dyDescent="0.2">
      <c r="A20" s="31" t="s">
        <v>6</v>
      </c>
      <c r="B20" s="48">
        <v>50000</v>
      </c>
    </row>
    <row r="21" spans="1:4" x14ac:dyDescent="0.2">
      <c r="A21" s="47" t="s">
        <v>7</v>
      </c>
      <c r="B21" s="42">
        <f>PMT(B22,2,B20)</f>
        <v>-27271.844660194176</v>
      </c>
    </row>
    <row r="22" spans="1:4" x14ac:dyDescent="0.2">
      <c r="A22" s="47" t="s">
        <v>8</v>
      </c>
      <c r="B22" s="49">
        <v>0.06</v>
      </c>
    </row>
    <row r="23" spans="1:4" x14ac:dyDescent="0.2">
      <c r="A23" s="30" t="s">
        <v>9</v>
      </c>
      <c r="B23" s="43">
        <f>IRR(B18:D18)</f>
        <v>0.10007615261792391</v>
      </c>
    </row>
    <row r="24" spans="1:4" x14ac:dyDescent="0.2">
      <c r="B24" s="54"/>
    </row>
    <row r="25" spans="1:4" x14ac:dyDescent="0.2">
      <c r="A25" s="18" t="s">
        <v>10</v>
      </c>
      <c r="B25" s="54"/>
    </row>
    <row r="27" spans="1:4" x14ac:dyDescent="0.2">
      <c r="A27" s="31" t="s">
        <v>11</v>
      </c>
      <c r="B27" s="44">
        <v>98</v>
      </c>
    </row>
    <row r="28" spans="1:4" x14ac:dyDescent="0.2">
      <c r="A28" s="47" t="s">
        <v>12</v>
      </c>
      <c r="B28" s="45">
        <v>100</v>
      </c>
    </row>
    <row r="29" spans="1:4" x14ac:dyDescent="0.2">
      <c r="A29" s="47" t="s">
        <v>13</v>
      </c>
      <c r="B29" s="55">
        <f>(B28/B27)-1</f>
        <v>2.0408163265306145E-2</v>
      </c>
    </row>
    <row r="30" spans="1:4" x14ac:dyDescent="0.2">
      <c r="A30" s="30" t="s">
        <v>9</v>
      </c>
      <c r="B30" s="56">
        <f>(1+B29)^12-1</f>
        <v>0.27434521242337762</v>
      </c>
    </row>
    <row r="32" spans="1:4" x14ac:dyDescent="0.2">
      <c r="A32" s="31" t="s">
        <v>11</v>
      </c>
      <c r="B32" s="44">
        <v>98</v>
      </c>
    </row>
    <row r="33" spans="1:2" x14ac:dyDescent="0.2">
      <c r="A33" s="47" t="s">
        <v>14</v>
      </c>
      <c r="B33" s="45">
        <v>101.5</v>
      </c>
    </row>
    <row r="34" spans="1:2" x14ac:dyDescent="0.2">
      <c r="A34" s="47" t="s">
        <v>15</v>
      </c>
      <c r="B34" s="55">
        <f>(B33/B32)-1</f>
        <v>3.5714285714285809E-2</v>
      </c>
    </row>
    <row r="35" spans="1:2" x14ac:dyDescent="0.2">
      <c r="A35" s="30" t="s">
        <v>9</v>
      </c>
      <c r="B35" s="56">
        <f>(1+B34)^8-1</f>
        <v>0.32409678922900675</v>
      </c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57"/>
  <sheetViews>
    <sheetView tabSelected="1" zoomScale="90" zoomScaleNormal="90" workbookViewId="0">
      <selection activeCell="L50" sqref="L50"/>
    </sheetView>
  </sheetViews>
  <sheetFormatPr baseColWidth="10" defaultColWidth="9.140625" defaultRowHeight="12.75" x14ac:dyDescent="0.2"/>
  <cols>
    <col min="1" max="1" width="26.5703125" customWidth="1"/>
    <col min="2" max="2" width="12.85546875" bestFit="1" customWidth="1"/>
    <col min="3" max="3" width="11.85546875" bestFit="1" customWidth="1"/>
  </cols>
  <sheetData>
    <row r="1" spans="1:18" x14ac:dyDescent="0.2">
      <c r="A1" s="116" t="s">
        <v>17</v>
      </c>
      <c r="B1" s="103">
        <v>200000</v>
      </c>
    </row>
    <row r="2" spans="1:18" x14ac:dyDescent="0.2">
      <c r="A2" s="117" t="s">
        <v>8</v>
      </c>
      <c r="B2" s="104">
        <v>0.05</v>
      </c>
    </row>
    <row r="3" spans="1:18" x14ac:dyDescent="0.2">
      <c r="A3" s="117" t="s">
        <v>131</v>
      </c>
      <c r="B3" s="105">
        <f>B2/4</f>
        <v>1.2500000000000001E-2</v>
      </c>
    </row>
    <row r="4" spans="1:18" x14ac:dyDescent="0.2">
      <c r="A4" s="117" t="s">
        <v>108</v>
      </c>
      <c r="B4" s="106">
        <v>16</v>
      </c>
    </row>
    <row r="5" spans="1:18" x14ac:dyDescent="0.2">
      <c r="A5" s="117" t="s">
        <v>29</v>
      </c>
      <c r="B5" s="119">
        <v>1000</v>
      </c>
    </row>
    <row r="6" spans="1:18" x14ac:dyDescent="0.2">
      <c r="A6" s="118" t="s">
        <v>28</v>
      </c>
      <c r="B6" s="120">
        <v>50</v>
      </c>
    </row>
    <row r="8" spans="1:18" x14ac:dyDescent="0.2">
      <c r="A8" s="190" t="s">
        <v>30</v>
      </c>
      <c r="B8" s="191">
        <f>-PMT(B3,B4,B1)</f>
        <v>13869.344410029162</v>
      </c>
    </row>
    <row r="10" spans="1:18" x14ac:dyDescent="0.2">
      <c r="A10" s="111" t="s">
        <v>109</v>
      </c>
      <c r="B10" s="112">
        <v>0</v>
      </c>
      <c r="C10" s="112">
        <v>1</v>
      </c>
      <c r="D10" s="112">
        <v>2</v>
      </c>
      <c r="E10" s="112">
        <v>3</v>
      </c>
      <c r="F10" s="112">
        <v>4</v>
      </c>
      <c r="G10" s="112">
        <v>5</v>
      </c>
      <c r="H10" s="112">
        <v>6</v>
      </c>
      <c r="I10" s="112">
        <v>7</v>
      </c>
      <c r="J10" s="112">
        <v>8</v>
      </c>
      <c r="K10" s="112">
        <v>9</v>
      </c>
      <c r="L10" s="112">
        <v>10</v>
      </c>
      <c r="M10" s="112">
        <v>11</v>
      </c>
      <c r="N10" s="112">
        <v>12</v>
      </c>
      <c r="O10" s="112">
        <v>13</v>
      </c>
      <c r="P10" s="112">
        <v>14</v>
      </c>
      <c r="Q10" s="112">
        <v>15</v>
      </c>
      <c r="R10" s="112">
        <v>16</v>
      </c>
    </row>
    <row r="11" spans="1:18" x14ac:dyDescent="0.2">
      <c r="A11" s="110" t="s">
        <v>17</v>
      </c>
      <c r="B11" s="1">
        <f>B1</f>
        <v>200000</v>
      </c>
    </row>
    <row r="12" spans="1:18" x14ac:dyDescent="0.2">
      <c r="A12" s="110" t="s">
        <v>110</v>
      </c>
      <c r="B12" s="1">
        <f>-B5</f>
        <v>-1000</v>
      </c>
    </row>
    <row r="13" spans="1:18" x14ac:dyDescent="0.2">
      <c r="A13" s="110" t="s">
        <v>28</v>
      </c>
      <c r="C13">
        <f>-$B$6</f>
        <v>-50</v>
      </c>
      <c r="D13">
        <f t="shared" ref="D13:R13" si="0">-$B$6</f>
        <v>-50</v>
      </c>
      <c r="E13">
        <f t="shared" si="0"/>
        <v>-50</v>
      </c>
      <c r="F13">
        <f t="shared" si="0"/>
        <v>-50</v>
      </c>
      <c r="G13">
        <f t="shared" si="0"/>
        <v>-50</v>
      </c>
      <c r="H13">
        <f t="shared" si="0"/>
        <v>-50</v>
      </c>
      <c r="I13">
        <f t="shared" si="0"/>
        <v>-50</v>
      </c>
      <c r="J13">
        <f t="shared" si="0"/>
        <v>-50</v>
      </c>
      <c r="K13">
        <f t="shared" si="0"/>
        <v>-50</v>
      </c>
      <c r="L13">
        <f t="shared" si="0"/>
        <v>-50</v>
      </c>
      <c r="M13">
        <f t="shared" si="0"/>
        <v>-50</v>
      </c>
      <c r="N13">
        <f t="shared" si="0"/>
        <v>-50</v>
      </c>
      <c r="O13">
        <f t="shared" si="0"/>
        <v>-50</v>
      </c>
      <c r="P13">
        <f t="shared" si="0"/>
        <v>-50</v>
      </c>
      <c r="Q13">
        <f t="shared" si="0"/>
        <v>-50</v>
      </c>
      <c r="R13">
        <f t="shared" si="0"/>
        <v>-50</v>
      </c>
    </row>
    <row r="14" spans="1:18" x14ac:dyDescent="0.2">
      <c r="A14" s="110" t="s">
        <v>111</v>
      </c>
      <c r="C14" s="113">
        <f>IPMT($B$3,C10,16,$B$1)</f>
        <v>-2500</v>
      </c>
      <c r="D14" s="113">
        <f t="shared" ref="D14:R14" si="1">IPMT($B$3,D10,16,$B$1)</f>
        <v>-2357.8831948746356</v>
      </c>
      <c r="E14" s="113">
        <f t="shared" si="1"/>
        <v>-2213.9899296852041</v>
      </c>
      <c r="F14" s="113">
        <f t="shared" si="1"/>
        <v>-2068.2979986809041</v>
      </c>
      <c r="G14" s="113">
        <f t="shared" si="1"/>
        <v>-1920.7849185390512</v>
      </c>
      <c r="H14" s="113">
        <f t="shared" si="1"/>
        <v>-1771.4279248954253</v>
      </c>
      <c r="I14" s="113">
        <f t="shared" si="1"/>
        <v>-1620.2039688312534</v>
      </c>
      <c r="J14" s="113">
        <f t="shared" si="1"/>
        <v>-1467.0897133162794</v>
      </c>
      <c r="K14" s="113">
        <f t="shared" si="1"/>
        <v>-1312.0615296073684</v>
      </c>
      <c r="L14" s="113">
        <f t="shared" si="1"/>
        <v>-1155.095493602096</v>
      </c>
      <c r="M14" s="113">
        <f t="shared" si="1"/>
        <v>-996.16738214675752</v>
      </c>
      <c r="N14" s="113">
        <f t="shared" si="1"/>
        <v>-835.2526692982276</v>
      </c>
      <c r="O14" s="113">
        <f t="shared" si="1"/>
        <v>-672.326522539091</v>
      </c>
      <c r="P14" s="113">
        <f t="shared" si="1"/>
        <v>-507.36379894546502</v>
      </c>
      <c r="Q14" s="113">
        <f t="shared" si="1"/>
        <v>-340.33904130691894</v>
      </c>
      <c r="R14" s="113">
        <f t="shared" si="1"/>
        <v>-171.22647419789087</v>
      </c>
    </row>
    <row r="15" spans="1:18" x14ac:dyDescent="0.2">
      <c r="A15" s="114" t="s">
        <v>2</v>
      </c>
      <c r="B15" s="97"/>
      <c r="C15" s="115">
        <f>PPMT($B$3,C10,$R$10,$B$1)</f>
        <v>-11369.344410029162</v>
      </c>
      <c r="D15" s="115">
        <f t="shared" ref="D15:R15" si="2">PPMT($B$3,D10,$R$10,$B$1)</f>
        <v>-11511.461215154526</v>
      </c>
      <c r="E15" s="115">
        <f t="shared" si="2"/>
        <v>-11655.354480343958</v>
      </c>
      <c r="F15" s="115">
        <f t="shared" si="2"/>
        <v>-11801.046411348258</v>
      </c>
      <c r="G15" s="115">
        <f t="shared" si="2"/>
        <v>-11948.55949149011</v>
      </c>
      <c r="H15" s="115">
        <f t="shared" si="2"/>
        <v>-12097.916485133737</v>
      </c>
      <c r="I15" s="115">
        <f t="shared" si="2"/>
        <v>-12249.140441197909</v>
      </c>
      <c r="J15" s="115">
        <f t="shared" si="2"/>
        <v>-12402.254696712884</v>
      </c>
      <c r="K15" s="115">
        <f t="shared" si="2"/>
        <v>-12557.282880421793</v>
      </c>
      <c r="L15" s="115">
        <f t="shared" si="2"/>
        <v>-12714.248916427066</v>
      </c>
      <c r="M15" s="115">
        <f t="shared" si="2"/>
        <v>-12873.177027882404</v>
      </c>
      <c r="N15" s="115">
        <f t="shared" si="2"/>
        <v>-13034.091740730933</v>
      </c>
      <c r="O15" s="115">
        <f t="shared" si="2"/>
        <v>-13197.017887490072</v>
      </c>
      <c r="P15" s="115">
        <f t="shared" si="2"/>
        <v>-13361.980611083698</v>
      </c>
      <c r="Q15" s="115">
        <f t="shared" si="2"/>
        <v>-13529.005368722243</v>
      </c>
      <c r="R15" s="115">
        <f t="shared" si="2"/>
        <v>-13698.117935831273</v>
      </c>
    </row>
    <row r="16" spans="1:18" x14ac:dyDescent="0.2">
      <c r="A16" s="127" t="s">
        <v>5</v>
      </c>
      <c r="B16" s="128">
        <f>SUM(B11:B15)</f>
        <v>199000</v>
      </c>
      <c r="C16" s="128">
        <f t="shared" ref="C16:R16" si="3">SUM(C11:C15)</f>
        <v>-13919.344410029162</v>
      </c>
      <c r="D16" s="128">
        <f t="shared" si="3"/>
        <v>-13919.344410029162</v>
      </c>
      <c r="E16" s="128">
        <f t="shared" si="3"/>
        <v>-13919.344410029162</v>
      </c>
      <c r="F16" s="128">
        <f t="shared" si="3"/>
        <v>-13919.344410029162</v>
      </c>
      <c r="G16" s="128">
        <f t="shared" si="3"/>
        <v>-13919.344410029162</v>
      </c>
      <c r="H16" s="128">
        <f t="shared" si="3"/>
        <v>-13919.344410029164</v>
      </c>
      <c r="I16" s="128">
        <f t="shared" si="3"/>
        <v>-13919.344410029164</v>
      </c>
      <c r="J16" s="128">
        <f t="shared" si="3"/>
        <v>-13919.344410029164</v>
      </c>
      <c r="K16" s="128">
        <f t="shared" si="3"/>
        <v>-13919.344410029162</v>
      </c>
      <c r="L16" s="128">
        <f t="shared" si="3"/>
        <v>-13919.344410029162</v>
      </c>
      <c r="M16" s="128">
        <f t="shared" si="3"/>
        <v>-13919.344410029162</v>
      </c>
      <c r="N16" s="128">
        <f t="shared" si="3"/>
        <v>-13919.344410029162</v>
      </c>
      <c r="O16" s="128">
        <f t="shared" si="3"/>
        <v>-13919.344410029164</v>
      </c>
      <c r="P16" s="128">
        <f t="shared" si="3"/>
        <v>-13919.344410029164</v>
      </c>
      <c r="Q16" s="128">
        <f t="shared" si="3"/>
        <v>-13919.344410029162</v>
      </c>
      <c r="R16" s="128">
        <f t="shared" si="3"/>
        <v>-13919.344410029164</v>
      </c>
    </row>
    <row r="18" spans="1:2" x14ac:dyDescent="0.2">
      <c r="A18" s="192" t="s">
        <v>107</v>
      </c>
      <c r="B18" s="193">
        <f>IRR(B16:R16)</f>
        <v>1.3560575776368378E-2</v>
      </c>
    </row>
    <row r="19" spans="1:2" x14ac:dyDescent="0.2">
      <c r="A19" s="194" t="s">
        <v>9</v>
      </c>
      <c r="B19" s="195">
        <f>(1+B18)^4-1</f>
        <v>5.5355646787595747E-2</v>
      </c>
    </row>
    <row r="21" spans="1:2" x14ac:dyDescent="0.2">
      <c r="A21" s="121" t="s">
        <v>112</v>
      </c>
      <c r="B21" s="124">
        <f>B8</f>
        <v>13869.344410029162</v>
      </c>
    </row>
    <row r="22" spans="1:2" x14ac:dyDescent="0.2">
      <c r="A22" s="123" t="s">
        <v>113</v>
      </c>
      <c r="B22" s="11">
        <v>13</v>
      </c>
    </row>
    <row r="23" spans="1:2" x14ac:dyDescent="0.2">
      <c r="A23" s="122" t="s">
        <v>114</v>
      </c>
      <c r="B23" s="38">
        <v>0.01</v>
      </c>
    </row>
    <row r="25" spans="1:2" x14ac:dyDescent="0.2">
      <c r="A25" s="121" t="s">
        <v>115</v>
      </c>
      <c r="B25" s="5">
        <f>-PV(B23,B22,B21)</f>
        <v>168287.02005084004</v>
      </c>
    </row>
    <row r="26" spans="1:2" x14ac:dyDescent="0.2">
      <c r="A26" s="122" t="s">
        <v>31</v>
      </c>
      <c r="B26" s="7">
        <f>B1+C15+D15+E15</f>
        <v>165463.83989447236</v>
      </c>
    </row>
    <row r="27" spans="1:2" x14ac:dyDescent="0.2">
      <c r="A27" s="125" t="s">
        <v>116</v>
      </c>
      <c r="B27" s="126">
        <f>B25-B26</f>
        <v>2823.1801563676854</v>
      </c>
    </row>
    <row r="29" spans="1:2" x14ac:dyDescent="0.2">
      <c r="A29" s="209" t="s">
        <v>117</v>
      </c>
      <c r="B29" s="210">
        <f>-O15-P15-Q15-R15</f>
        <v>53786.12180312728</v>
      </c>
    </row>
    <row r="32" spans="1:2" x14ac:dyDescent="0.2">
      <c r="A32" s="178" t="s">
        <v>118</v>
      </c>
      <c r="B32" s="178"/>
    </row>
    <row r="34" spans="1:2" x14ac:dyDescent="0.2">
      <c r="A34" s="116" t="s">
        <v>17</v>
      </c>
      <c r="B34" s="103">
        <v>200000</v>
      </c>
    </row>
    <row r="35" spans="1:2" x14ac:dyDescent="0.2">
      <c r="A35" s="118" t="s">
        <v>29</v>
      </c>
      <c r="B35" s="179">
        <v>1000</v>
      </c>
    </row>
    <row r="36" spans="1:2" x14ac:dyDescent="0.2">
      <c r="A36" s="117" t="s">
        <v>119</v>
      </c>
      <c r="B36" s="119">
        <f>B34-B35</f>
        <v>199000</v>
      </c>
    </row>
    <row r="37" spans="1:2" x14ac:dyDescent="0.2">
      <c r="A37" s="117" t="s">
        <v>8</v>
      </c>
      <c r="B37" s="104">
        <v>0.05</v>
      </c>
    </row>
    <row r="38" spans="1:2" x14ac:dyDescent="0.2">
      <c r="A38" s="117" t="s">
        <v>20</v>
      </c>
      <c r="B38" s="105">
        <f>B37/4</f>
        <v>1.2500000000000001E-2</v>
      </c>
    </row>
    <row r="39" spans="1:2" x14ac:dyDescent="0.2">
      <c r="A39" s="117" t="s">
        <v>108</v>
      </c>
      <c r="B39" s="106">
        <v>16</v>
      </c>
    </row>
    <row r="40" spans="1:2" x14ac:dyDescent="0.2">
      <c r="A40" s="118" t="s">
        <v>28</v>
      </c>
      <c r="B40" s="120">
        <v>50</v>
      </c>
    </row>
    <row r="42" spans="1:2" x14ac:dyDescent="0.2">
      <c r="A42" s="121" t="s">
        <v>47</v>
      </c>
      <c r="B42" s="8">
        <f>PMT(B38,B39,B34)</f>
        <v>-13869.344410029162</v>
      </c>
    </row>
    <row r="43" spans="1:2" x14ac:dyDescent="0.2">
      <c r="A43" s="122" t="s">
        <v>28</v>
      </c>
      <c r="B43" s="6">
        <f>-B40</f>
        <v>-50</v>
      </c>
    </row>
    <row r="44" spans="1:2" x14ac:dyDescent="0.2">
      <c r="A44" s="196" t="s">
        <v>48</v>
      </c>
      <c r="B44" s="181">
        <f>SUM(B42:B43)</f>
        <v>-13919.344410029162</v>
      </c>
    </row>
    <row r="46" spans="1:2" x14ac:dyDescent="0.2">
      <c r="A46" s="196" t="s">
        <v>107</v>
      </c>
      <c r="B46" s="197">
        <f>RATE(B39,B44,B36)</f>
        <v>1.3560575776400375E-2</v>
      </c>
    </row>
    <row r="49" spans="1:2" x14ac:dyDescent="0.2">
      <c r="A49" s="116" t="s">
        <v>120</v>
      </c>
      <c r="B49" s="202">
        <f>-B8</f>
        <v>-13869.344410029162</v>
      </c>
    </row>
    <row r="50" spans="1:2" x14ac:dyDescent="0.2">
      <c r="A50" s="117" t="s">
        <v>113</v>
      </c>
      <c r="B50" s="203">
        <v>13</v>
      </c>
    </row>
    <row r="51" spans="1:2" x14ac:dyDescent="0.2">
      <c r="A51" s="117" t="s">
        <v>121</v>
      </c>
      <c r="B51" s="204">
        <v>1.2500000000000001E-2</v>
      </c>
    </row>
    <row r="52" spans="1:2" x14ac:dyDescent="0.2">
      <c r="A52" s="118" t="s">
        <v>122</v>
      </c>
      <c r="B52" s="205">
        <v>0.01</v>
      </c>
    </row>
    <row r="54" spans="1:2" x14ac:dyDescent="0.2">
      <c r="A54" s="116" t="s">
        <v>123</v>
      </c>
      <c r="B54" s="206">
        <f>PV(B51,B50,B49)</f>
        <v>165463.83989447204</v>
      </c>
    </row>
    <row r="55" spans="1:2" x14ac:dyDescent="0.2">
      <c r="A55" s="118" t="s">
        <v>124</v>
      </c>
      <c r="B55" s="207">
        <f>PV(B52,B50,B49)</f>
        <v>168287.02005084004</v>
      </c>
    </row>
    <row r="57" spans="1:2" x14ac:dyDescent="0.2">
      <c r="A57" s="196" t="s">
        <v>116</v>
      </c>
      <c r="B57" s="208">
        <f>B55-B54</f>
        <v>2823.1801563680056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zoomScale="130" zoomScaleNormal="130" workbookViewId="0">
      <selection activeCell="F25" sqref="F25"/>
    </sheetView>
  </sheetViews>
  <sheetFormatPr baseColWidth="10" defaultColWidth="11.42578125" defaultRowHeight="12.75" x14ac:dyDescent="0.2"/>
  <cols>
    <col min="1" max="1" width="18.5703125" bestFit="1" customWidth="1"/>
    <col min="2" max="2" width="8.7109375" customWidth="1"/>
    <col min="3" max="5" width="8.42578125" bestFit="1" customWidth="1"/>
    <col min="6" max="14" width="8.28515625" customWidth="1"/>
  </cols>
  <sheetData>
    <row r="1" spans="1:14" x14ac:dyDescent="0.2">
      <c r="A1" s="21" t="s">
        <v>16</v>
      </c>
      <c r="B1" s="20">
        <v>0</v>
      </c>
      <c r="C1" s="20">
        <v>1</v>
      </c>
      <c r="D1" s="20">
        <v>2</v>
      </c>
      <c r="E1" s="20">
        <v>3</v>
      </c>
      <c r="F1" s="20">
        <v>4</v>
      </c>
      <c r="G1" s="20">
        <v>5</v>
      </c>
      <c r="H1" s="20">
        <v>6</v>
      </c>
    </row>
    <row r="2" spans="1:14" x14ac:dyDescent="0.2">
      <c r="A2" s="17" t="s">
        <v>17</v>
      </c>
      <c r="B2" s="12">
        <v>300000</v>
      </c>
      <c r="C2" s="11"/>
      <c r="D2" s="11"/>
      <c r="E2" s="11"/>
      <c r="F2" s="11"/>
      <c r="G2" s="11"/>
      <c r="H2" s="11"/>
    </row>
    <row r="3" spans="1:14" x14ac:dyDescent="0.2">
      <c r="A3" s="17" t="s">
        <v>2</v>
      </c>
      <c r="B3" s="11"/>
      <c r="C3" s="13">
        <f t="shared" ref="C3:H3" si="0">-$B$2/6</f>
        <v>-50000</v>
      </c>
      <c r="D3" s="13">
        <f t="shared" si="0"/>
        <v>-50000</v>
      </c>
      <c r="E3" s="13">
        <f t="shared" si="0"/>
        <v>-50000</v>
      </c>
      <c r="F3" s="13">
        <f t="shared" si="0"/>
        <v>-50000</v>
      </c>
      <c r="G3" s="13">
        <f t="shared" si="0"/>
        <v>-50000</v>
      </c>
      <c r="H3" s="13">
        <f t="shared" si="0"/>
        <v>-50000</v>
      </c>
    </row>
    <row r="4" spans="1:14" x14ac:dyDescent="0.2">
      <c r="A4" s="17" t="s">
        <v>3</v>
      </c>
      <c r="B4" s="11"/>
      <c r="C4" s="13">
        <f>-($B$2*$B$8)</f>
        <v>-27000</v>
      </c>
      <c r="D4" s="13">
        <f>-($B$2+C3)*$B$8</f>
        <v>-22500</v>
      </c>
      <c r="E4" s="13">
        <f>-($B$2+C3+D3)*$B$8</f>
        <v>-18000</v>
      </c>
      <c r="F4" s="13">
        <f>-($B$2+C3+D3+E3)*$B$8</f>
        <v>-13500</v>
      </c>
      <c r="G4" s="13">
        <f>-($B$2+C3+D3+E3+F3)*$B$8</f>
        <v>-9000</v>
      </c>
      <c r="H4" s="13">
        <f>-($B$2+C3+D3+E3+F3+G3)*$B$8</f>
        <v>-4500</v>
      </c>
    </row>
    <row r="5" spans="1:14" x14ac:dyDescent="0.2">
      <c r="A5" s="17" t="s">
        <v>4</v>
      </c>
      <c r="B5" s="7">
        <v>-10000</v>
      </c>
      <c r="C5" s="11"/>
      <c r="D5" s="11"/>
      <c r="E5" s="11"/>
      <c r="F5" s="11"/>
      <c r="G5" s="11"/>
      <c r="H5" s="11"/>
    </row>
    <row r="6" spans="1:14" x14ac:dyDescent="0.2">
      <c r="A6" s="66" t="s">
        <v>5</v>
      </c>
      <c r="B6" s="93">
        <f>SUM(B2:B5)</f>
        <v>290000</v>
      </c>
      <c r="C6" s="64">
        <f t="shared" ref="C6:H6" si="1">SUM(C2:C5)</f>
        <v>-77000</v>
      </c>
      <c r="D6" s="64">
        <f t="shared" si="1"/>
        <v>-72500</v>
      </c>
      <c r="E6" s="64">
        <f t="shared" si="1"/>
        <v>-68000</v>
      </c>
      <c r="F6" s="64">
        <f t="shared" si="1"/>
        <v>-63500</v>
      </c>
      <c r="G6" s="64">
        <f t="shared" si="1"/>
        <v>-59000</v>
      </c>
      <c r="H6" s="64">
        <f t="shared" si="1"/>
        <v>-54500</v>
      </c>
    </row>
    <row r="8" spans="1:14" x14ac:dyDescent="0.2">
      <c r="A8" s="31" t="s">
        <v>18</v>
      </c>
      <c r="B8" s="46">
        <v>0.09</v>
      </c>
    </row>
    <row r="9" spans="1:14" x14ac:dyDescent="0.2">
      <c r="A9" s="47" t="s">
        <v>19</v>
      </c>
      <c r="B9" s="49">
        <f>IRR(B6:H6)</f>
        <v>0.10222050476423439</v>
      </c>
    </row>
    <row r="10" spans="1:14" x14ac:dyDescent="0.2">
      <c r="A10" s="30" t="s">
        <v>9</v>
      </c>
      <c r="B10" s="56">
        <f>(1+B9)^2-1</f>
        <v>0.2148900411227237</v>
      </c>
    </row>
    <row r="12" spans="1:14" x14ac:dyDescent="0.2">
      <c r="A12" s="31" t="s">
        <v>9</v>
      </c>
      <c r="B12" s="46">
        <f>B10</f>
        <v>0.2148900411227237</v>
      </c>
    </row>
    <row r="13" spans="1:14" x14ac:dyDescent="0.2">
      <c r="A13" s="30" t="s">
        <v>20</v>
      </c>
      <c r="B13" s="94">
        <f>(1+B12)^0.25-1</f>
        <v>4.9866898594404852E-2</v>
      </c>
    </row>
    <row r="15" spans="1:14" x14ac:dyDescent="0.2">
      <c r="A15" s="19"/>
      <c r="B15" s="20">
        <v>0</v>
      </c>
      <c r="C15" s="20">
        <v>1</v>
      </c>
      <c r="D15" s="20">
        <v>2</v>
      </c>
      <c r="E15" s="20">
        <v>3</v>
      </c>
      <c r="F15" s="20">
        <v>4</v>
      </c>
      <c r="G15" s="20">
        <v>5</v>
      </c>
      <c r="H15" s="20">
        <v>6</v>
      </c>
      <c r="I15" s="20">
        <v>7</v>
      </c>
      <c r="J15" s="20">
        <v>8</v>
      </c>
      <c r="K15" s="20">
        <v>9</v>
      </c>
      <c r="L15" s="20">
        <v>10</v>
      </c>
      <c r="M15" s="20">
        <v>11</v>
      </c>
      <c r="N15" s="20">
        <v>11</v>
      </c>
    </row>
    <row r="16" spans="1:14" x14ac:dyDescent="0.2">
      <c r="A16" s="11" t="s">
        <v>17</v>
      </c>
      <c r="B16" s="12">
        <v>300000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N16" s="12">
        <v>-50000</v>
      </c>
    </row>
    <row r="17" spans="1:14" x14ac:dyDescent="0.2">
      <c r="A17" s="11" t="s">
        <v>21</v>
      </c>
      <c r="B17" s="12">
        <v>-29111.870013643882</v>
      </c>
      <c r="C17" s="12">
        <f>$B$17</f>
        <v>-29111.870013643882</v>
      </c>
      <c r="D17" s="12">
        <f t="shared" ref="D17:M17" si="2">$B$17</f>
        <v>-29111.870013643882</v>
      </c>
      <c r="E17" s="12">
        <f t="shared" si="2"/>
        <v>-29111.870013643882</v>
      </c>
      <c r="F17" s="12">
        <f t="shared" si="2"/>
        <v>-29111.870013643882</v>
      </c>
      <c r="G17" s="12">
        <f t="shared" si="2"/>
        <v>-29111.870013643882</v>
      </c>
      <c r="H17" s="12">
        <f t="shared" si="2"/>
        <v>-29111.870013643882</v>
      </c>
      <c r="I17" s="12">
        <f t="shared" si="2"/>
        <v>-29111.870013643882</v>
      </c>
      <c r="J17" s="12">
        <f t="shared" si="2"/>
        <v>-29111.870013643882</v>
      </c>
      <c r="K17" s="12">
        <f t="shared" si="2"/>
        <v>-29111.870013643882</v>
      </c>
      <c r="L17" s="12">
        <f t="shared" si="2"/>
        <v>-29111.870013643882</v>
      </c>
      <c r="M17" s="12">
        <f t="shared" si="2"/>
        <v>-29111.870013643882</v>
      </c>
    </row>
    <row r="18" spans="1:14" x14ac:dyDescent="0.2">
      <c r="A18" s="198" t="s">
        <v>5</v>
      </c>
      <c r="B18" s="199">
        <f>SUM(B16:B17)</f>
        <v>270888.12998635613</v>
      </c>
      <c r="C18" s="199">
        <f t="shared" ref="C18:M18" si="3">SUM(C16:C17)</f>
        <v>-29111.870013643882</v>
      </c>
      <c r="D18" s="199">
        <f t="shared" si="3"/>
        <v>-29111.870013643882</v>
      </c>
      <c r="E18" s="199">
        <f t="shared" si="3"/>
        <v>-29111.870013643882</v>
      </c>
      <c r="F18" s="199">
        <f t="shared" si="3"/>
        <v>-29111.870013643882</v>
      </c>
      <c r="G18" s="199">
        <f t="shared" si="3"/>
        <v>-29111.870013643882</v>
      </c>
      <c r="H18" s="199">
        <f t="shared" si="3"/>
        <v>-29111.870013643882</v>
      </c>
      <c r="I18" s="199">
        <f t="shared" si="3"/>
        <v>-29111.870013643882</v>
      </c>
      <c r="J18" s="199">
        <f t="shared" si="3"/>
        <v>-29111.870013643882</v>
      </c>
      <c r="K18" s="199">
        <f t="shared" si="3"/>
        <v>-29111.870013643882</v>
      </c>
      <c r="L18" s="199">
        <f t="shared" si="3"/>
        <v>-29111.870013643882</v>
      </c>
      <c r="M18" s="199">
        <f t="shared" si="3"/>
        <v>-29111.870013643882</v>
      </c>
      <c r="N18" s="199">
        <f>SUM(N16:N17)</f>
        <v>-50000</v>
      </c>
    </row>
    <row r="20" spans="1:14" x14ac:dyDescent="0.2">
      <c r="A20" s="36" t="s">
        <v>20</v>
      </c>
      <c r="B20" s="95">
        <f>IRR(B18:N18)</f>
        <v>4.922752299289801E-2</v>
      </c>
    </row>
    <row r="22" spans="1:14" x14ac:dyDescent="0.2">
      <c r="A22" t="s">
        <v>22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zoomScale="130" zoomScaleNormal="130" workbookViewId="0">
      <selection activeCell="C10" sqref="C10"/>
    </sheetView>
  </sheetViews>
  <sheetFormatPr baseColWidth="10" defaultColWidth="11.42578125" defaultRowHeight="12.75" x14ac:dyDescent="0.2"/>
  <sheetData>
    <row r="1" spans="1:8" x14ac:dyDescent="0.2">
      <c r="A1" s="22" t="s">
        <v>16</v>
      </c>
      <c r="B1" s="20">
        <v>0</v>
      </c>
      <c r="C1" s="20">
        <v>1</v>
      </c>
      <c r="D1" s="20">
        <v>2</v>
      </c>
      <c r="E1" s="20">
        <v>3</v>
      </c>
      <c r="F1" s="20">
        <v>4</v>
      </c>
      <c r="G1" s="23" t="s">
        <v>23</v>
      </c>
      <c r="H1" s="23" t="s">
        <v>24</v>
      </c>
    </row>
    <row r="2" spans="1:8" x14ac:dyDescent="0.2">
      <c r="A2" s="10" t="s">
        <v>25</v>
      </c>
      <c r="B2" s="5">
        <f>10000-670</f>
        <v>9330</v>
      </c>
      <c r="C2" s="8">
        <v>-2600</v>
      </c>
      <c r="D2" s="8">
        <v>-2600</v>
      </c>
      <c r="E2" s="8">
        <v>-2600</v>
      </c>
      <c r="F2" s="8">
        <v>-2600</v>
      </c>
      <c r="G2" s="25">
        <f>IRR(B2:F2)</f>
        <v>4.4888531791727582E-2</v>
      </c>
      <c r="H2" s="27">
        <f>(1+G2)^4-1</f>
        <v>0.19200986705755252</v>
      </c>
    </row>
    <row r="3" spans="1:8" x14ac:dyDescent="0.2">
      <c r="A3" s="6" t="s">
        <v>26</v>
      </c>
      <c r="B3" s="24">
        <f>10000-2200</f>
        <v>7800</v>
      </c>
      <c r="C3" s="7">
        <v>-2200</v>
      </c>
      <c r="D3" s="7">
        <v>-2200</v>
      </c>
      <c r="E3" s="7">
        <v>-2200</v>
      </c>
      <c r="F3" s="7">
        <v>-2200</v>
      </c>
      <c r="G3" s="26">
        <f>IRR(B3:F3)</f>
        <v>5.0060218514560439E-2</v>
      </c>
      <c r="H3" s="28">
        <f>(1+G3)^4-1</f>
        <v>0.21578511582036208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zoomScale="130" zoomScaleNormal="130" workbookViewId="0">
      <selection activeCell="E25" sqref="E25"/>
    </sheetView>
  </sheetViews>
  <sheetFormatPr baseColWidth="10" defaultColWidth="9.140625" defaultRowHeight="12.75" x14ac:dyDescent="0.2"/>
  <cols>
    <col min="1" max="1" width="29.42578125" bestFit="1" customWidth="1"/>
    <col min="2" max="2" width="10.85546875" bestFit="1" customWidth="1"/>
    <col min="3" max="4" width="9.7109375" bestFit="1" customWidth="1"/>
  </cols>
  <sheetData>
    <row r="1" spans="1:4" x14ac:dyDescent="0.2">
      <c r="A1" s="100" t="s">
        <v>17</v>
      </c>
      <c r="B1" s="107">
        <v>500000</v>
      </c>
    </row>
    <row r="2" spans="1:4" x14ac:dyDescent="0.2">
      <c r="A2" s="101" t="s">
        <v>8</v>
      </c>
      <c r="B2" s="186">
        <v>4.3499999999999997E-2</v>
      </c>
    </row>
    <row r="3" spans="1:4" x14ac:dyDescent="0.2">
      <c r="A3" s="188" t="s">
        <v>45</v>
      </c>
      <c r="B3" s="187">
        <f>B2/12</f>
        <v>3.6249999999999998E-3</v>
      </c>
    </row>
    <row r="4" spans="1:4" x14ac:dyDescent="0.2">
      <c r="A4" s="188" t="s">
        <v>128</v>
      </c>
      <c r="B4" s="108">
        <v>24</v>
      </c>
    </row>
    <row r="5" spans="1:4" x14ac:dyDescent="0.2">
      <c r="A5" s="101" t="s">
        <v>28</v>
      </c>
      <c r="B5" s="108">
        <v>35</v>
      </c>
    </row>
    <row r="6" spans="1:4" x14ac:dyDescent="0.2">
      <c r="A6" s="102" t="s">
        <v>29</v>
      </c>
      <c r="B6" s="109">
        <v>1300</v>
      </c>
    </row>
    <row r="8" spans="1:4" x14ac:dyDescent="0.2">
      <c r="A8" s="121" t="s">
        <v>130</v>
      </c>
      <c r="B8" s="14">
        <f>PMT(B3,B4,B1)</f>
        <v>-21790.436194271555</v>
      </c>
    </row>
    <row r="9" spans="1:4" x14ac:dyDescent="0.2">
      <c r="A9" s="6" t="str">
        <f>A5</f>
        <v>Termingebyr</v>
      </c>
      <c r="B9" s="182">
        <f>-B5</f>
        <v>-35</v>
      </c>
    </row>
    <row r="10" spans="1:4" x14ac:dyDescent="0.2">
      <c r="A10" s="189" t="s">
        <v>129</v>
      </c>
      <c r="B10" s="183">
        <f>B8+B9</f>
        <v>-21825.436194271555</v>
      </c>
    </row>
    <row r="12" spans="1:4" x14ac:dyDescent="0.2">
      <c r="A12" s="180" t="s">
        <v>126</v>
      </c>
      <c r="B12" s="181">
        <f>B1-B6</f>
        <v>498700</v>
      </c>
    </row>
    <row r="14" spans="1:4" x14ac:dyDescent="0.2">
      <c r="A14" s="36" t="s">
        <v>16</v>
      </c>
      <c r="B14" s="98">
        <v>1</v>
      </c>
      <c r="C14" s="98">
        <v>2</v>
      </c>
      <c r="D14" s="98">
        <v>3</v>
      </c>
    </row>
    <row r="15" spans="1:4" x14ac:dyDescent="0.2">
      <c r="A15" s="99" t="s">
        <v>3</v>
      </c>
      <c r="B15" s="170">
        <f>IPMT($B$3,B14,$B$4,$B$1)</f>
        <v>-1812.4999999999998</v>
      </c>
      <c r="C15" s="170">
        <f t="shared" ref="C15:D15" si="0">IPMT($B$3,C14,$B$4,$B$1)</f>
        <v>-1740.0799812957653</v>
      </c>
      <c r="D15" s="170">
        <f t="shared" si="0"/>
        <v>-1667.397440023728</v>
      </c>
    </row>
    <row r="16" spans="1:4" x14ac:dyDescent="0.2">
      <c r="A16" s="50" t="s">
        <v>2</v>
      </c>
      <c r="B16" s="52">
        <f>PPMT($B$3,B14,$B$4,$B$1)</f>
        <v>-19977.936194271555</v>
      </c>
      <c r="C16" s="52">
        <f t="shared" ref="C16:D16" si="1">PPMT($B$3,C14,$B$4,$B$1)</f>
        <v>-20050.356212975792</v>
      </c>
      <c r="D16" s="52">
        <f t="shared" si="1"/>
        <v>-20123.038754247827</v>
      </c>
    </row>
    <row r="17" spans="1:4" x14ac:dyDescent="0.2">
      <c r="A17" s="184" t="s">
        <v>30</v>
      </c>
      <c r="B17" s="185">
        <f>SUM(B15:B16)</f>
        <v>-21790.436194271555</v>
      </c>
      <c r="C17" s="185">
        <f>SUM(C15:C16)</f>
        <v>-21790.436194271559</v>
      </c>
      <c r="D17" s="185">
        <f>SUM(D15:D16)</f>
        <v>-21790.436194271555</v>
      </c>
    </row>
    <row r="18" spans="1:4" x14ac:dyDescent="0.2">
      <c r="B18" s="1"/>
      <c r="C18" s="1"/>
      <c r="D18" s="1"/>
    </row>
    <row r="19" spans="1:4" x14ac:dyDescent="0.2">
      <c r="A19" s="171" t="s">
        <v>32</v>
      </c>
      <c r="B19" s="173">
        <f>B2/12</f>
        <v>3.6249999999999998E-3</v>
      </c>
      <c r="C19" s="1"/>
      <c r="D19" s="1"/>
    </row>
    <row r="20" spans="1:4" x14ac:dyDescent="0.2">
      <c r="A20" s="172" t="s">
        <v>33</v>
      </c>
      <c r="B20" s="174">
        <f>(1+B19)^12-1</f>
        <v>4.4377846870925275E-2</v>
      </c>
      <c r="C20" s="1"/>
      <c r="D20" s="1"/>
    </row>
    <row r="21" spans="1:4" x14ac:dyDescent="0.2">
      <c r="A21" s="47" t="s">
        <v>127</v>
      </c>
      <c r="B21" s="175">
        <f>RATE(B4,B10,B12)</f>
        <v>3.9679230909312061E-3</v>
      </c>
      <c r="C21" s="1"/>
      <c r="D21" s="1"/>
    </row>
    <row r="22" spans="1:4" x14ac:dyDescent="0.2">
      <c r="A22" s="30" t="s">
        <v>9</v>
      </c>
      <c r="B22" s="176">
        <f>(1+B21)^12-1</f>
        <v>4.8668075855864412E-2</v>
      </c>
      <c r="C22" s="1"/>
      <c r="D22" s="1"/>
    </row>
    <row r="23" spans="1:4" x14ac:dyDescent="0.2">
      <c r="B23" s="96"/>
      <c r="C23" s="1"/>
      <c r="D23" s="1"/>
    </row>
  </sheetData>
  <pageMargins left="0.7" right="0.7" top="0.75" bottom="0.75" header="0.3" footer="0.3"/>
  <pageSetup paperSize="9" orientation="portrait" r:id="rId1"/>
  <ignoredErrors>
    <ignoredError sqref="B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zoomScale="140" zoomScaleNormal="140" workbookViewId="0">
      <selection activeCell="F32" sqref="F32"/>
    </sheetView>
  </sheetViews>
  <sheetFormatPr baseColWidth="10" defaultColWidth="11.42578125" defaultRowHeight="12.75" x14ac:dyDescent="0.2"/>
  <cols>
    <col min="1" max="1" width="19.42578125" bestFit="1" customWidth="1"/>
    <col min="2" max="2" width="12.85546875" bestFit="1" customWidth="1"/>
  </cols>
  <sheetData>
    <row r="1" spans="1:7" x14ac:dyDescent="0.2">
      <c r="A1" s="18" t="s">
        <v>35</v>
      </c>
    </row>
    <row r="2" spans="1:7" x14ac:dyDescent="0.2">
      <c r="A2" s="19" t="s">
        <v>16</v>
      </c>
      <c r="B2" s="20">
        <v>0</v>
      </c>
      <c r="C2" s="20">
        <v>1</v>
      </c>
      <c r="D2" s="20">
        <v>2</v>
      </c>
      <c r="E2" s="20">
        <v>3</v>
      </c>
      <c r="F2" s="20">
        <v>4</v>
      </c>
      <c r="G2" s="20">
        <v>5</v>
      </c>
    </row>
    <row r="3" spans="1:7" x14ac:dyDescent="0.2">
      <c r="A3" t="s">
        <v>36</v>
      </c>
      <c r="B3" s="12">
        <v>-1980</v>
      </c>
      <c r="C3" s="11"/>
      <c r="D3" s="11"/>
      <c r="E3" s="11"/>
      <c r="F3" s="11"/>
      <c r="G3" s="11"/>
    </row>
    <row r="4" spans="1:7" x14ac:dyDescent="0.2">
      <c r="A4" t="s">
        <v>37</v>
      </c>
      <c r="B4" s="11">
        <v>-330</v>
      </c>
      <c r="C4" s="11">
        <v>-330</v>
      </c>
      <c r="D4" s="11">
        <v>-330</v>
      </c>
      <c r="E4" s="11">
        <v>-330</v>
      </c>
      <c r="F4" s="11">
        <v>-330</v>
      </c>
      <c r="G4" s="11">
        <v>-330</v>
      </c>
    </row>
    <row r="5" spans="1:7" x14ac:dyDescent="0.2">
      <c r="A5" s="63" t="s">
        <v>5</v>
      </c>
      <c r="B5" s="64">
        <f t="shared" ref="B5:G5" si="0">B3-B4</f>
        <v>-1650</v>
      </c>
      <c r="C5" s="64">
        <f t="shared" si="0"/>
        <v>330</v>
      </c>
      <c r="D5" s="64">
        <f t="shared" si="0"/>
        <v>330</v>
      </c>
      <c r="E5" s="64">
        <f t="shared" si="0"/>
        <v>330</v>
      </c>
      <c r="F5" s="64">
        <f t="shared" si="0"/>
        <v>330</v>
      </c>
      <c r="G5" s="64">
        <f t="shared" si="0"/>
        <v>330</v>
      </c>
    </row>
    <row r="7" spans="1:7" x14ac:dyDescent="0.2">
      <c r="A7" s="36" t="s">
        <v>27</v>
      </c>
      <c r="B7" s="57">
        <f>IRR(B5:G5)</f>
        <v>1.9499957204516249E-12</v>
      </c>
    </row>
    <row r="9" spans="1:7" x14ac:dyDescent="0.2">
      <c r="A9" s="18" t="s">
        <v>38</v>
      </c>
    </row>
    <row r="10" spans="1:7" x14ac:dyDescent="0.2">
      <c r="A10" s="10" t="s">
        <v>20</v>
      </c>
      <c r="B10" s="39">
        <v>0.04</v>
      </c>
    </row>
    <row r="11" spans="1:7" x14ac:dyDescent="0.2">
      <c r="A11" s="11" t="s">
        <v>39</v>
      </c>
      <c r="B11" s="37">
        <v>5.0000000000000001E-3</v>
      </c>
    </row>
    <row r="12" spans="1:7" x14ac:dyDescent="0.2">
      <c r="A12" s="6" t="s">
        <v>40</v>
      </c>
      <c r="B12" s="38">
        <v>0.8</v>
      </c>
    </row>
    <row r="14" spans="1:7" x14ac:dyDescent="0.2">
      <c r="A14" s="36" t="s">
        <v>41</v>
      </c>
      <c r="B14" s="58">
        <f>(1+B10+(B11/B12))^4-1</f>
        <v>0.19823467715087939</v>
      </c>
    </row>
    <row r="16" spans="1:7" x14ac:dyDescent="0.2">
      <c r="A16" s="18" t="s">
        <v>42</v>
      </c>
    </row>
    <row r="17" spans="1:2" x14ac:dyDescent="0.2">
      <c r="A17" s="10" t="s">
        <v>6</v>
      </c>
      <c r="B17" s="8">
        <f>B19-B18</f>
        <v>346800</v>
      </c>
    </row>
    <row r="18" spans="1:2" x14ac:dyDescent="0.2">
      <c r="A18" s="6" t="s">
        <v>4</v>
      </c>
      <c r="B18" s="7">
        <v>-2950</v>
      </c>
    </row>
    <row r="19" spans="1:2" x14ac:dyDescent="0.2">
      <c r="A19" s="30" t="s">
        <v>43</v>
      </c>
      <c r="B19" s="59">
        <f>343850</f>
        <v>343850</v>
      </c>
    </row>
    <row r="20" spans="1:2" x14ac:dyDescent="0.2">
      <c r="B20" s="1"/>
    </row>
    <row r="21" spans="1:2" x14ac:dyDescent="0.2">
      <c r="A21" s="33" t="s">
        <v>44</v>
      </c>
      <c r="B21" s="129">
        <v>6.9000000000000006E-2</v>
      </c>
    </row>
    <row r="22" spans="1:2" x14ac:dyDescent="0.2">
      <c r="A22" s="35" t="s">
        <v>45</v>
      </c>
      <c r="B22" s="130">
        <f>B21/12</f>
        <v>5.7500000000000008E-3</v>
      </c>
    </row>
    <row r="23" spans="1:2" x14ac:dyDescent="0.2">
      <c r="A23" s="34" t="s">
        <v>46</v>
      </c>
      <c r="B23" s="131">
        <v>60</v>
      </c>
    </row>
    <row r="24" spans="1:2" x14ac:dyDescent="0.2">
      <c r="B24" s="29"/>
    </row>
    <row r="25" spans="1:2" x14ac:dyDescent="0.2">
      <c r="A25" s="2" t="s">
        <v>47</v>
      </c>
      <c r="B25" s="5">
        <f>PMT(B22,60,B17)</f>
        <v>-6850.7053618189393</v>
      </c>
    </row>
    <row r="26" spans="1:2" x14ac:dyDescent="0.2">
      <c r="A26" s="3" t="s">
        <v>4</v>
      </c>
      <c r="B26" s="6">
        <v>-65</v>
      </c>
    </row>
    <row r="27" spans="1:2" x14ac:dyDescent="0.2">
      <c r="A27" s="32" t="s">
        <v>48</v>
      </c>
      <c r="B27" s="61">
        <f>SUM(B25:B26)</f>
        <v>-6915.7053618189393</v>
      </c>
    </row>
    <row r="29" spans="1:2" x14ac:dyDescent="0.2">
      <c r="A29" s="33" t="s">
        <v>34</v>
      </c>
      <c r="B29" s="60">
        <f>RATE(B23,B27,B19)</f>
        <v>6.3807048182534113E-3</v>
      </c>
    </row>
    <row r="30" spans="1:2" x14ac:dyDescent="0.2">
      <c r="A30" s="34" t="s">
        <v>9</v>
      </c>
      <c r="B30" s="132">
        <f>(1+B29)^12-1</f>
        <v>7.9313522396008418E-2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zoomScale="120" zoomScaleNormal="120" workbookViewId="0">
      <selection activeCell="E26" sqref="E26"/>
    </sheetView>
  </sheetViews>
  <sheetFormatPr baseColWidth="10" defaultColWidth="11.42578125" defaultRowHeight="12.75" x14ac:dyDescent="0.2"/>
  <cols>
    <col min="1" max="1" width="15" bestFit="1" customWidth="1"/>
  </cols>
  <sheetData>
    <row r="1" spans="1:8" x14ac:dyDescent="0.2">
      <c r="A1" s="18" t="s">
        <v>35</v>
      </c>
    </row>
    <row r="2" spans="1:8" x14ac:dyDescent="0.2">
      <c r="B2" s="4" t="s">
        <v>49</v>
      </c>
      <c r="C2" s="4" t="s">
        <v>50</v>
      </c>
    </row>
    <row r="3" spans="1:8" x14ac:dyDescent="0.2">
      <c r="A3" s="2" t="s">
        <v>51</v>
      </c>
      <c r="B3" s="5">
        <v>-275</v>
      </c>
      <c r="C3" s="5">
        <v>-2500</v>
      </c>
    </row>
    <row r="4" spans="1:8" x14ac:dyDescent="0.2">
      <c r="A4" s="3" t="s">
        <v>36</v>
      </c>
      <c r="B4" s="24">
        <v>-2500</v>
      </c>
      <c r="C4" s="7"/>
    </row>
    <row r="5" spans="1:8" x14ac:dyDescent="0.2">
      <c r="A5" s="63" t="s">
        <v>17</v>
      </c>
      <c r="B5" s="87">
        <f>B3-B4</f>
        <v>2225</v>
      </c>
      <c r="C5" s="64">
        <f>C3-C4</f>
        <v>-2500</v>
      </c>
    </row>
    <row r="7" spans="1:8" x14ac:dyDescent="0.2">
      <c r="A7" s="31" t="s">
        <v>52</v>
      </c>
      <c r="B7" s="46">
        <f>IRR(B5:C5)</f>
        <v>0.12359550561797761</v>
      </c>
    </row>
    <row r="8" spans="1:8" x14ac:dyDescent="0.2">
      <c r="A8" s="30" t="s">
        <v>9</v>
      </c>
      <c r="B8" s="56">
        <f>(1+B7)^3-1</f>
        <v>0.41850209016283002</v>
      </c>
    </row>
    <row r="10" spans="1:8" x14ac:dyDescent="0.2">
      <c r="A10" s="18" t="s">
        <v>38</v>
      </c>
    </row>
    <row r="11" spans="1:8" x14ac:dyDescent="0.2">
      <c r="A11" s="31" t="s">
        <v>27</v>
      </c>
      <c r="B11" s="46">
        <v>1.4E-2</v>
      </c>
    </row>
    <row r="12" spans="1:8" x14ac:dyDescent="0.2">
      <c r="A12" s="30" t="s">
        <v>53</v>
      </c>
      <c r="B12" s="56">
        <f>(1+B11)^12-1</f>
        <v>0.18155912891812287</v>
      </c>
    </row>
    <row r="14" spans="1:8" x14ac:dyDescent="0.2">
      <c r="A14" s="18" t="s">
        <v>42</v>
      </c>
    </row>
    <row r="15" spans="1:8" x14ac:dyDescent="0.2">
      <c r="A15" s="21" t="s">
        <v>54</v>
      </c>
      <c r="B15" s="20">
        <v>0</v>
      </c>
      <c r="C15" s="20">
        <v>1</v>
      </c>
      <c r="D15" s="20">
        <v>2</v>
      </c>
      <c r="E15" s="20">
        <v>3</v>
      </c>
      <c r="F15" s="20">
        <v>4</v>
      </c>
      <c r="G15" s="20">
        <v>5</v>
      </c>
      <c r="H15" s="20">
        <v>6</v>
      </c>
    </row>
    <row r="16" spans="1:8" x14ac:dyDescent="0.2">
      <c r="A16" s="17" t="s">
        <v>17</v>
      </c>
      <c r="B16" s="12">
        <v>3395</v>
      </c>
      <c r="C16" s="11"/>
      <c r="D16" s="11"/>
      <c r="E16" s="11"/>
      <c r="F16" s="11"/>
      <c r="G16" s="11"/>
      <c r="H16" s="11"/>
    </row>
    <row r="17" spans="1:8" x14ac:dyDescent="0.2">
      <c r="A17" s="17" t="s">
        <v>3</v>
      </c>
      <c r="B17" s="11"/>
      <c r="C17" s="15">
        <f t="shared" ref="C17:H17" si="0">IPMT($B$21,C15,6,$B$16)</f>
        <v>-47.529999999999994</v>
      </c>
      <c r="D17" s="15">
        <f t="shared" si="0"/>
        <v>-39.881095056917893</v>
      </c>
      <c r="E17" s="15">
        <f t="shared" si="0"/>
        <v>-32.125105444632631</v>
      </c>
      <c r="F17" s="15">
        <f t="shared" si="0"/>
        <v>-24.260531977775376</v>
      </c>
      <c r="G17" s="15">
        <f t="shared" si="0"/>
        <v>-16.285854482382124</v>
      </c>
      <c r="H17" s="15">
        <f t="shared" si="0"/>
        <v>-8.1995315020533628</v>
      </c>
    </row>
    <row r="18" spans="1:8" x14ac:dyDescent="0.2">
      <c r="A18" s="17" t="s">
        <v>2</v>
      </c>
      <c r="B18" s="11"/>
      <c r="C18" s="40">
        <f>PPMT($B$11,C15,$H$15,$B$16)</f>
        <v>-546.35035307729356</v>
      </c>
      <c r="D18" s="40">
        <f t="shared" ref="D18:H18" si="1">PPMT($B$11,D15,$H$15,$B$16)</f>
        <v>-553.99925802037569</v>
      </c>
      <c r="E18" s="40">
        <f t="shared" si="1"/>
        <v>-561.75524763266094</v>
      </c>
      <c r="F18" s="40">
        <f t="shared" si="1"/>
        <v>-569.61982109951816</v>
      </c>
      <c r="G18" s="40">
        <f t="shared" si="1"/>
        <v>-577.59449859491133</v>
      </c>
      <c r="H18" s="40">
        <f t="shared" si="1"/>
        <v>-585.6808215752402</v>
      </c>
    </row>
    <row r="19" spans="1:8" x14ac:dyDescent="0.2">
      <c r="A19" s="17" t="s">
        <v>4</v>
      </c>
      <c r="B19" s="11"/>
      <c r="C19" s="41">
        <v>-45</v>
      </c>
      <c r="D19" s="41">
        <v>-45</v>
      </c>
      <c r="E19" s="41">
        <v>-45</v>
      </c>
      <c r="F19" s="41">
        <v>-45</v>
      </c>
      <c r="G19" s="41">
        <v>-45</v>
      </c>
      <c r="H19" s="41">
        <v>0</v>
      </c>
    </row>
    <row r="20" spans="1:8" x14ac:dyDescent="0.2">
      <c r="A20" s="66" t="s">
        <v>5</v>
      </c>
      <c r="B20" s="64">
        <f>SUM(B16:B19)</f>
        <v>3395</v>
      </c>
      <c r="C20" s="67">
        <f t="shared" ref="C20:H20" si="2">SUM(C16:C19)</f>
        <v>-638.88035307729353</v>
      </c>
      <c r="D20" s="67">
        <f t="shared" si="2"/>
        <v>-638.88035307729353</v>
      </c>
      <c r="E20" s="67">
        <f t="shared" si="2"/>
        <v>-638.88035307729353</v>
      </c>
      <c r="F20" s="67">
        <f t="shared" si="2"/>
        <v>-638.88035307729353</v>
      </c>
      <c r="G20" s="67">
        <f t="shared" si="2"/>
        <v>-638.88035307729342</v>
      </c>
      <c r="H20" s="67">
        <f t="shared" si="2"/>
        <v>-593.88035307729353</v>
      </c>
    </row>
    <row r="21" spans="1:8" x14ac:dyDescent="0.2">
      <c r="A21" s="31" t="s">
        <v>55</v>
      </c>
      <c r="B21" s="46">
        <v>1.4E-2</v>
      </c>
    </row>
    <row r="22" spans="1:8" x14ac:dyDescent="0.2">
      <c r="A22" s="47" t="s">
        <v>56</v>
      </c>
      <c r="B22" s="65">
        <f>-PMT(B21,6,B16)</f>
        <v>593.88035307729353</v>
      </c>
    </row>
    <row r="23" spans="1:8" x14ac:dyDescent="0.2">
      <c r="A23" s="47" t="s">
        <v>57</v>
      </c>
      <c r="B23" s="177">
        <f>IRR(B20:H20)</f>
        <v>3.2526966668422697E-2</v>
      </c>
    </row>
    <row r="24" spans="1:8" x14ac:dyDescent="0.2">
      <c r="A24" s="30" t="s">
        <v>9</v>
      </c>
      <c r="B24" s="56">
        <f>(1+B23)^12-1</f>
        <v>0.46830688813605326</v>
      </c>
    </row>
  </sheetData>
  <pageMargins left="0.75" right="0.75" top="1" bottom="1" header="0.5" footer="0.5"/>
  <pageSetup paperSize="9" orientation="portrait" r:id="rId1"/>
  <headerFooter alignWithMargins="0"/>
  <ignoredErrors>
    <ignoredError sqref="B2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>
      <selection activeCell="F45" sqref="F45"/>
    </sheetView>
  </sheetViews>
  <sheetFormatPr baseColWidth="10" defaultColWidth="11.42578125" defaultRowHeight="12.75" x14ac:dyDescent="0.2"/>
  <cols>
    <col min="1" max="1" width="23.85546875" bestFit="1" customWidth="1"/>
    <col min="2" max="2" width="12.85546875" bestFit="1" customWidth="1"/>
  </cols>
  <sheetData>
    <row r="1" spans="1:8" x14ac:dyDescent="0.2">
      <c r="A1" s="133" t="s">
        <v>35</v>
      </c>
      <c r="B1" s="110"/>
      <c r="C1" s="110"/>
      <c r="D1" s="110"/>
      <c r="E1" s="110"/>
      <c r="F1" s="110"/>
      <c r="G1" s="110"/>
      <c r="H1" s="110"/>
    </row>
    <row r="2" spans="1:8" x14ac:dyDescent="0.2">
      <c r="A2" s="134" t="s">
        <v>58</v>
      </c>
      <c r="B2" s="135">
        <v>3.7999999999999999E-2</v>
      </c>
      <c r="D2" s="110"/>
      <c r="E2" s="110"/>
      <c r="F2" s="110"/>
      <c r="G2" s="110"/>
      <c r="H2" s="110"/>
    </row>
    <row r="3" spans="1:8" x14ac:dyDescent="0.2">
      <c r="A3" s="136" t="s">
        <v>39</v>
      </c>
      <c r="B3" s="137">
        <v>5.0000000000000001E-3</v>
      </c>
      <c r="D3" s="110"/>
      <c r="E3" s="110"/>
      <c r="F3" s="110"/>
      <c r="G3" s="110"/>
      <c r="H3" s="110"/>
    </row>
    <row r="4" spans="1:8" x14ac:dyDescent="0.2">
      <c r="A4" s="138" t="s">
        <v>59</v>
      </c>
      <c r="B4" s="139">
        <v>0.8</v>
      </c>
      <c r="D4" s="110"/>
      <c r="E4" s="110"/>
      <c r="F4" s="110"/>
      <c r="G4" s="110"/>
      <c r="H4" s="110"/>
    </row>
    <row r="5" spans="1:8" x14ac:dyDescent="0.2">
      <c r="A5" s="134" t="s">
        <v>60</v>
      </c>
      <c r="B5" s="140">
        <f>B2+B3/B4</f>
        <v>4.4249999999999998E-2</v>
      </c>
      <c r="D5" s="110"/>
      <c r="E5" s="110"/>
      <c r="F5" s="110"/>
      <c r="G5" s="110"/>
      <c r="H5" s="110"/>
    </row>
    <row r="6" spans="1:8" x14ac:dyDescent="0.2">
      <c r="A6" s="138" t="s">
        <v>9</v>
      </c>
      <c r="B6" s="141">
        <f>(1+B5)^4-1</f>
        <v>0.18909878607125341</v>
      </c>
      <c r="D6" s="110"/>
      <c r="E6" s="110"/>
      <c r="F6" s="110"/>
      <c r="G6" s="110"/>
      <c r="H6" s="110"/>
    </row>
    <row r="7" spans="1:8" x14ac:dyDescent="0.2">
      <c r="A7" s="110"/>
      <c r="B7" s="110"/>
      <c r="C7" s="110"/>
      <c r="D7" s="110"/>
      <c r="E7" s="110"/>
      <c r="F7" s="110"/>
      <c r="G7" s="110"/>
      <c r="H7" s="110"/>
    </row>
    <row r="8" spans="1:8" x14ac:dyDescent="0.2">
      <c r="A8" s="133" t="s">
        <v>38</v>
      </c>
      <c r="B8" s="110"/>
      <c r="C8" s="110"/>
      <c r="D8" s="110"/>
      <c r="E8" s="110"/>
      <c r="F8" s="110"/>
      <c r="G8" s="110"/>
      <c r="H8" s="110"/>
    </row>
    <row r="9" spans="1:8" x14ac:dyDescent="0.2">
      <c r="A9" s="142" t="s">
        <v>61</v>
      </c>
      <c r="B9" s="110"/>
      <c r="C9" s="110"/>
      <c r="D9" s="110"/>
      <c r="E9" s="110"/>
      <c r="F9" s="110"/>
      <c r="G9" s="110"/>
      <c r="H9" s="110"/>
    </row>
    <row r="10" spans="1:8" x14ac:dyDescent="0.2">
      <c r="A10" s="143" t="s">
        <v>62</v>
      </c>
      <c r="B10" s="144">
        <v>3600000</v>
      </c>
      <c r="C10" s="110"/>
      <c r="D10" s="110"/>
      <c r="E10" s="110"/>
      <c r="F10" s="110"/>
      <c r="G10" s="110"/>
      <c r="H10" s="110"/>
    </row>
    <row r="11" spans="1:8" x14ac:dyDescent="0.2">
      <c r="A11" s="145" t="s">
        <v>63</v>
      </c>
      <c r="B11" s="146">
        <v>40</v>
      </c>
      <c r="C11" s="110"/>
      <c r="D11" s="147" t="s">
        <v>64</v>
      </c>
      <c r="E11" s="148"/>
      <c r="F11" s="149"/>
      <c r="G11" s="150">
        <f>B10*B11/360</f>
        <v>400000</v>
      </c>
      <c r="H11" s="110"/>
    </row>
    <row r="12" spans="1:8" x14ac:dyDescent="0.2">
      <c r="A12" s="110"/>
      <c r="B12" s="110"/>
      <c r="C12" s="110"/>
      <c r="D12" s="110"/>
      <c r="E12" s="110"/>
      <c r="F12" s="110"/>
      <c r="G12" s="110"/>
      <c r="H12" s="110"/>
    </row>
    <row r="13" spans="1:8" x14ac:dyDescent="0.2">
      <c r="A13" s="142" t="s">
        <v>65</v>
      </c>
      <c r="B13" s="110"/>
      <c r="C13" s="110"/>
      <c r="D13" s="110"/>
      <c r="E13" s="110"/>
      <c r="F13" s="110"/>
      <c r="G13" s="110"/>
      <c r="H13" s="110"/>
    </row>
    <row r="14" spans="1:8" x14ac:dyDescent="0.2">
      <c r="A14" s="143" t="s">
        <v>62</v>
      </c>
      <c r="B14" s="144">
        <v>3600000</v>
      </c>
      <c r="C14" s="110"/>
      <c r="D14" s="110"/>
      <c r="E14" s="110"/>
      <c r="F14" s="110"/>
      <c r="G14" s="110"/>
      <c r="H14" s="110"/>
    </row>
    <row r="15" spans="1:8" x14ac:dyDescent="0.2">
      <c r="A15" s="143" t="s">
        <v>63</v>
      </c>
      <c r="B15" s="68">
        <v>32</v>
      </c>
      <c r="C15" s="110"/>
      <c r="D15" s="151" t="s">
        <v>66</v>
      </c>
      <c r="E15" s="152"/>
      <c r="F15" s="153"/>
      <c r="G15" s="144">
        <f>SUM(G16:G17)</f>
        <v>80000</v>
      </c>
      <c r="H15" s="110"/>
    </row>
    <row r="16" spans="1:8" x14ac:dyDescent="0.2">
      <c r="A16" s="143" t="s">
        <v>67</v>
      </c>
      <c r="B16" s="154">
        <v>0.25</v>
      </c>
      <c r="C16" s="110"/>
      <c r="D16" s="155" t="s">
        <v>68</v>
      </c>
      <c r="E16" s="156"/>
      <c r="F16" s="157"/>
      <c r="G16" s="158">
        <f>B16*B14*B15/360</f>
        <v>80000</v>
      </c>
      <c r="H16" s="110"/>
    </row>
    <row r="17" spans="1:8" x14ac:dyDescent="0.2">
      <c r="A17" s="143" t="s">
        <v>69</v>
      </c>
      <c r="B17" s="154">
        <f>1-B16</f>
        <v>0.75</v>
      </c>
      <c r="C17" s="110"/>
      <c r="D17" s="159" t="s">
        <v>70</v>
      </c>
      <c r="E17" s="160"/>
      <c r="F17" s="161"/>
      <c r="G17" s="145">
        <v>0</v>
      </c>
      <c r="H17" s="110"/>
    </row>
    <row r="18" spans="1:8" x14ac:dyDescent="0.2">
      <c r="A18" s="145" t="s">
        <v>71</v>
      </c>
      <c r="B18" s="162">
        <f>B17*B14*B15/360</f>
        <v>240000</v>
      </c>
      <c r="C18" s="110"/>
      <c r="D18" s="110"/>
      <c r="E18" s="110"/>
      <c r="F18" s="110"/>
      <c r="G18" s="110"/>
      <c r="H18" s="110"/>
    </row>
    <row r="19" spans="1:8" x14ac:dyDescent="0.2">
      <c r="A19" s="110"/>
      <c r="B19" s="110"/>
      <c r="C19" s="110"/>
      <c r="D19" s="147" t="s">
        <v>72</v>
      </c>
      <c r="E19" s="148"/>
      <c r="F19" s="149"/>
      <c r="G19" s="150">
        <f>G11-G15</f>
        <v>320000</v>
      </c>
      <c r="H19" s="110"/>
    </row>
    <row r="20" spans="1:8" x14ac:dyDescent="0.2">
      <c r="A20" s="110"/>
      <c r="B20" s="110"/>
      <c r="C20" s="110"/>
      <c r="D20" s="110"/>
      <c r="E20" s="110"/>
      <c r="F20" s="110"/>
      <c r="G20" s="163"/>
      <c r="H20" s="110"/>
    </row>
    <row r="21" spans="1:8" x14ac:dyDescent="0.2">
      <c r="A21" s="110"/>
      <c r="B21" s="110"/>
      <c r="C21" s="110"/>
      <c r="D21" s="151" t="s">
        <v>73</v>
      </c>
      <c r="E21" s="152"/>
      <c r="F21" s="153"/>
      <c r="G21" s="144"/>
      <c r="H21" s="110"/>
    </row>
    <row r="22" spans="1:8" x14ac:dyDescent="0.2">
      <c r="A22" s="110"/>
      <c r="B22" s="110"/>
      <c r="C22" s="110"/>
      <c r="D22" s="155" t="s">
        <v>74</v>
      </c>
      <c r="E22" s="156"/>
      <c r="F22" s="164">
        <v>0.2</v>
      </c>
      <c r="G22" s="158">
        <f>F22*B18</f>
        <v>48000</v>
      </c>
      <c r="H22" s="110"/>
    </row>
    <row r="23" spans="1:8" x14ac:dyDescent="0.2">
      <c r="A23" s="110"/>
      <c r="B23" s="110"/>
      <c r="C23" s="110"/>
      <c r="D23" s="155" t="s">
        <v>75</v>
      </c>
      <c r="E23" s="156"/>
      <c r="F23" s="165">
        <v>3.5000000000000001E-3</v>
      </c>
      <c r="G23" s="158">
        <f>F23*B14</f>
        <v>12600</v>
      </c>
      <c r="H23" s="110"/>
    </row>
    <row r="24" spans="1:8" x14ac:dyDescent="0.2">
      <c r="A24" s="110"/>
      <c r="B24" s="110"/>
      <c r="C24" s="110"/>
      <c r="D24" s="159" t="s">
        <v>76</v>
      </c>
      <c r="E24" s="160"/>
      <c r="F24" s="161"/>
      <c r="G24" s="162">
        <f>G22+G23</f>
        <v>60600</v>
      </c>
      <c r="H24" s="110"/>
    </row>
    <row r="25" spans="1:8" x14ac:dyDescent="0.2">
      <c r="A25" s="110"/>
      <c r="B25" s="110"/>
      <c r="C25" s="110"/>
      <c r="D25" s="166" t="s">
        <v>77</v>
      </c>
      <c r="E25" s="167"/>
      <c r="F25" s="168"/>
      <c r="G25" s="169">
        <f>G24/G19</f>
        <v>0.18937499999999999</v>
      </c>
      <c r="H25" s="110"/>
    </row>
    <row r="26" spans="1:8" x14ac:dyDescent="0.2">
      <c r="A26" s="110"/>
      <c r="B26" s="110"/>
      <c r="C26" s="110"/>
      <c r="D26" s="110"/>
      <c r="E26" s="110"/>
      <c r="F26" s="110"/>
      <c r="G26" s="110"/>
      <c r="H26" s="110"/>
    </row>
    <row r="27" spans="1:8" x14ac:dyDescent="0.2">
      <c r="A27" s="110"/>
      <c r="B27" s="110"/>
      <c r="C27" s="110"/>
      <c r="D27" s="110"/>
      <c r="E27" s="110"/>
      <c r="F27" s="110"/>
      <c r="G27" s="110"/>
      <c r="H27" s="110"/>
    </row>
    <row r="28" spans="1:8" x14ac:dyDescent="0.2">
      <c r="A28" s="110"/>
      <c r="B28" s="110"/>
      <c r="C28" s="110"/>
      <c r="D28" s="110"/>
      <c r="E28" s="110"/>
      <c r="F28" s="110"/>
      <c r="G28" s="110"/>
      <c r="H28" s="110"/>
    </row>
    <row r="29" spans="1:8" x14ac:dyDescent="0.2">
      <c r="A29" s="110"/>
      <c r="B29" s="110"/>
      <c r="C29" s="110"/>
      <c r="D29" s="110"/>
      <c r="E29" s="110"/>
      <c r="F29" s="110"/>
      <c r="G29" s="110"/>
      <c r="H29" s="110"/>
    </row>
    <row r="30" spans="1:8" x14ac:dyDescent="0.2">
      <c r="A30" s="110"/>
      <c r="B30" s="110"/>
      <c r="C30" s="110"/>
      <c r="D30" s="110"/>
      <c r="E30" s="110"/>
      <c r="F30" s="110"/>
      <c r="G30" s="110"/>
      <c r="H30" s="110"/>
    </row>
    <row r="31" spans="1:8" x14ac:dyDescent="0.2">
      <c r="A31" s="110"/>
      <c r="B31" s="110"/>
      <c r="C31" s="110"/>
      <c r="D31" s="110"/>
      <c r="E31" s="110"/>
      <c r="F31" s="110"/>
      <c r="G31" s="110"/>
      <c r="H31" s="110"/>
    </row>
    <row r="32" spans="1:8" x14ac:dyDescent="0.2">
      <c r="A32" s="110"/>
      <c r="B32" s="110"/>
      <c r="C32" s="110"/>
      <c r="D32" s="110"/>
      <c r="E32" s="110"/>
      <c r="F32" s="110"/>
      <c r="G32" s="110"/>
      <c r="H32" s="110"/>
    </row>
    <row r="33" spans="1:8" x14ac:dyDescent="0.2">
      <c r="A33" s="110"/>
      <c r="B33" s="110"/>
      <c r="C33" s="110"/>
      <c r="D33" s="110"/>
      <c r="E33" s="110"/>
      <c r="F33" s="110"/>
      <c r="G33" s="110"/>
      <c r="H33" s="110"/>
    </row>
    <row r="34" spans="1:8" x14ac:dyDescent="0.2">
      <c r="A34" s="110"/>
      <c r="B34" s="110"/>
      <c r="C34" s="110"/>
      <c r="D34" s="110"/>
      <c r="E34" s="110"/>
      <c r="F34" s="110"/>
      <c r="G34" s="110"/>
      <c r="H34" s="110"/>
    </row>
    <row r="35" spans="1:8" x14ac:dyDescent="0.2">
      <c r="A35" s="110"/>
      <c r="B35" s="110"/>
      <c r="C35" s="110"/>
      <c r="D35" s="110"/>
      <c r="E35" s="110"/>
      <c r="F35" s="110"/>
      <c r="G35" s="110"/>
      <c r="H35" s="110"/>
    </row>
    <row r="36" spans="1:8" x14ac:dyDescent="0.2">
      <c r="A36" s="110"/>
      <c r="B36" s="110"/>
      <c r="C36" s="110"/>
      <c r="D36" s="110"/>
      <c r="E36" s="110"/>
      <c r="F36" s="110"/>
      <c r="G36" s="110"/>
      <c r="H36" s="110"/>
    </row>
    <row r="37" spans="1:8" x14ac:dyDescent="0.2">
      <c r="A37" s="110"/>
      <c r="B37" s="110"/>
      <c r="C37" s="110"/>
      <c r="D37" s="110"/>
      <c r="E37" s="110"/>
      <c r="F37" s="110"/>
      <c r="G37" s="110"/>
      <c r="H37" s="110"/>
    </row>
    <row r="38" spans="1:8" x14ac:dyDescent="0.2">
      <c r="A38" s="110"/>
      <c r="B38" s="110"/>
      <c r="C38" s="110"/>
      <c r="D38" s="110"/>
      <c r="E38" s="110"/>
      <c r="F38" s="110"/>
      <c r="G38" s="110"/>
      <c r="H38" s="110"/>
    </row>
    <row r="39" spans="1:8" x14ac:dyDescent="0.2">
      <c r="A39" s="110"/>
      <c r="B39" s="110"/>
      <c r="C39" s="110"/>
      <c r="D39" s="110"/>
      <c r="E39" s="110"/>
      <c r="F39" s="110"/>
      <c r="G39" s="110"/>
      <c r="H39" s="110"/>
    </row>
    <row r="40" spans="1:8" x14ac:dyDescent="0.2">
      <c r="A40" s="110"/>
      <c r="B40" s="110"/>
      <c r="C40" s="110"/>
      <c r="D40" s="110"/>
      <c r="E40" s="110"/>
      <c r="F40" s="110"/>
      <c r="G40" s="110"/>
      <c r="H40" s="110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workbookViewId="0">
      <selection activeCell="H16" sqref="H16"/>
    </sheetView>
  </sheetViews>
  <sheetFormatPr baseColWidth="10" defaultColWidth="11.42578125" defaultRowHeight="12.75" x14ac:dyDescent="0.2"/>
  <cols>
    <col min="1" max="1" width="19.5703125" bestFit="1" customWidth="1"/>
    <col min="2" max="2" width="12.85546875" bestFit="1" customWidth="1"/>
    <col min="3" max="5" width="11.42578125" customWidth="1"/>
    <col min="6" max="6" width="12.85546875" bestFit="1" customWidth="1"/>
  </cols>
  <sheetData>
    <row r="1" spans="1:6" x14ac:dyDescent="0.2">
      <c r="A1" s="200" t="s">
        <v>78</v>
      </c>
      <c r="B1" s="69">
        <v>9000000</v>
      </c>
      <c r="C1" s="33"/>
      <c r="D1" s="74"/>
      <c r="E1" s="75"/>
      <c r="F1" s="44"/>
    </row>
    <row r="2" spans="1:6" x14ac:dyDescent="0.2">
      <c r="A2" s="108" t="s">
        <v>79</v>
      </c>
      <c r="B2" s="70">
        <v>60</v>
      </c>
      <c r="C2" s="35" t="s">
        <v>80</v>
      </c>
      <c r="D2" s="53"/>
      <c r="E2" s="76"/>
      <c r="F2" s="80">
        <f>B1*B2/360</f>
        <v>1500000</v>
      </c>
    </row>
    <row r="3" spans="1:6" x14ac:dyDescent="0.2">
      <c r="A3" s="108"/>
      <c r="B3" s="71"/>
      <c r="C3" s="35"/>
      <c r="D3" s="53"/>
      <c r="E3" s="77"/>
      <c r="F3" s="80"/>
    </row>
    <row r="4" spans="1:6" x14ac:dyDescent="0.2">
      <c r="A4" s="108" t="s">
        <v>81</v>
      </c>
      <c r="B4" s="71"/>
      <c r="C4" s="35" t="s">
        <v>66</v>
      </c>
      <c r="D4" s="53"/>
      <c r="E4" s="76"/>
      <c r="F4" s="80">
        <f>SUM(F5:F6)</f>
        <v>440000</v>
      </c>
    </row>
    <row r="5" spans="1:6" x14ac:dyDescent="0.2">
      <c r="A5" s="108" t="s">
        <v>82</v>
      </c>
      <c r="B5" s="72">
        <v>0.2</v>
      </c>
      <c r="C5" s="34" t="s">
        <v>83</v>
      </c>
      <c r="D5" s="78"/>
      <c r="E5" s="79"/>
      <c r="F5" s="62">
        <f>B5*B1*B2/360</f>
        <v>300000</v>
      </c>
    </row>
    <row r="6" spans="1:6" x14ac:dyDescent="0.2">
      <c r="A6" s="108" t="s">
        <v>84</v>
      </c>
      <c r="B6" s="70">
        <v>7</v>
      </c>
      <c r="C6" s="63" t="s">
        <v>85</v>
      </c>
      <c r="D6" s="85"/>
      <c r="E6" s="86"/>
      <c r="F6" s="87">
        <f>B1*(1-B5)*B6/360</f>
        <v>140000</v>
      </c>
    </row>
    <row r="7" spans="1:6" x14ac:dyDescent="0.2">
      <c r="A7" s="108"/>
      <c r="B7" s="71"/>
      <c r="C7" s="35"/>
      <c r="D7" s="53"/>
      <c r="E7" s="77"/>
      <c r="F7" s="80"/>
    </row>
    <row r="8" spans="1:6" x14ac:dyDescent="0.2">
      <c r="A8" s="108"/>
      <c r="B8" s="71"/>
      <c r="C8" s="81" t="s">
        <v>86</v>
      </c>
      <c r="D8" s="82"/>
      <c r="E8" s="83"/>
      <c r="F8" s="84">
        <f>F2-F4</f>
        <v>1060000</v>
      </c>
    </row>
    <row r="9" spans="1:6" x14ac:dyDescent="0.2">
      <c r="A9" s="108" t="s">
        <v>87</v>
      </c>
      <c r="B9" s="71"/>
      <c r="C9" s="35"/>
      <c r="D9" s="53"/>
      <c r="E9" s="77"/>
      <c r="F9" s="80"/>
    </row>
    <row r="10" spans="1:6" x14ac:dyDescent="0.2">
      <c r="A10" s="108" t="s">
        <v>88</v>
      </c>
      <c r="B10" s="72">
        <v>0.15</v>
      </c>
      <c r="C10" s="35" t="s">
        <v>3</v>
      </c>
      <c r="D10" s="53"/>
      <c r="E10" s="76"/>
      <c r="F10" s="80">
        <f>B1*(1-B5)*(B2-B6)*B10/360</f>
        <v>159000</v>
      </c>
    </row>
    <row r="11" spans="1:6" x14ac:dyDescent="0.2">
      <c r="A11" s="201" t="s">
        <v>89</v>
      </c>
      <c r="B11" s="73"/>
      <c r="C11" s="35" t="s">
        <v>89</v>
      </c>
      <c r="D11" s="53"/>
      <c r="E11" s="76"/>
      <c r="F11" s="80">
        <f>B1/4500*30</f>
        <v>60000</v>
      </c>
    </row>
    <row r="12" spans="1:6" x14ac:dyDescent="0.2">
      <c r="C12" s="34" t="s">
        <v>90</v>
      </c>
      <c r="D12" s="78"/>
      <c r="E12" s="79"/>
      <c r="F12" s="62">
        <v>-50000</v>
      </c>
    </row>
    <row r="13" spans="1:6" x14ac:dyDescent="0.2">
      <c r="C13" s="63" t="s">
        <v>91</v>
      </c>
      <c r="D13" s="85"/>
      <c r="E13" s="86"/>
      <c r="F13" s="87">
        <f>SUM(F10:F12)</f>
        <v>169000</v>
      </c>
    </row>
    <row r="15" spans="1:6" x14ac:dyDescent="0.2">
      <c r="C15" s="63" t="s">
        <v>92</v>
      </c>
      <c r="D15" s="85"/>
      <c r="E15" s="86"/>
      <c r="F15" s="88">
        <f>F13/F8</f>
        <v>0.15943396226415094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4"/>
  <sheetViews>
    <sheetView workbookViewId="0">
      <selection activeCell="G33" sqref="G33"/>
    </sheetView>
  </sheetViews>
  <sheetFormatPr baseColWidth="10" defaultColWidth="11.42578125" defaultRowHeight="12.75" x14ac:dyDescent="0.2"/>
  <cols>
    <col min="1" max="1" width="18.28515625" customWidth="1"/>
    <col min="2" max="2" width="14.42578125" bestFit="1" customWidth="1"/>
  </cols>
  <sheetData>
    <row r="1" spans="1:8" x14ac:dyDescent="0.2">
      <c r="A1" s="18" t="s">
        <v>35</v>
      </c>
    </row>
    <row r="2" spans="1:8" x14ac:dyDescent="0.2">
      <c r="A2" s="19" t="s">
        <v>93</v>
      </c>
      <c r="B2" s="20">
        <v>0</v>
      </c>
      <c r="C2" s="20">
        <v>1</v>
      </c>
      <c r="D2" s="20">
        <v>2</v>
      </c>
      <c r="E2" s="20">
        <v>3</v>
      </c>
      <c r="F2" s="20">
        <v>4</v>
      </c>
      <c r="G2" s="20">
        <v>5</v>
      </c>
    </row>
    <row r="3" spans="1:8" x14ac:dyDescent="0.2">
      <c r="A3" s="11" t="s">
        <v>94</v>
      </c>
      <c r="B3" s="12">
        <v>-4200000</v>
      </c>
      <c r="C3" s="11"/>
      <c r="D3" s="11"/>
      <c r="E3" s="11"/>
      <c r="F3" s="11"/>
      <c r="G3" s="12"/>
    </row>
    <row r="4" spans="1:8" x14ac:dyDescent="0.2">
      <c r="A4" s="11" t="s">
        <v>95</v>
      </c>
      <c r="B4" s="11"/>
      <c r="C4" s="12">
        <v>1610000</v>
      </c>
      <c r="D4" s="12">
        <v>1610000</v>
      </c>
      <c r="E4" s="12">
        <v>1610000</v>
      </c>
      <c r="F4" s="12">
        <v>1250000</v>
      </c>
      <c r="G4" s="12">
        <v>1250000</v>
      </c>
    </row>
    <row r="5" spans="1:8" x14ac:dyDescent="0.2">
      <c r="A5" s="11" t="s">
        <v>96</v>
      </c>
      <c r="B5" s="11"/>
      <c r="C5" s="11"/>
      <c r="D5" s="11"/>
      <c r="E5" s="11"/>
      <c r="F5" s="11"/>
      <c r="G5" s="12">
        <v>1250000</v>
      </c>
    </row>
    <row r="6" spans="1:8" x14ac:dyDescent="0.2">
      <c r="A6" s="66" t="s">
        <v>5</v>
      </c>
      <c r="B6" s="64">
        <f t="shared" ref="B6:G6" si="0">SUM(B3:B5)</f>
        <v>-4200000</v>
      </c>
      <c r="C6" s="64">
        <f t="shared" si="0"/>
        <v>1610000</v>
      </c>
      <c r="D6" s="64">
        <f t="shared" si="0"/>
        <v>1610000</v>
      </c>
      <c r="E6" s="64">
        <f t="shared" si="0"/>
        <v>1610000</v>
      </c>
      <c r="F6" s="64">
        <f t="shared" si="0"/>
        <v>1250000</v>
      </c>
      <c r="G6" s="64">
        <f t="shared" si="0"/>
        <v>2500000</v>
      </c>
    </row>
    <row r="8" spans="1:8" x14ac:dyDescent="0.2">
      <c r="A8" s="31" t="s">
        <v>97</v>
      </c>
      <c r="B8" s="46">
        <v>0.2</v>
      </c>
    </row>
    <row r="9" spans="1:8" x14ac:dyDescent="0.2">
      <c r="A9" s="47" t="s">
        <v>98</v>
      </c>
      <c r="B9" s="42">
        <f>B6+NPV(B8,C6:G6)</f>
        <v>798945.47325102985</v>
      </c>
    </row>
    <row r="10" spans="1:8" x14ac:dyDescent="0.2">
      <c r="A10" s="30" t="s">
        <v>99</v>
      </c>
      <c r="B10" s="43">
        <f>IRR(B6:G6)</f>
        <v>0.28016759690069537</v>
      </c>
    </row>
    <row r="12" spans="1:8" x14ac:dyDescent="0.2">
      <c r="A12" s="18" t="s">
        <v>42</v>
      </c>
    </row>
    <row r="13" spans="1:8" x14ac:dyDescent="0.2">
      <c r="A13" s="21" t="s">
        <v>100</v>
      </c>
      <c r="B13" s="20">
        <v>0</v>
      </c>
      <c r="C13" s="20">
        <v>1</v>
      </c>
      <c r="D13" s="20">
        <v>2</v>
      </c>
      <c r="E13" s="20">
        <v>3</v>
      </c>
      <c r="F13" s="20">
        <v>4</v>
      </c>
      <c r="G13" s="20">
        <v>5</v>
      </c>
      <c r="H13" s="20">
        <v>6</v>
      </c>
    </row>
    <row r="14" spans="1:8" x14ac:dyDescent="0.2">
      <c r="A14" t="s">
        <v>17</v>
      </c>
      <c r="B14" s="12">
        <v>3000000</v>
      </c>
      <c r="C14" s="11"/>
      <c r="D14" s="11"/>
      <c r="E14" s="11"/>
      <c r="F14" s="11"/>
      <c r="G14" s="11"/>
      <c r="H14" s="11"/>
    </row>
    <row r="15" spans="1:8" x14ac:dyDescent="0.2">
      <c r="A15" t="s">
        <v>4</v>
      </c>
      <c r="B15" s="12">
        <v>-100000</v>
      </c>
      <c r="C15" s="11"/>
      <c r="D15" s="11"/>
      <c r="E15" s="11"/>
      <c r="F15" s="11"/>
      <c r="G15" s="11"/>
      <c r="H15" s="11"/>
    </row>
    <row r="16" spans="1:8" x14ac:dyDescent="0.2">
      <c r="A16" t="s">
        <v>2</v>
      </c>
      <c r="B16" s="11"/>
      <c r="C16" s="12">
        <v>-400000</v>
      </c>
      <c r="D16" s="12">
        <v>-400000</v>
      </c>
      <c r="E16" s="12">
        <v>-500000</v>
      </c>
      <c r="F16" s="12">
        <v>-500000</v>
      </c>
      <c r="G16" s="12">
        <v>-600000</v>
      </c>
      <c r="H16" s="12">
        <v>-600000</v>
      </c>
    </row>
    <row r="17" spans="1:8" x14ac:dyDescent="0.2">
      <c r="A17" t="s">
        <v>3</v>
      </c>
      <c r="B17" s="11"/>
      <c r="C17" s="12">
        <v>-270000</v>
      </c>
      <c r="D17" s="12">
        <v>-234000</v>
      </c>
      <c r="E17" s="12">
        <v>-198000</v>
      </c>
      <c r="F17" s="12">
        <v>-153000</v>
      </c>
      <c r="G17" s="12">
        <v>-114000</v>
      </c>
      <c r="H17" s="12">
        <v>-57000</v>
      </c>
    </row>
    <row r="18" spans="1:8" x14ac:dyDescent="0.2">
      <c r="A18" t="s">
        <v>28</v>
      </c>
      <c r="B18" s="11"/>
      <c r="C18" s="13">
        <v>-1000</v>
      </c>
      <c r="D18" s="13">
        <v>-1000</v>
      </c>
      <c r="E18" s="13">
        <v>-1000</v>
      </c>
      <c r="F18" s="13">
        <v>-1000</v>
      </c>
      <c r="G18" s="13">
        <v>-1000</v>
      </c>
      <c r="H18" s="13">
        <v>-1000</v>
      </c>
    </row>
    <row r="19" spans="1:8" x14ac:dyDescent="0.2">
      <c r="A19" s="66" t="s">
        <v>5</v>
      </c>
      <c r="B19" s="64">
        <f>SUM(B14:B18)</f>
        <v>2900000</v>
      </c>
      <c r="C19" s="64">
        <f t="shared" ref="C19:H19" si="1">SUM(C14:C18)</f>
        <v>-671000</v>
      </c>
      <c r="D19" s="64">
        <f t="shared" si="1"/>
        <v>-635000</v>
      </c>
      <c r="E19" s="64">
        <f t="shared" si="1"/>
        <v>-699000</v>
      </c>
      <c r="F19" s="64">
        <f t="shared" si="1"/>
        <v>-654000</v>
      </c>
      <c r="G19" s="64">
        <f t="shared" si="1"/>
        <v>-715000</v>
      </c>
      <c r="H19" s="64">
        <f t="shared" si="1"/>
        <v>-658000</v>
      </c>
    </row>
    <row r="21" spans="1:8" x14ac:dyDescent="0.2">
      <c r="A21" s="31" t="s">
        <v>101</v>
      </c>
      <c r="B21" s="46">
        <f>IRR(B19:H19)</f>
        <v>0.10257490986392304</v>
      </c>
    </row>
    <row r="22" spans="1:8" x14ac:dyDescent="0.2">
      <c r="A22" s="30" t="s">
        <v>9</v>
      </c>
      <c r="B22" s="56">
        <f>(1+B21)^2-1</f>
        <v>0.21567143186143811</v>
      </c>
    </row>
    <row r="24" spans="1:8" x14ac:dyDescent="0.2">
      <c r="A24" s="18" t="s">
        <v>102</v>
      </c>
    </row>
    <row r="25" spans="1:8" x14ac:dyDescent="0.2">
      <c r="A25" s="9" t="s">
        <v>103</v>
      </c>
      <c r="B25" s="91">
        <v>7.4999999999999997E-2</v>
      </c>
    </row>
    <row r="26" spans="1:8" x14ac:dyDescent="0.2">
      <c r="A26" s="90" t="s">
        <v>104</v>
      </c>
      <c r="B26" s="80">
        <f>B25*B27</f>
        <v>315000</v>
      </c>
    </row>
    <row r="27" spans="1:8" x14ac:dyDescent="0.2">
      <c r="A27" s="89" t="s">
        <v>94</v>
      </c>
      <c r="B27" s="59">
        <v>4200000</v>
      </c>
    </row>
    <row r="29" spans="1:8" x14ac:dyDescent="0.2">
      <c r="A29" s="31" t="s">
        <v>17</v>
      </c>
      <c r="B29" s="48">
        <f>B27-B25</f>
        <v>4199999.9249999998</v>
      </c>
    </row>
    <row r="30" spans="1:8" x14ac:dyDescent="0.2">
      <c r="A30" s="30" t="s">
        <v>105</v>
      </c>
      <c r="B30" s="59">
        <v>-315000</v>
      </c>
    </row>
    <row r="31" spans="1:8" x14ac:dyDescent="0.2">
      <c r="A31" s="47" t="s">
        <v>106</v>
      </c>
      <c r="B31" s="42">
        <f>SUM(B29:B30)</f>
        <v>3884999.9249999998</v>
      </c>
    </row>
    <row r="32" spans="1:8" x14ac:dyDescent="0.2">
      <c r="A32" s="47" t="s">
        <v>46</v>
      </c>
      <c r="B32" s="42">
        <v>19</v>
      </c>
    </row>
    <row r="33" spans="1:2" x14ac:dyDescent="0.2">
      <c r="A33" s="30" t="s">
        <v>107</v>
      </c>
      <c r="B33" s="56">
        <f>RATE(B32,B30,B31)</f>
        <v>4.7520112819385243E-2</v>
      </c>
    </row>
    <row r="34" spans="1:2" x14ac:dyDescent="0.2">
      <c r="A34" s="66" t="s">
        <v>9</v>
      </c>
      <c r="B34" s="92">
        <f>(1+B33)^4-1</f>
        <v>0.20406374958859486</v>
      </c>
    </row>
  </sheetData>
  <pageMargins left="0.75" right="0.75" top="1" bottom="1" header="0.5" footer="0.5"/>
  <pageSetup paperSize="9" orientation="portrait" r:id="rId1"/>
  <headerFooter alignWithMargins="0"/>
  <ignoredErrors>
    <ignoredError sqref="B6:G6 B19:H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Opp 1 a - d</vt:lpstr>
      <vt:lpstr>Opp 1 e - f</vt:lpstr>
      <vt:lpstr>Opp 2</vt:lpstr>
      <vt:lpstr>Opp 3</vt:lpstr>
      <vt:lpstr>Opp 4</vt:lpstr>
      <vt:lpstr>Opp 5</vt:lpstr>
      <vt:lpstr>Opp 7</vt:lpstr>
      <vt:lpstr>Opp 8</vt:lpstr>
      <vt:lpstr>Opp 9</vt:lpstr>
      <vt:lpstr>Opp 10</vt:lpstr>
    </vt:vector>
  </TitlesOfParts>
  <Manager/>
  <Company>NKS Gruppen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2000-10-13T12:35:47Z</dcterms:created>
  <dcterms:modified xsi:type="dcterms:W3CDTF">2023-06-23T07:14:30Z</dcterms:modified>
  <cp:category/>
  <cp:contentStatus/>
</cp:coreProperties>
</file>