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Løsninger\"/>
    </mc:Choice>
  </mc:AlternateContent>
  <bookViews>
    <workbookView xWindow="480" yWindow="330" windowWidth="8940" windowHeight="4305" firstSheet="1" activeTab="3"/>
  </bookViews>
  <sheets>
    <sheet name="Oppgave 9.1" sheetId="1" r:id="rId1"/>
    <sheet name="Oppgave 9.2" sheetId="2" r:id="rId2"/>
    <sheet name="Oppgave 9.3" sheetId="3" r:id="rId3"/>
    <sheet name="Oppgave 9.4" sheetId="4" r:id="rId4"/>
    <sheet name="Oppgave 9.5" sheetId="5" r:id="rId5"/>
    <sheet name="Oppgave 9.6" sheetId="6" r:id="rId6"/>
    <sheet name="Oppgave 9.8" sheetId="9" r:id="rId7"/>
  </sheets>
  <calcPr calcId="152511"/>
</workbook>
</file>

<file path=xl/calcChain.xml><?xml version="1.0" encoding="utf-8"?>
<calcChain xmlns="http://schemas.openxmlformats.org/spreadsheetml/2006/main">
  <c r="D28" i="5" l="1"/>
  <c r="K27" i="5"/>
  <c r="J26" i="5"/>
  <c r="H26" i="5"/>
  <c r="F25" i="5"/>
  <c r="K25" i="5"/>
  <c r="E24" i="5"/>
  <c r="I24" i="5"/>
  <c r="S40" i="4" l="1"/>
  <c r="S39" i="4"/>
  <c r="S34" i="4"/>
  <c r="Y16" i="4"/>
  <c r="S16" i="4"/>
  <c r="X11" i="4"/>
  <c r="Y12" i="4" s="1"/>
  <c r="T12" i="4" s="1"/>
  <c r="Y10" i="4"/>
  <c r="S10" i="4" s="1"/>
  <c r="S7" i="4"/>
  <c r="R7" i="4"/>
  <c r="R18" i="4" s="1"/>
  <c r="E42" i="4" s="1"/>
  <c r="I42" i="4" s="1"/>
  <c r="Q7" i="4"/>
  <c r="L7" i="4"/>
  <c r="H7" i="4"/>
  <c r="H18" i="4" s="1"/>
  <c r="N22" i="4" s="1"/>
  <c r="G7" i="4"/>
  <c r="G18" i="4" s="1"/>
  <c r="N21" i="4" s="1"/>
  <c r="AE18" i="4"/>
  <c r="E54" i="4" s="1"/>
  <c r="H54" i="4" s="1"/>
  <c r="S41" i="4" s="1"/>
  <c r="AC18" i="4"/>
  <c r="AD18" i="4"/>
  <c r="E53" i="4" s="1"/>
  <c r="H53" i="4" s="1"/>
  <c r="AB18" i="4"/>
  <c r="E52" i="4" s="1"/>
  <c r="H52" i="4" s="1"/>
  <c r="AA18" i="4"/>
  <c r="Z18" i="4"/>
  <c r="E50" i="4" s="1"/>
  <c r="H50" i="4" s="1"/>
  <c r="S51" i="4" s="1"/>
  <c r="W18" i="4"/>
  <c r="E47" i="4" s="1"/>
  <c r="H47" i="4" s="1"/>
  <c r="S48" i="4" s="1"/>
  <c r="V18" i="4"/>
  <c r="E46" i="4" s="1"/>
  <c r="H46" i="4" s="1"/>
  <c r="Q18" i="4"/>
  <c r="E41" i="4" s="1"/>
  <c r="I41" i="4" s="1"/>
  <c r="X45" i="4" s="1"/>
  <c r="P18" i="4"/>
  <c r="E40" i="4" s="1"/>
  <c r="I40" i="4" s="1"/>
  <c r="X44" i="4" s="1"/>
  <c r="N18" i="4"/>
  <c r="E39" i="4" s="1"/>
  <c r="F38" i="4" s="1"/>
  <c r="M18" i="4"/>
  <c r="E38" i="4" s="1"/>
  <c r="K18" i="4"/>
  <c r="E36" i="4" s="1"/>
  <c r="I36" i="4" s="1"/>
  <c r="J18" i="4"/>
  <c r="I18" i="4"/>
  <c r="N23" i="4" s="1"/>
  <c r="F18" i="4"/>
  <c r="E34" i="4" s="1"/>
  <c r="E18" i="4"/>
  <c r="E33" i="4" s="1"/>
  <c r="S52" i="4" l="1"/>
  <c r="F39" i="4"/>
  <c r="T18" i="4"/>
  <c r="E44" i="4" s="1"/>
  <c r="I44" i="4" s="1"/>
  <c r="L18" i="4"/>
  <c r="E37" i="4" s="1"/>
  <c r="I37" i="4" s="1"/>
  <c r="X37" i="4" s="1"/>
  <c r="Y18" i="4"/>
  <c r="E49" i="4" s="1"/>
  <c r="H49" i="4" s="1"/>
  <c r="S50" i="4" s="1"/>
  <c r="S18" i="4"/>
  <c r="E43" i="4" s="1"/>
  <c r="I43" i="4" s="1"/>
  <c r="X46" i="4" s="1"/>
  <c r="U11" i="4"/>
  <c r="U18" i="4" s="1"/>
  <c r="E45" i="4" s="1"/>
  <c r="I45" i="4" s="1"/>
  <c r="X47" i="4" s="1"/>
  <c r="X18" i="4"/>
  <c r="E48" i="4" s="1"/>
  <c r="H48" i="4" s="1"/>
  <c r="S49" i="4" s="1"/>
  <c r="AA27" i="3"/>
  <c r="AC28" i="3" s="1"/>
  <c r="V28" i="3" s="1"/>
  <c r="U26" i="3"/>
  <c r="AC26" i="3" s="1"/>
  <c r="W19" i="3"/>
  <c r="AA19" i="3" s="1"/>
  <c r="V20" i="3" s="1"/>
  <c r="U18" i="3"/>
  <c r="AC18" i="3" s="1"/>
  <c r="U13" i="3"/>
  <c r="AC13" i="3" s="1"/>
  <c r="S37" i="4" l="1"/>
  <c r="AC20" i="3"/>
  <c r="W27" i="3"/>
  <c r="I56" i="2"/>
  <c r="M56" i="2"/>
  <c r="L55" i="2"/>
  <c r="J55" i="2"/>
  <c r="M54" i="2"/>
  <c r="H54" i="2"/>
  <c r="D53" i="2"/>
  <c r="D30" i="1"/>
  <c r="E27" i="1"/>
  <c r="L26" i="1"/>
  <c r="D33" i="1" s="1"/>
  <c r="H26" i="1"/>
  <c r="K25" i="1"/>
  <c r="D31" i="1" s="1"/>
  <c r="I25" i="1"/>
  <c r="L24" i="1"/>
  <c r="D32" i="1" s="1"/>
  <c r="G24" i="1"/>
  <c r="F25" i="4" l="1"/>
  <c r="F24" i="4"/>
  <c r="G34" i="4" l="1"/>
  <c r="G51" i="4"/>
  <c r="F51" i="4"/>
  <c r="H51" i="4" s="1"/>
  <c r="S38" i="4" s="1"/>
  <c r="F33" i="4"/>
  <c r="I34" i="4" l="1"/>
  <c r="X35" i="4" s="1"/>
  <c r="F56" i="4"/>
  <c r="I33" i="4"/>
  <c r="X34" i="4" s="1"/>
  <c r="G55" i="4"/>
  <c r="G38" i="4" l="1"/>
  <c r="H55" i="4"/>
  <c r="H56" i="4" s="1"/>
  <c r="F15" i="6"/>
  <c r="F19" i="6" s="1"/>
  <c r="I38" i="4" l="1"/>
  <c r="X41" i="4" s="1"/>
  <c r="G56" i="4"/>
  <c r="G10" i="2"/>
  <c r="G18" i="2" s="1"/>
  <c r="D34" i="1"/>
  <c r="D38" i="1"/>
  <c r="E10" i="1"/>
  <c r="G12" i="2" l="1"/>
  <c r="E35" i="2"/>
  <c r="K53" i="2" s="1"/>
  <c r="G17" i="2"/>
  <c r="F10" i="5"/>
  <c r="D24" i="5" s="1"/>
  <c r="N24" i="4" l="1"/>
  <c r="G13" i="2"/>
  <c r="E36" i="2" s="1"/>
  <c r="E35" i="4" l="1"/>
  <c r="X48" i="4"/>
  <c r="E38" i="2"/>
  <c r="F53" i="2" s="1"/>
  <c r="E57" i="2"/>
  <c r="F57" i="2"/>
  <c r="G53" i="2"/>
  <c r="G15" i="2"/>
  <c r="E56" i="4" l="1"/>
  <c r="I35" i="4"/>
  <c r="I56" i="4" l="1"/>
  <c r="X36" i="4"/>
  <c r="X38" i="4" s="1"/>
  <c r="S42" i="4"/>
  <c r="S44" i="4" s="1"/>
  <c r="X50" i="4" l="1"/>
</calcChain>
</file>

<file path=xl/sharedStrings.xml><?xml version="1.0" encoding="utf-8"?>
<sst xmlns="http://schemas.openxmlformats.org/spreadsheetml/2006/main" count="491" uniqueCount="251">
  <si>
    <t>a)</t>
  </si>
  <si>
    <t>Regnskapsbilag</t>
  </si>
  <si>
    <t>Arkitekt Lise Andersen</t>
  </si>
  <si>
    <t>Tekst</t>
  </si>
  <si>
    <t>Brutto lønn</t>
  </si>
  <si>
    <t>Skattetrekk</t>
  </si>
  <si>
    <t>Netto lønn</t>
  </si>
  <si>
    <t>Arbeidsgiveravgift</t>
  </si>
  <si>
    <t>Påløpt feriepenger</t>
  </si>
  <si>
    <t>Konto</t>
  </si>
  <si>
    <t>debet</t>
  </si>
  <si>
    <t>Beløp</t>
  </si>
  <si>
    <t>kredit</t>
  </si>
  <si>
    <t>Dato:</t>
  </si>
  <si>
    <t>30.11.x1</t>
  </si>
  <si>
    <t>Bilag nr.</t>
  </si>
  <si>
    <t>b og c)</t>
  </si>
  <si>
    <t>Arbeidsgiveravgift på feriepenger</t>
  </si>
  <si>
    <t>Debet</t>
  </si>
  <si>
    <t>Kredit</t>
  </si>
  <si>
    <t>Dato</t>
  </si>
  <si>
    <t>30.11.</t>
  </si>
  <si>
    <t>Feriepenger</t>
  </si>
  <si>
    <t>30.11</t>
  </si>
  <si>
    <t>d)</t>
  </si>
  <si>
    <t>Jens Eriksen</t>
  </si>
  <si>
    <t>Tromsø VVS AS</t>
  </si>
  <si>
    <t>Dato: 30.9.x1</t>
  </si>
  <si>
    <t>Denne perioden</t>
  </si>
  <si>
    <t>Hittil i år</t>
  </si>
  <si>
    <t>Lønnsart</t>
  </si>
  <si>
    <t>Antall</t>
  </si>
  <si>
    <t>Kroner</t>
  </si>
  <si>
    <t>%-sats</t>
  </si>
  <si>
    <t>Timelønn</t>
  </si>
  <si>
    <t>Akkordlønn</t>
  </si>
  <si>
    <t>Forskudd</t>
  </si>
  <si>
    <t>Netto utbetalt</t>
  </si>
  <si>
    <t>Trekkgrunnlag</t>
  </si>
  <si>
    <t>Grunnlag for feriepenger</t>
  </si>
  <si>
    <t>b)</t>
  </si>
  <si>
    <t>30.9.x1</t>
  </si>
  <si>
    <t xml:space="preserve">Netto utbetalt </t>
  </si>
  <si>
    <t>c - e)</t>
  </si>
  <si>
    <t>30.9.</t>
  </si>
  <si>
    <t>a og b)</t>
  </si>
  <si>
    <t>Rad</t>
  </si>
  <si>
    <t>Varebiler</t>
  </si>
  <si>
    <t>Inventar</t>
  </si>
  <si>
    <t>Forskudd lønn</t>
  </si>
  <si>
    <t>Kontanter</t>
  </si>
  <si>
    <t>Egenkapital</t>
  </si>
  <si>
    <t>Kassekreditt</t>
  </si>
  <si>
    <t>Ola Rud</t>
  </si>
  <si>
    <t>varesalg</t>
  </si>
  <si>
    <t>Varekjøp</t>
  </si>
  <si>
    <t>Lønn</t>
  </si>
  <si>
    <t xml:space="preserve">a) </t>
  </si>
  <si>
    <t>Bil.</t>
  </si>
  <si>
    <t>Industri AS</t>
  </si>
  <si>
    <t>kommune</t>
  </si>
  <si>
    <t>på lønn</t>
  </si>
  <si>
    <t>Bakken kapital</t>
  </si>
  <si>
    <t>Bakken privat</t>
  </si>
  <si>
    <t>Salgsinntekter</t>
  </si>
  <si>
    <t>Avskrivninger</t>
  </si>
  <si>
    <t>Varebilkostnader</t>
  </si>
  <si>
    <t>Rentekostnader</t>
  </si>
  <si>
    <t>nr.</t>
  </si>
  <si>
    <t>Saldoliste kunder</t>
  </si>
  <si>
    <t>Eigersund Industri AS</t>
  </si>
  <si>
    <t>Farsund Båtbyggeri AS</t>
  </si>
  <si>
    <t>Eigersund kommune</t>
  </si>
  <si>
    <t>Obligatorisk tjenestepensjon</t>
  </si>
  <si>
    <t>Andre driftskostnader</t>
  </si>
  <si>
    <t>Saldobalanse</t>
  </si>
  <si>
    <t>Posteringer</t>
  </si>
  <si>
    <t>Resultat</t>
  </si>
  <si>
    <t>Balanse</t>
  </si>
  <si>
    <t>Nr.</t>
  </si>
  <si>
    <t>Inntekter</t>
  </si>
  <si>
    <t>Eiendeler</t>
  </si>
  <si>
    <t>Kundefordringer</t>
  </si>
  <si>
    <t>Kostnader</t>
  </si>
  <si>
    <t>Bankinnskudd trekk</t>
  </si>
  <si>
    <t>Kontanter og bankinnskudd</t>
  </si>
  <si>
    <t>(konto 1900 og 1950)</t>
  </si>
  <si>
    <t>Sum eiendeler</t>
  </si>
  <si>
    <t>Egenkapital og gjeld</t>
  </si>
  <si>
    <t>Sum kostnader</t>
  </si>
  <si>
    <t>Skyldig arbeidsgiveravgift</t>
  </si>
  <si>
    <t>Gjeld</t>
  </si>
  <si>
    <t>c)</t>
  </si>
  <si>
    <t>Påløpt arbeidsgiveravgift</t>
  </si>
  <si>
    <t>Skyldige offentlige avgifter</t>
  </si>
  <si>
    <t>(konto 2600, 2770 og 2780)</t>
  </si>
  <si>
    <t>Sum gjeld</t>
  </si>
  <si>
    <t>Sum egenkapital og gjeld</t>
  </si>
  <si>
    <t>OTP</t>
  </si>
  <si>
    <t>Konteringsbilag</t>
  </si>
  <si>
    <t>15.5.x1</t>
  </si>
  <si>
    <t>Bilag nr.:</t>
  </si>
  <si>
    <t xml:space="preserve">Beløp </t>
  </si>
  <si>
    <t>Arbeidsgiveravgift på påløpt feriepenger</t>
  </si>
  <si>
    <t>15.5.</t>
  </si>
  <si>
    <t>Lønn mai</t>
  </si>
  <si>
    <t>15.5</t>
  </si>
  <si>
    <t>Arbeidsg.avgift på feriepenger</t>
  </si>
  <si>
    <t>Overført bank trekk</t>
  </si>
  <si>
    <t>Bankinnskudd</t>
  </si>
  <si>
    <t>Inngående mva.</t>
  </si>
  <si>
    <t>Kurskostnader</t>
  </si>
  <si>
    <t>Bilgodtgjørelse</t>
  </si>
  <si>
    <t>Reisekostnader</t>
  </si>
  <si>
    <t>Diettkostnad</t>
  </si>
  <si>
    <t>Betalt med giro</t>
  </si>
  <si>
    <t>Løsning oppgave 9.1</t>
  </si>
  <si>
    <t>Påløpte feriepenger</t>
  </si>
  <si>
    <t>Arb.giveravgift av feriepenger</t>
  </si>
  <si>
    <t>Overført til bank trekk</t>
  </si>
  <si>
    <t>Arb.g.avgift på feriepenger</t>
  </si>
  <si>
    <t>Lønn og sosiale kostnader</t>
  </si>
  <si>
    <t>eller</t>
  </si>
  <si>
    <r>
      <t xml:space="preserve">104 600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1,12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1,141 =</t>
    </r>
  </si>
  <si>
    <t>Skattetrekk: 32 %</t>
  </si>
  <si>
    <t>Løsning oppgave 9.2</t>
  </si>
  <si>
    <t>Arb.giveravgift på feriepenger</t>
  </si>
  <si>
    <t>Løsning oppgave 9.3</t>
  </si>
  <si>
    <t>Inngående balanse</t>
  </si>
  <si>
    <t>Privatuttak</t>
  </si>
  <si>
    <t>Nettgiro</t>
  </si>
  <si>
    <t>Mottatt giro</t>
  </si>
  <si>
    <t>15.1.</t>
  </si>
  <si>
    <t>Betalt skattetrekk</t>
  </si>
  <si>
    <t>Betalt arb.g.avgift</t>
  </si>
  <si>
    <t>Arb.g.avg på f.penger</t>
  </si>
  <si>
    <t>Overført skattetrekk</t>
  </si>
  <si>
    <t>Varesalg</t>
  </si>
  <si>
    <t>Tjenestepensjon</t>
  </si>
  <si>
    <t>Banklån</t>
  </si>
  <si>
    <t>Overført konto 1950</t>
  </si>
  <si>
    <t>21.12.</t>
  </si>
  <si>
    <t>Arb.g.avgift/f.penger</t>
  </si>
  <si>
    <t>Sentralbordtjeneste</t>
  </si>
  <si>
    <t>31.12.</t>
  </si>
  <si>
    <t>Renter og provisjon</t>
  </si>
  <si>
    <t>Balanse per 31.12.20x1</t>
  </si>
  <si>
    <t>Resultatregnskap for 20x1</t>
  </si>
  <si>
    <t>Evelyn Bakken begynte å ansette folk i september, altså i 5. termin. Skattetrekk og arbeidsgiveravgift for september og oktober, dvs.</t>
  </si>
  <si>
    <t>5 termin, forfaller til betaling 15. november. Dermed er kr 49 000 skattetrekk for september og oktober.</t>
  </si>
  <si>
    <r>
      <t xml:space="preserve">Debetbeløpet i råbalansen på konto </t>
    </r>
    <r>
      <rPr>
        <i/>
        <sz val="11"/>
        <rFont val="Times New Roman"/>
        <family val="1"/>
      </rPr>
      <t>2600 Skattetrekk</t>
    </r>
    <r>
      <rPr>
        <sz val="11"/>
        <rFont val="Times New Roman"/>
        <family val="1"/>
      </rPr>
      <t xml:space="preserve"> viser hvor mye som er betalt til Kemneren (Skatteoppkreveren) i 20x1.</t>
    </r>
  </si>
  <si>
    <t>viser hva som ble betalt til Kemneren/Skatteoppkreveren 15. november.</t>
  </si>
  <si>
    <t>Løsning oppgave 9.4</t>
  </si>
  <si>
    <t>Løsning oppgave 9.5</t>
  </si>
  <si>
    <t>Løsning oppgave 9.6</t>
  </si>
  <si>
    <t>Kursavgift</t>
  </si>
  <si>
    <t>Overnatting (her mva.: kr 160)</t>
  </si>
  <si>
    <t>Sum</t>
  </si>
  <si>
    <t>Kjøregodtgjørelse: 360 km à kr 3,50 =</t>
  </si>
  <si>
    <t>Organisasjonsnr.: 985 545 605</t>
  </si>
  <si>
    <t>Printer</t>
  </si>
  <si>
    <t>Lønn og sosiale kostnader:</t>
  </si>
  <si>
    <t>Saldoene på kontoene blir overført automatisk til</t>
  </si>
  <si>
    <t>den tabellariske løsningen nedenfor.</t>
  </si>
  <si>
    <r>
      <t xml:space="preserve">Avskrivning varebil: 285 000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0,20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4/12 =</t>
    </r>
  </si>
  <si>
    <r>
      <t xml:space="preserve">Avskrivning inventar: 84 000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0,10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4/12 =</t>
    </r>
  </si>
  <si>
    <t>Kreditbeløpet er arbeidsgiveravgift på lønn og tjenestepensjon for perioden 1. september til 20. desember, mens debetbeløpet</t>
  </si>
  <si>
    <t>Løsning oppgave 9.8</t>
  </si>
  <si>
    <t>Bokføringsforskriften § 8-4-1 har regler om dokumentasjon av medgått tid.</t>
  </si>
  <si>
    <r>
      <t xml:space="preserve">Reglene er nærmere beskrevet i GBS 10 </t>
    </r>
    <r>
      <rPr>
        <i/>
        <sz val="12"/>
        <rFont val="Times New Roman"/>
        <family val="1"/>
      </rPr>
      <t>Dokumentasjon av medgått tid.</t>
    </r>
  </si>
  <si>
    <t>Kravet innebærer at den ansatte fører timeliste over alle oppdrag og interne arbeids-</t>
  </si>
  <si>
    <t>oppgaver. Dette er en plikt for alle som selger tjenester der prisen baseres på</t>
  </si>
  <si>
    <t>forbrukte timer.</t>
  </si>
  <si>
    <t>Honoraret til en regnskapsfører er beregnet ut fra hvor mange timer som brukes.</t>
  </si>
  <si>
    <t>Det er derfor plikt til å dokumentere medgått tid.</t>
  </si>
  <si>
    <t xml:space="preserve">Taxiregningen er basert på antall kilometer skyssen varer. Det er derfor ikke plikt til </t>
  </si>
  <si>
    <t>å dokumentere medgått tid.</t>
  </si>
  <si>
    <t>Trekk-</t>
  </si>
  <si>
    <t>innskudd</t>
  </si>
  <si>
    <t>Kasse-</t>
  </si>
  <si>
    <t>kreditt</t>
  </si>
  <si>
    <t>Skyldig</t>
  </si>
  <si>
    <t>skatte-</t>
  </si>
  <si>
    <t>trekk</t>
  </si>
  <si>
    <t>arbeidsg.-</t>
  </si>
  <si>
    <t>avgift</t>
  </si>
  <si>
    <t>Påløpt</t>
  </si>
  <si>
    <t>arb.g.avg.</t>
  </si>
  <si>
    <t>på ferie-</t>
  </si>
  <si>
    <t>penger</t>
  </si>
  <si>
    <t>Påløpte</t>
  </si>
  <si>
    <t>ferie-</t>
  </si>
  <si>
    <t>Ferie-</t>
  </si>
  <si>
    <t>Arbeids-</t>
  </si>
  <si>
    <t>giver-</t>
  </si>
  <si>
    <t xml:space="preserve">Forskudd </t>
  </si>
  <si>
    <t>Bank</t>
  </si>
  <si>
    <t>arbeids-</t>
  </si>
  <si>
    <t>arb.avg.-</t>
  </si>
  <si>
    <t>f.penger</t>
  </si>
  <si>
    <t>Vare-</t>
  </si>
  <si>
    <t>beholdning</t>
  </si>
  <si>
    <t>AS Maskin</t>
  </si>
  <si>
    <t>&amp; Mek.</t>
  </si>
  <si>
    <t>lønn</t>
  </si>
  <si>
    <t>Egen-</t>
  </si>
  <si>
    <t>kapital</t>
  </si>
  <si>
    <t>Privat</t>
  </si>
  <si>
    <t>AS Dele-</t>
  </si>
  <si>
    <t>lager</t>
  </si>
  <si>
    <t>Skatte-</t>
  </si>
  <si>
    <t>Utgående</t>
  </si>
  <si>
    <t>mva.</t>
  </si>
  <si>
    <t>Inngående</t>
  </si>
  <si>
    <t>Oppgjørs-</t>
  </si>
  <si>
    <t>konto mva.</t>
  </si>
  <si>
    <t>arb.g.avgift</t>
  </si>
  <si>
    <t>feriepenger</t>
  </si>
  <si>
    <t>Avgifts-</t>
  </si>
  <si>
    <t>pliktig</t>
  </si>
  <si>
    <t>Obl.</t>
  </si>
  <si>
    <t>tjeneste-</t>
  </si>
  <si>
    <t>pensjon</t>
  </si>
  <si>
    <t>Eigersund</t>
  </si>
  <si>
    <t>Farsund</t>
  </si>
  <si>
    <t>Båt-</t>
  </si>
  <si>
    <t>byggeri AS</t>
  </si>
  <si>
    <t>Bank-</t>
  </si>
  <si>
    <t>Bakken</t>
  </si>
  <si>
    <t>privat</t>
  </si>
  <si>
    <t>Salgs-</t>
  </si>
  <si>
    <t>inntekter</t>
  </si>
  <si>
    <t>Avskriv-</t>
  </si>
  <si>
    <t>ninger</t>
  </si>
  <si>
    <t>kostnader</t>
  </si>
  <si>
    <t>Varebil-</t>
  </si>
  <si>
    <t>Andre</t>
  </si>
  <si>
    <t>drifts-</t>
  </si>
  <si>
    <t>Rente-</t>
  </si>
  <si>
    <t>Saldo-</t>
  </si>
  <si>
    <t>balanse</t>
  </si>
  <si>
    <t>Skattetrekk for desember inngår ikke i råbalansen på konto 2600. Vi ser at det i alt er trukket kr 73 500 per 30. november. Av dette</t>
  </si>
  <si>
    <t>gjelder kr 49 000 september og oktober. Da må skattetrekket i november være kr (73 500 – 49 000) = 24 500</t>
  </si>
  <si>
    <t>skattetrekk</t>
  </si>
  <si>
    <t xml:space="preserve">Bank </t>
  </si>
  <si>
    <t>Kurs-</t>
  </si>
  <si>
    <t>Bilgodt-</t>
  </si>
  <si>
    <t>gjørelse</t>
  </si>
  <si>
    <t>Reise-</t>
  </si>
  <si>
    <t>Diett-</t>
  </si>
  <si>
    <t>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</si>
</sst>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6"/>
      <name val="Arial"/>
      <family val="2"/>
    </font>
    <font>
      <sz val="12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1" fillId="0" borderId="0"/>
  </cellStyleXfs>
  <cellXfs count="28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0" xfId="0" applyNumberFormat="1" applyFont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3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3" fontId="3" fillId="0" borderId="13" xfId="0" applyNumberFormat="1" applyFont="1" applyBorder="1"/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3" fontId="3" fillId="0" borderId="16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3" fillId="0" borderId="16" xfId="0" applyFont="1" applyBorder="1" applyAlignment="1">
      <alignment horizontal="left"/>
    </xf>
    <xf numFmtId="0" fontId="3" fillId="0" borderId="0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14" xfId="0" applyNumberFormat="1" applyFont="1" applyBorder="1"/>
    <xf numFmtId="3" fontId="3" fillId="0" borderId="17" xfId="0" applyNumberFormat="1" applyFont="1" applyBorder="1"/>
    <xf numFmtId="3" fontId="3" fillId="0" borderId="5" xfId="0" applyNumberFormat="1" applyFont="1" applyBorder="1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18" xfId="1" applyFont="1" applyBorder="1"/>
    <xf numFmtId="0" fontId="3" fillId="0" borderId="0" xfId="1" applyFont="1" applyBorder="1"/>
    <xf numFmtId="0" fontId="3" fillId="0" borderId="19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21" xfId="1" applyFont="1" applyBorder="1" applyAlignment="1">
      <alignment horizontal="center"/>
    </xf>
    <xf numFmtId="0" fontId="3" fillId="0" borderId="8" xfId="1" applyFont="1" applyBorder="1"/>
    <xf numFmtId="3" fontId="3" fillId="0" borderId="21" xfId="1" applyNumberFormat="1" applyFont="1" applyBorder="1" applyAlignment="1">
      <alignment horizontal="center"/>
    </xf>
    <xf numFmtId="3" fontId="3" fillId="0" borderId="7" xfId="1" applyNumberFormat="1" applyFont="1" applyBorder="1"/>
    <xf numFmtId="0" fontId="3" fillId="0" borderId="22" xfId="1" applyFont="1" applyBorder="1"/>
    <xf numFmtId="3" fontId="3" fillId="0" borderId="8" xfId="1" applyNumberFormat="1" applyFont="1" applyBorder="1"/>
    <xf numFmtId="3" fontId="3" fillId="0" borderId="22" xfId="1" applyNumberFormat="1" applyFont="1" applyBorder="1"/>
    <xf numFmtId="0" fontId="6" fillId="0" borderId="0" xfId="1" applyFont="1"/>
    <xf numFmtId="0" fontId="4" fillId="0" borderId="0" xfId="1" applyFont="1" applyBorder="1"/>
    <xf numFmtId="3" fontId="3" fillId="0" borderId="21" xfId="1" applyNumberFormat="1" applyFont="1" applyBorder="1"/>
    <xf numFmtId="0" fontId="7" fillId="0" borderId="22" xfId="1" applyFont="1" applyBorder="1"/>
    <xf numFmtId="0" fontId="7" fillId="0" borderId="0" xfId="1" applyFont="1" applyBorder="1"/>
    <xf numFmtId="3" fontId="7" fillId="0" borderId="22" xfId="1" applyNumberFormat="1" applyFont="1" applyBorder="1"/>
    <xf numFmtId="0" fontId="7" fillId="0" borderId="0" xfId="1" applyFont="1"/>
    <xf numFmtId="0" fontId="4" fillId="0" borderId="1" xfId="1" applyFont="1" applyBorder="1"/>
    <xf numFmtId="0" fontId="4" fillId="0" borderId="2" xfId="1" applyFont="1" applyBorder="1"/>
    <xf numFmtId="0" fontId="3" fillId="0" borderId="7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3" fontId="3" fillId="0" borderId="11" xfId="1" applyNumberFormat="1" applyFont="1" applyBorder="1"/>
    <xf numFmtId="0" fontId="3" fillId="0" borderId="12" xfId="1" applyFont="1" applyBorder="1" applyAlignment="1">
      <alignment horizontal="left"/>
    </xf>
    <xf numFmtId="0" fontId="3" fillId="0" borderId="13" xfId="1" applyFont="1" applyBorder="1"/>
    <xf numFmtId="0" fontId="3" fillId="0" borderId="20" xfId="1" applyFont="1" applyBorder="1"/>
    <xf numFmtId="0" fontId="3" fillId="0" borderId="14" xfId="1" applyFont="1" applyBorder="1" applyAlignment="1">
      <alignment horizontal="center"/>
    </xf>
    <xf numFmtId="3" fontId="3" fillId="0" borderId="13" xfId="1" applyNumberFormat="1" applyFont="1" applyBorder="1"/>
    <xf numFmtId="3" fontId="3" fillId="0" borderId="0" xfId="1" applyNumberFormat="1" applyFont="1"/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0" borderId="16" xfId="1" applyFont="1" applyBorder="1"/>
    <xf numFmtId="0" fontId="3" fillId="0" borderId="17" xfId="1" applyFont="1" applyBorder="1" applyAlignment="1">
      <alignment horizontal="center"/>
    </xf>
    <xf numFmtId="3" fontId="3" fillId="0" borderId="16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0" xfId="1" applyFont="1" applyBorder="1"/>
    <xf numFmtId="3" fontId="3" fillId="0" borderId="10" xfId="1" applyNumberFormat="1" applyFont="1" applyBorder="1"/>
    <xf numFmtId="164" fontId="3" fillId="0" borderId="23" xfId="1" quotePrefix="1" applyNumberFormat="1" applyFont="1" applyBorder="1" applyAlignment="1">
      <alignment horizontal="left"/>
    </xf>
    <xf numFmtId="164" fontId="3" fillId="0" borderId="24" xfId="1" applyNumberFormat="1" applyFont="1" applyBorder="1" applyAlignment="1">
      <alignment horizontal="left"/>
    </xf>
    <xf numFmtId="0" fontId="3" fillId="0" borderId="25" xfId="1" applyFont="1" applyBorder="1"/>
    <xf numFmtId="3" fontId="3" fillId="0" borderId="14" xfId="1" applyNumberFormat="1" applyFont="1" applyBorder="1"/>
    <xf numFmtId="0" fontId="3" fillId="0" borderId="14" xfId="1" applyFont="1" applyBorder="1"/>
    <xf numFmtId="0" fontId="3" fillId="0" borderId="17" xfId="1" applyFont="1" applyBorder="1"/>
    <xf numFmtId="3" fontId="3" fillId="0" borderId="17" xfId="1" applyNumberFormat="1" applyFont="1" applyBorder="1"/>
    <xf numFmtId="3" fontId="3" fillId="0" borderId="0" xfId="1" applyNumberFormat="1" applyFont="1" applyBorder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8" fillId="0" borderId="18" xfId="1" applyNumberFormat="1" applyFont="1" applyBorder="1" applyAlignment="1">
      <alignment horizontal="center"/>
    </xf>
    <xf numFmtId="0" fontId="8" fillId="0" borderId="22" xfId="1" applyFont="1" applyBorder="1"/>
    <xf numFmtId="49" fontId="3" fillId="0" borderId="4" xfId="1" applyNumberFormat="1" applyFont="1" applyBorder="1"/>
    <xf numFmtId="3" fontId="3" fillId="0" borderId="8" xfId="1" applyNumberFormat="1" applyFont="1" applyBorder="1" applyAlignment="1">
      <alignment horizontal="center"/>
    </xf>
    <xf numFmtId="164" fontId="3" fillId="0" borderId="25" xfId="1" applyNumberFormat="1" applyFont="1" applyBorder="1" applyAlignment="1">
      <alignment horizontal="right"/>
    </xf>
    <xf numFmtId="0" fontId="3" fillId="0" borderId="23" xfId="1" applyFont="1" applyBorder="1"/>
    <xf numFmtId="0" fontId="8" fillId="0" borderId="10" xfId="1" applyFont="1" applyBorder="1"/>
    <xf numFmtId="3" fontId="3" fillId="0" borderId="10" xfId="1" applyNumberFormat="1" applyFont="1" applyFill="1" applyBorder="1"/>
    <xf numFmtId="3" fontId="8" fillId="0" borderId="10" xfId="1" applyNumberFormat="1" applyFont="1" applyFill="1" applyBorder="1"/>
    <xf numFmtId="164" fontId="3" fillId="0" borderId="14" xfId="1" applyNumberFormat="1" applyFont="1" applyBorder="1" applyAlignment="1">
      <alignment horizontal="right"/>
    </xf>
    <xf numFmtId="0" fontId="3" fillId="0" borderId="12" xfId="1" applyFont="1" applyBorder="1"/>
    <xf numFmtId="0" fontId="8" fillId="0" borderId="14" xfId="1" applyFont="1" applyBorder="1"/>
    <xf numFmtId="3" fontId="3" fillId="0" borderId="14" xfId="1" applyNumberFormat="1" applyFont="1" applyFill="1" applyBorder="1"/>
    <xf numFmtId="3" fontId="8" fillId="0" borderId="14" xfId="1" applyNumberFormat="1" applyFont="1" applyFill="1" applyBorder="1"/>
    <xf numFmtId="164" fontId="3" fillId="0" borderId="17" xfId="1" applyNumberFormat="1" applyFont="1" applyBorder="1" applyAlignment="1">
      <alignment horizontal="right"/>
    </xf>
    <xf numFmtId="0" fontId="8" fillId="0" borderId="17" xfId="1" applyFont="1" applyBorder="1"/>
    <xf numFmtId="3" fontId="3" fillId="0" borderId="17" xfId="1" applyNumberFormat="1" applyFont="1" applyFill="1" applyBorder="1"/>
    <xf numFmtId="3" fontId="8" fillId="0" borderId="17" xfId="1" applyNumberFormat="1" applyFont="1" applyFill="1" applyBorder="1"/>
    <xf numFmtId="1" fontId="3" fillId="0" borderId="0" xfId="1" applyNumberFormat="1" applyFont="1" applyBorder="1" applyAlignment="1">
      <alignment horizontal="center"/>
    </xf>
    <xf numFmtId="4" fontId="3" fillId="0" borderId="0" xfId="1" applyNumberFormat="1" applyFont="1"/>
    <xf numFmtId="0" fontId="5" fillId="0" borderId="0" xfId="1"/>
    <xf numFmtId="164" fontId="3" fillId="0" borderId="10" xfId="1" applyNumberFormat="1" applyFont="1" applyBorder="1" applyAlignment="1">
      <alignment horizontal="right"/>
    </xf>
    <xf numFmtId="3" fontId="9" fillId="0" borderId="10" xfId="1" applyNumberFormat="1" applyFont="1" applyBorder="1"/>
    <xf numFmtId="3" fontId="9" fillId="0" borderId="10" xfId="1" applyNumberFormat="1" applyFont="1" applyFill="1" applyBorder="1"/>
    <xf numFmtId="3" fontId="9" fillId="0" borderId="14" xfId="1" applyNumberFormat="1" applyFont="1" applyBorder="1"/>
    <xf numFmtId="3" fontId="9" fillId="0" borderId="14" xfId="1" applyNumberFormat="1" applyFont="1" applyFill="1" applyBorder="1"/>
    <xf numFmtId="164" fontId="3" fillId="0" borderId="22" xfId="1" applyNumberFormat="1" applyFont="1" applyBorder="1" applyAlignment="1">
      <alignment horizontal="right"/>
    </xf>
    <xf numFmtId="3" fontId="9" fillId="0" borderId="22" xfId="1" applyNumberFormat="1" applyFont="1" applyBorder="1"/>
    <xf numFmtId="3" fontId="9" fillId="0" borderId="22" xfId="1" applyNumberFormat="1" applyFont="1" applyFill="1" applyBorder="1"/>
    <xf numFmtId="164" fontId="9" fillId="0" borderId="21" xfId="1" applyNumberFormat="1" applyFont="1" applyBorder="1" applyAlignment="1">
      <alignment horizontal="right"/>
    </xf>
    <xf numFmtId="0" fontId="9" fillId="0" borderId="21" xfId="1" applyFont="1" applyBorder="1"/>
    <xf numFmtId="3" fontId="9" fillId="0" borderId="21" xfId="1" applyNumberFormat="1" applyFont="1" applyBorder="1"/>
    <xf numFmtId="3" fontId="9" fillId="0" borderId="21" xfId="1" applyNumberFormat="1" applyFont="1" applyFill="1" applyBorder="1"/>
    <xf numFmtId="49" fontId="4" fillId="0" borderId="0" xfId="1" applyNumberFormat="1" applyFont="1"/>
    <xf numFmtId="3" fontId="4" fillId="0" borderId="0" xfId="1" applyNumberFormat="1" applyFont="1"/>
    <xf numFmtId="1" fontId="9" fillId="0" borderId="0" xfId="1" applyNumberFormat="1" applyFont="1" applyAlignment="1">
      <alignment horizontal="center"/>
    </xf>
    <xf numFmtId="3" fontId="9" fillId="0" borderId="0" xfId="1" applyNumberFormat="1" applyFont="1"/>
    <xf numFmtId="3" fontId="9" fillId="0" borderId="13" xfId="1" applyNumberFormat="1" applyFont="1" applyBorder="1"/>
    <xf numFmtId="3" fontId="9" fillId="0" borderId="26" xfId="1" applyNumberFormat="1" applyFont="1" applyBorder="1"/>
    <xf numFmtId="3" fontId="3" fillId="0" borderId="26" xfId="1" applyNumberFormat="1" applyFont="1" applyBorder="1"/>
    <xf numFmtId="3" fontId="3" fillId="0" borderId="5" xfId="1" applyNumberFormat="1" applyFont="1" applyBorder="1"/>
    <xf numFmtId="49" fontId="3" fillId="0" borderId="1" xfId="1" applyNumberFormat="1" applyFont="1" applyBorder="1" applyAlignment="1" applyProtection="1">
      <alignment horizontal="center"/>
    </xf>
    <xf numFmtId="0" fontId="3" fillId="0" borderId="1" xfId="1" applyFont="1" applyBorder="1" applyProtection="1"/>
    <xf numFmtId="0" fontId="4" fillId="0" borderId="0" xfId="1" applyFont="1"/>
    <xf numFmtId="0" fontId="3" fillId="0" borderId="4" xfId="1" applyFont="1" applyBorder="1" applyAlignment="1">
      <alignment horizontal="left"/>
    </xf>
    <xf numFmtId="1" fontId="9" fillId="0" borderId="10" xfId="1" applyNumberFormat="1" applyFont="1" applyBorder="1" applyAlignment="1" applyProtection="1">
      <alignment horizontal="center"/>
      <protection locked="0"/>
    </xf>
    <xf numFmtId="0" fontId="9" fillId="0" borderId="9" xfId="1" applyFont="1" applyBorder="1" applyProtection="1">
      <protection locked="0"/>
    </xf>
    <xf numFmtId="0" fontId="9" fillId="0" borderId="11" xfId="1" applyFont="1" applyBorder="1"/>
    <xf numFmtId="3" fontId="10" fillId="0" borderId="0" xfId="1" applyNumberFormat="1" applyFont="1"/>
    <xf numFmtId="3" fontId="11" fillId="0" borderId="0" xfId="1" applyNumberFormat="1" applyFont="1"/>
    <xf numFmtId="3" fontId="3" fillId="0" borderId="0" xfId="1" applyNumberFormat="1" applyFont="1" applyAlignment="1">
      <alignment horizontal="left" indent="1"/>
    </xf>
    <xf numFmtId="1" fontId="9" fillId="0" borderId="14" xfId="1" applyNumberFormat="1" applyFont="1" applyBorder="1" applyAlignment="1" applyProtection="1">
      <alignment horizontal="center"/>
      <protection locked="0"/>
    </xf>
    <xf numFmtId="3" fontId="9" fillId="0" borderId="12" xfId="1" applyNumberFormat="1" applyFont="1" applyBorder="1" applyAlignment="1" applyProtection="1">
      <alignment horizontal="left"/>
      <protection locked="0"/>
    </xf>
    <xf numFmtId="0" fontId="9" fillId="0" borderId="13" xfId="1" applyFont="1" applyBorder="1"/>
    <xf numFmtId="0" fontId="9" fillId="0" borderId="12" xfId="1" applyFont="1" applyBorder="1" applyAlignment="1" applyProtection="1">
      <alignment horizontal="left"/>
      <protection locked="0"/>
    </xf>
    <xf numFmtId="3" fontId="3" fillId="0" borderId="0" xfId="1" applyNumberFormat="1" applyFont="1" applyAlignment="1">
      <alignment horizontal="left" indent="2"/>
    </xf>
    <xf numFmtId="1" fontId="9" fillId="0" borderId="17" xfId="1" applyNumberFormat="1" applyFont="1" applyBorder="1" applyAlignment="1" applyProtection="1">
      <alignment horizontal="center"/>
    </xf>
    <xf numFmtId="0" fontId="9" fillId="0" borderId="15" xfId="1" applyFont="1" applyBorder="1" applyProtection="1"/>
    <xf numFmtId="0" fontId="9" fillId="0" borderId="16" xfId="1" applyFont="1" applyBorder="1"/>
    <xf numFmtId="3" fontId="9" fillId="0" borderId="17" xfId="1" applyNumberFormat="1" applyFont="1" applyBorder="1"/>
    <xf numFmtId="1" fontId="9" fillId="0" borderId="21" xfId="1" applyNumberFormat="1" applyFont="1" applyBorder="1" applyAlignment="1" applyProtection="1">
      <alignment horizontal="right"/>
    </xf>
    <xf numFmtId="0" fontId="9" fillId="0" borderId="27" xfId="1" applyFont="1" applyBorder="1" applyProtection="1"/>
    <xf numFmtId="0" fontId="9" fillId="0" borderId="26" xfId="1" applyFont="1" applyBorder="1"/>
    <xf numFmtId="3" fontId="6" fillId="0" borderId="0" xfId="1" applyNumberFormat="1" applyFont="1"/>
    <xf numFmtId="0" fontId="12" fillId="0" borderId="0" xfId="1" applyFont="1"/>
    <xf numFmtId="0" fontId="3" fillId="0" borderId="11" xfId="1" applyFont="1" applyBorder="1"/>
    <xf numFmtId="0" fontId="3" fillId="0" borderId="9" xfId="1" applyFont="1" applyBorder="1" applyAlignment="1">
      <alignment horizontal="center"/>
    </xf>
    <xf numFmtId="3" fontId="3" fillId="0" borderId="28" xfId="1" applyNumberFormat="1" applyFont="1" applyBorder="1"/>
    <xf numFmtId="0" fontId="3" fillId="0" borderId="12" xfId="1" applyFont="1" applyBorder="1" applyAlignment="1">
      <alignment horizontal="center"/>
    </xf>
    <xf numFmtId="3" fontId="3" fillId="0" borderId="20" xfId="1" applyNumberFormat="1" applyFont="1" applyBorder="1"/>
    <xf numFmtId="0" fontId="4" fillId="0" borderId="0" xfId="1" applyFont="1" applyAlignment="1">
      <alignment horizontal="left" indent="1"/>
    </xf>
    <xf numFmtId="0" fontId="3" fillId="0" borderId="15" xfId="1" applyFont="1" applyBorder="1" applyAlignment="1">
      <alignment horizontal="center"/>
    </xf>
    <xf numFmtId="3" fontId="3" fillId="0" borderId="29" xfId="1" applyNumberFormat="1" applyFont="1" applyBorder="1"/>
    <xf numFmtId="0" fontId="3" fillId="0" borderId="10" xfId="1" quotePrefix="1" applyFont="1" applyBorder="1"/>
    <xf numFmtId="0" fontId="3" fillId="0" borderId="14" xfId="1" quotePrefix="1" applyFont="1" applyBorder="1"/>
    <xf numFmtId="0" fontId="3" fillId="0" borderId="17" xfId="1" quotePrefix="1" applyFont="1" applyBorder="1"/>
    <xf numFmtId="3" fontId="3" fillId="2" borderId="21" xfId="1" applyNumberFormat="1" applyFont="1" applyFill="1" applyBorder="1"/>
    <xf numFmtId="0" fontId="4" fillId="0" borderId="0" xfId="0" applyFont="1"/>
    <xf numFmtId="0" fontId="6" fillId="0" borderId="0" xfId="0" applyFont="1"/>
    <xf numFmtId="3" fontId="3" fillId="0" borderId="26" xfId="0" applyNumberFormat="1" applyFont="1" applyBorder="1"/>
    <xf numFmtId="3" fontId="3" fillId="0" borderId="0" xfId="0" applyNumberFormat="1" applyFont="1" applyBorder="1"/>
    <xf numFmtId="3" fontId="9" fillId="0" borderId="0" xfId="1" applyNumberFormat="1" applyFont="1" applyBorder="1"/>
    <xf numFmtId="0" fontId="9" fillId="0" borderId="0" xfId="1" applyFont="1" applyBorder="1"/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left" indent="3"/>
    </xf>
    <xf numFmtId="3" fontId="14" fillId="0" borderId="0" xfId="1" applyNumberFormat="1" applyFont="1"/>
    <xf numFmtId="0" fontId="9" fillId="0" borderId="0" xfId="1" applyFont="1"/>
    <xf numFmtId="49" fontId="9" fillId="0" borderId="0" xfId="1" applyNumberFormat="1" applyFont="1" applyBorder="1"/>
    <xf numFmtId="3" fontId="9" fillId="0" borderId="0" xfId="1" applyNumberFormat="1" applyFont="1" applyBorder="1" applyAlignment="1">
      <alignment horizontal="center"/>
    </xf>
    <xf numFmtId="4" fontId="9" fillId="0" borderId="0" xfId="1" applyNumberFormat="1" applyFont="1"/>
    <xf numFmtId="3" fontId="15" fillId="0" borderId="0" xfId="2" applyNumberFormat="1" applyFont="1"/>
    <xf numFmtId="3" fontId="9" fillId="0" borderId="0" xfId="1" applyNumberFormat="1" applyFont="1" applyBorder="1" applyAlignment="1">
      <alignment horizontal="left"/>
    </xf>
    <xf numFmtId="1" fontId="9" fillId="0" borderId="0" xfId="1" applyNumberFormat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10" xfId="0" applyNumberFormat="1" applyFont="1" applyFill="1" applyBorder="1"/>
    <xf numFmtId="3" fontId="3" fillId="0" borderId="14" xfId="0" applyNumberFormat="1" applyFont="1" applyFill="1" applyBorder="1"/>
    <xf numFmtId="3" fontId="3" fillId="0" borderId="17" xfId="0" applyNumberFormat="1" applyFont="1" applyFill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3" fontId="3" fillId="0" borderId="25" xfId="1" applyNumberFormat="1" applyFont="1" applyFill="1" applyBorder="1"/>
    <xf numFmtId="3" fontId="3" fillId="0" borderId="4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8" fillId="0" borderId="10" xfId="1" applyFont="1" applyFill="1" applyBorder="1"/>
    <xf numFmtId="0" fontId="8" fillId="0" borderId="14" xfId="1" applyFont="1" applyFill="1" applyBorder="1"/>
    <xf numFmtId="0" fontId="8" fillId="0" borderId="17" xfId="1" applyFont="1" applyFill="1" applyBorder="1"/>
    <xf numFmtId="3" fontId="3" fillId="0" borderId="22" xfId="1" applyNumberFormat="1" applyFont="1" applyBorder="1" applyAlignment="1">
      <alignment horizontal="center"/>
    </xf>
    <xf numFmtId="3" fontId="9" fillId="0" borderId="22" xfId="1" applyNumberFormat="1" applyFont="1" applyBorder="1" applyAlignment="1">
      <alignment horizontal="center"/>
    </xf>
    <xf numFmtId="3" fontId="9" fillId="0" borderId="8" xfId="1" applyNumberFormat="1" applyFont="1" applyBorder="1" applyAlignment="1">
      <alignment horizontal="center"/>
    </xf>
    <xf numFmtId="1" fontId="9" fillId="0" borderId="8" xfId="1" applyNumberFormat="1" applyFont="1" applyBorder="1" applyAlignment="1">
      <alignment horizontal="center"/>
    </xf>
    <xf numFmtId="1" fontId="9" fillId="0" borderId="7" xfId="1" applyNumberFormat="1" applyFont="1" applyBorder="1" applyAlignment="1">
      <alignment horizontal="center"/>
    </xf>
    <xf numFmtId="1" fontId="9" fillId="0" borderId="22" xfId="1" applyNumberFormat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9" fillId="0" borderId="7" xfId="1" applyNumberFormat="1" applyFont="1" applyBorder="1"/>
    <xf numFmtId="49" fontId="9" fillId="0" borderId="22" xfId="1" applyNumberFormat="1" applyFont="1" applyBorder="1" applyAlignment="1">
      <alignment horizontal="center"/>
    </xf>
    <xf numFmtId="0" fontId="9" fillId="0" borderId="22" xfId="1" applyFont="1" applyBorder="1"/>
    <xf numFmtId="49" fontId="9" fillId="0" borderId="8" xfId="1" applyNumberFormat="1" applyFont="1" applyBorder="1" applyAlignment="1">
      <alignment horizontal="center"/>
    </xf>
    <xf numFmtId="0" fontId="9" fillId="0" borderId="8" xfId="1" applyFont="1" applyBorder="1"/>
    <xf numFmtId="0" fontId="8" fillId="0" borderId="22" xfId="1" applyFont="1" applyFill="1" applyBorder="1"/>
    <xf numFmtId="3" fontId="8" fillId="0" borderId="22" xfId="1" applyNumberFormat="1" applyFont="1" applyFill="1" applyBorder="1"/>
    <xf numFmtId="3" fontId="9" fillId="0" borderId="17" xfId="1" applyNumberFormat="1" applyFont="1" applyFill="1" applyBorder="1"/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9" xfId="1" applyNumberFormat="1" applyFont="1" applyFill="1" applyBorder="1"/>
    <xf numFmtId="3" fontId="3" fillId="0" borderId="12" xfId="1" applyNumberFormat="1" applyFont="1" applyFill="1" applyBorder="1"/>
    <xf numFmtId="3" fontId="3" fillId="0" borderId="15" xfId="1" applyNumberFormat="1" applyFont="1" applyFill="1" applyBorder="1"/>
    <xf numFmtId="0" fontId="3" fillId="0" borderId="7" xfId="1" applyFont="1" applyFill="1" applyBorder="1"/>
    <xf numFmtId="0" fontId="3" fillId="0" borderId="2" xfId="1" applyFont="1" applyFill="1" applyBorder="1"/>
    <xf numFmtId="0" fontId="3" fillId="0" borderId="22" xfId="1" applyFont="1" applyFill="1" applyBorder="1"/>
    <xf numFmtId="0" fontId="3" fillId="0" borderId="0" xfId="1" applyFont="1" applyFill="1" applyBorder="1"/>
    <xf numFmtId="0" fontId="3" fillId="0" borderId="8" xfId="1" applyFont="1" applyFill="1" applyBorder="1"/>
    <xf numFmtId="0" fontId="3" fillId="0" borderId="5" xfId="1" applyFont="1" applyFill="1" applyBorder="1"/>
    <xf numFmtId="3" fontId="3" fillId="0" borderId="21" xfId="1" applyNumberFormat="1" applyFont="1" applyFill="1" applyBorder="1"/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164" fontId="3" fillId="0" borderId="15" xfId="0" quotePrefix="1" applyNumberFormat="1" applyFont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0" fontId="3" fillId="0" borderId="2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164" fontId="3" fillId="0" borderId="12" xfId="1" applyNumberFormat="1" applyFont="1" applyBorder="1" applyAlignment="1">
      <alignment horizontal="left"/>
    </xf>
    <xf numFmtId="164" fontId="3" fillId="0" borderId="13" xfId="1" applyNumberFormat="1" applyFont="1" applyBorder="1" applyAlignment="1">
      <alignment horizontal="left"/>
    </xf>
    <xf numFmtId="164" fontId="3" fillId="0" borderId="15" xfId="1" quotePrefix="1" applyNumberFormat="1" applyFont="1" applyBorder="1" applyAlignment="1">
      <alignment horizontal="left"/>
    </xf>
    <xf numFmtId="164" fontId="3" fillId="0" borderId="16" xfId="1" applyNumberFormat="1" applyFont="1" applyBorder="1" applyAlignment="1">
      <alignment horizontal="left"/>
    </xf>
    <xf numFmtId="164" fontId="3" fillId="0" borderId="9" xfId="1" quotePrefix="1" applyNumberFormat="1" applyFont="1" applyBorder="1" applyAlignment="1">
      <alignment horizontal="left"/>
    </xf>
    <xf numFmtId="164" fontId="3" fillId="0" borderId="11" xfId="1" applyNumberFormat="1" applyFont="1" applyBorder="1" applyAlignment="1">
      <alignment horizontal="left"/>
    </xf>
    <xf numFmtId="1" fontId="8" fillId="0" borderId="7" xfId="1" applyNumberFormat="1" applyFont="1" applyBorder="1" applyAlignment="1">
      <alignment horizontal="center" textRotation="90"/>
    </xf>
    <xf numFmtId="1" fontId="8" fillId="0" borderId="22" xfId="1" applyNumberFormat="1" applyFont="1" applyBorder="1" applyAlignment="1">
      <alignment horizontal="center" textRotation="90"/>
    </xf>
    <xf numFmtId="1" fontId="8" fillId="0" borderId="8" xfId="1" applyNumberFormat="1" applyFont="1" applyBorder="1" applyAlignment="1">
      <alignment horizontal="center" textRotation="90"/>
    </xf>
    <xf numFmtId="0" fontId="8" fillId="0" borderId="7" xfId="1" applyFont="1" applyBorder="1" applyAlignment="1">
      <alignment horizontal="center" textRotation="90"/>
    </xf>
    <xf numFmtId="0" fontId="8" fillId="0" borderId="22" xfId="1" applyFont="1" applyBorder="1" applyAlignment="1">
      <alignment horizontal="center" textRotation="90"/>
    </xf>
    <xf numFmtId="0" fontId="8" fillId="0" borderId="8" xfId="1" applyFont="1" applyBorder="1" applyAlignment="1">
      <alignment horizontal="center" textRotation="90"/>
    </xf>
    <xf numFmtId="0" fontId="8" fillId="0" borderId="3" xfId="1" applyFont="1" applyBorder="1" applyAlignment="1">
      <alignment horizontal="center" textRotation="90"/>
    </xf>
    <xf numFmtId="0" fontId="8" fillId="0" borderId="19" xfId="1" applyFont="1" applyBorder="1" applyAlignment="1">
      <alignment horizontal="center" textRotation="90"/>
    </xf>
    <xf numFmtId="0" fontId="8" fillId="0" borderId="6" xfId="1" applyFont="1" applyBorder="1" applyAlignment="1">
      <alignment horizontal="center" textRotation="90"/>
    </xf>
    <xf numFmtId="3" fontId="3" fillId="0" borderId="1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1" fontId="9" fillId="0" borderId="7" xfId="1" applyNumberFormat="1" applyFont="1" applyBorder="1" applyAlignment="1">
      <alignment horizontal="center" textRotation="90"/>
    </xf>
    <xf numFmtId="1" fontId="9" fillId="0" borderId="22" xfId="1" applyNumberFormat="1" applyFont="1" applyBorder="1" applyAlignment="1">
      <alignment horizontal="center" textRotation="90"/>
    </xf>
    <xf numFmtId="1" fontId="9" fillId="0" borderId="8" xfId="1" applyNumberFormat="1" applyFont="1" applyBorder="1" applyAlignment="1">
      <alignment horizontal="center" textRotation="90"/>
    </xf>
    <xf numFmtId="0" fontId="9" fillId="0" borderId="7" xfId="1" applyFont="1" applyBorder="1" applyAlignment="1">
      <alignment horizontal="center" textRotation="90"/>
    </xf>
    <xf numFmtId="0" fontId="9" fillId="0" borderId="22" xfId="1" applyFont="1" applyBorder="1" applyAlignment="1">
      <alignment horizontal="center" textRotation="90"/>
    </xf>
    <xf numFmtId="0" fontId="9" fillId="0" borderId="8" xfId="1" applyFont="1" applyBorder="1" applyAlignment="1">
      <alignment horizontal="center" textRotation="90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</cellXfs>
  <cellStyles count="5">
    <cellStyle name="Normal" xfId="0" builtinId="0"/>
    <cellStyle name="Normal 2" xfId="1"/>
    <cellStyle name="Normal 3" xfId="3"/>
    <cellStyle name="Normal 3 2" xfId="4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opLeftCell="A11" workbookViewId="0">
      <selection activeCell="I11" sqref="I11"/>
    </sheetView>
  </sheetViews>
  <sheetFormatPr baseColWidth="10" defaultRowHeight="15.75" x14ac:dyDescent="0.25"/>
  <cols>
    <col min="1" max="1" width="3.7109375" style="1" customWidth="1"/>
    <col min="2" max="2" width="2.5703125" style="1" customWidth="1"/>
    <col min="3" max="3" width="27.28515625" style="1" customWidth="1"/>
    <col min="4" max="12" width="9.7109375" style="1" customWidth="1"/>
    <col min="13" max="20" width="8.7109375" style="1" customWidth="1"/>
    <col min="21" max="21" width="8.140625" style="1" bestFit="1" customWidth="1"/>
    <col min="22" max="16384" width="11.42578125" style="1"/>
  </cols>
  <sheetData>
    <row r="1" spans="1:8" x14ac:dyDescent="0.25">
      <c r="A1" s="176" t="s">
        <v>116</v>
      </c>
    </row>
    <row r="3" spans="1:8" x14ac:dyDescent="0.25">
      <c r="A3" s="1" t="s">
        <v>0</v>
      </c>
    </row>
    <row r="4" spans="1:8" x14ac:dyDescent="0.25">
      <c r="A4" s="24" t="s">
        <v>1</v>
      </c>
      <c r="B4" s="25"/>
      <c r="C4" s="3"/>
      <c r="D4" s="3"/>
      <c r="E4" s="3" t="s">
        <v>13</v>
      </c>
      <c r="F4" s="4" t="s">
        <v>14</v>
      </c>
    </row>
    <row r="5" spans="1:8" x14ac:dyDescent="0.25">
      <c r="A5" s="5" t="s">
        <v>2</v>
      </c>
      <c r="B5" s="6"/>
      <c r="C5" s="6"/>
      <c r="D5" s="6"/>
      <c r="E5" s="6" t="s">
        <v>15</v>
      </c>
      <c r="F5" s="7"/>
    </row>
    <row r="6" spans="1:8" x14ac:dyDescent="0.25">
      <c r="A6" s="2" t="s">
        <v>3</v>
      </c>
      <c r="B6" s="3"/>
      <c r="C6" s="3"/>
      <c r="D6" s="8" t="s">
        <v>9</v>
      </c>
      <c r="E6" s="9" t="s">
        <v>11</v>
      </c>
      <c r="F6" s="8" t="s">
        <v>9</v>
      </c>
    </row>
    <row r="7" spans="1:8" x14ac:dyDescent="0.25">
      <c r="A7" s="5"/>
      <c r="B7" s="6"/>
      <c r="C7" s="6"/>
      <c r="D7" s="10" t="s">
        <v>10</v>
      </c>
      <c r="E7" s="11"/>
      <c r="F7" s="10" t="s">
        <v>12</v>
      </c>
    </row>
    <row r="8" spans="1:8" x14ac:dyDescent="0.25">
      <c r="A8" s="13">
        <v>1</v>
      </c>
      <c r="B8" s="3" t="s">
        <v>4</v>
      </c>
      <c r="D8" s="31">
        <v>5000</v>
      </c>
      <c r="E8" s="15">
        <v>104600</v>
      </c>
      <c r="F8" s="31"/>
    </row>
    <row r="9" spans="1:8" x14ac:dyDescent="0.25">
      <c r="A9" s="16">
        <v>2</v>
      </c>
      <c r="B9" s="17" t="s">
        <v>5</v>
      </c>
      <c r="C9" s="30"/>
      <c r="D9" s="32"/>
      <c r="E9" s="19">
        <v>33472</v>
      </c>
      <c r="F9" s="32">
        <v>2600</v>
      </c>
    </row>
    <row r="10" spans="1:8" x14ac:dyDescent="0.25">
      <c r="A10" s="16">
        <v>3</v>
      </c>
      <c r="B10" s="17" t="s">
        <v>6</v>
      </c>
      <c r="C10" s="30"/>
      <c r="D10" s="32"/>
      <c r="E10" s="19">
        <f>E8-E9</f>
        <v>71128</v>
      </c>
      <c r="F10" s="32">
        <v>2380</v>
      </c>
      <c r="H10" s="12"/>
    </row>
    <row r="11" spans="1:8" x14ac:dyDescent="0.25">
      <c r="A11" s="16"/>
      <c r="B11" s="17"/>
      <c r="C11" s="30"/>
      <c r="D11" s="32"/>
      <c r="E11" s="19"/>
      <c r="F11" s="32"/>
    </row>
    <row r="12" spans="1:8" x14ac:dyDescent="0.25">
      <c r="A12" s="16">
        <v>4</v>
      </c>
      <c r="B12" s="17" t="s">
        <v>7</v>
      </c>
      <c r="C12" s="30"/>
      <c r="D12" s="32">
        <v>5400</v>
      </c>
      <c r="E12" s="19">
        <v>14748</v>
      </c>
      <c r="F12" s="32">
        <v>2770</v>
      </c>
    </row>
    <row r="13" spans="1:8" x14ac:dyDescent="0.25">
      <c r="A13" s="16">
        <v>5</v>
      </c>
      <c r="B13" s="17" t="s">
        <v>117</v>
      </c>
      <c r="C13" s="30"/>
      <c r="D13" s="32">
        <v>5100</v>
      </c>
      <c r="E13" s="19">
        <v>12552</v>
      </c>
      <c r="F13" s="32">
        <v>2940</v>
      </c>
    </row>
    <row r="14" spans="1:8" x14ac:dyDescent="0.25">
      <c r="A14" s="16">
        <v>6</v>
      </c>
      <c r="B14" s="17" t="s">
        <v>17</v>
      </c>
      <c r="C14" s="30"/>
      <c r="D14" s="32">
        <v>5400</v>
      </c>
      <c r="E14" s="19">
        <v>1770</v>
      </c>
      <c r="F14" s="32">
        <v>2780</v>
      </c>
    </row>
    <row r="15" spans="1:8" x14ac:dyDescent="0.25">
      <c r="A15" s="20"/>
      <c r="B15" s="26"/>
      <c r="C15" s="21"/>
      <c r="D15" s="33"/>
      <c r="E15" s="23"/>
      <c r="F15" s="33"/>
    </row>
    <row r="17" spans="1:12" x14ac:dyDescent="0.25">
      <c r="A17" s="1" t="s">
        <v>16</v>
      </c>
    </row>
    <row r="18" spans="1:12" x14ac:dyDescent="0.25">
      <c r="A18" s="246" t="s">
        <v>20</v>
      </c>
      <c r="B18" s="247"/>
      <c r="C18" s="4" t="s">
        <v>3</v>
      </c>
      <c r="D18" s="8">
        <v>1950</v>
      </c>
      <c r="E18" s="8">
        <v>2380</v>
      </c>
      <c r="F18" s="8">
        <v>2600</v>
      </c>
      <c r="G18" s="8">
        <v>2770</v>
      </c>
      <c r="H18" s="8">
        <v>2780</v>
      </c>
      <c r="I18" s="8">
        <v>2940</v>
      </c>
      <c r="J18" s="8">
        <v>5000</v>
      </c>
      <c r="K18" s="8">
        <v>5100</v>
      </c>
      <c r="L18" s="8">
        <v>5400</v>
      </c>
    </row>
    <row r="19" spans="1:12" x14ac:dyDescent="0.25">
      <c r="A19" s="28"/>
      <c r="B19" s="29"/>
      <c r="C19" s="29"/>
      <c r="D19" s="201" t="s">
        <v>177</v>
      </c>
      <c r="E19" s="201" t="s">
        <v>179</v>
      </c>
      <c r="F19" s="201" t="s">
        <v>181</v>
      </c>
      <c r="G19" s="201" t="s">
        <v>181</v>
      </c>
      <c r="H19" s="201" t="s">
        <v>186</v>
      </c>
      <c r="I19" s="201" t="s">
        <v>190</v>
      </c>
      <c r="J19" s="201" t="s">
        <v>56</v>
      </c>
      <c r="K19" s="201" t="s">
        <v>192</v>
      </c>
      <c r="L19" s="201" t="s">
        <v>193</v>
      </c>
    </row>
    <row r="20" spans="1:12" x14ac:dyDescent="0.25">
      <c r="A20" s="28"/>
      <c r="B20" s="29"/>
      <c r="C20" s="29"/>
      <c r="D20" s="201" t="s">
        <v>178</v>
      </c>
      <c r="E20" s="201" t="s">
        <v>180</v>
      </c>
      <c r="F20" s="201" t="s">
        <v>182</v>
      </c>
      <c r="G20" s="201" t="s">
        <v>184</v>
      </c>
      <c r="H20" s="201" t="s">
        <v>187</v>
      </c>
      <c r="I20" s="201" t="s">
        <v>191</v>
      </c>
      <c r="J20" s="201"/>
      <c r="K20" s="201" t="s">
        <v>189</v>
      </c>
      <c r="L20" s="201" t="s">
        <v>194</v>
      </c>
    </row>
    <row r="21" spans="1:12" x14ac:dyDescent="0.25">
      <c r="A21" s="28"/>
      <c r="B21" s="29"/>
      <c r="C21" s="29"/>
      <c r="D21" s="201"/>
      <c r="E21" s="201"/>
      <c r="F21" s="201" t="s">
        <v>183</v>
      </c>
      <c r="G21" s="201" t="s">
        <v>185</v>
      </c>
      <c r="H21" s="201" t="s">
        <v>188</v>
      </c>
      <c r="I21" s="201" t="s">
        <v>189</v>
      </c>
      <c r="J21" s="201"/>
      <c r="K21" s="201"/>
      <c r="L21" s="201" t="s">
        <v>185</v>
      </c>
    </row>
    <row r="22" spans="1:12" x14ac:dyDescent="0.25">
      <c r="A22" s="5"/>
      <c r="B22" s="7"/>
      <c r="C22" s="7"/>
      <c r="D22" s="10"/>
      <c r="E22" s="10"/>
      <c r="F22" s="202"/>
      <c r="G22" s="202"/>
      <c r="H22" s="10" t="s">
        <v>189</v>
      </c>
      <c r="I22" s="10"/>
      <c r="J22" s="10"/>
      <c r="K22" s="10"/>
      <c r="L22" s="10"/>
    </row>
    <row r="23" spans="1:12" x14ac:dyDescent="0.25">
      <c r="A23" s="248" t="s">
        <v>21</v>
      </c>
      <c r="B23" s="249"/>
      <c r="C23" s="14" t="s">
        <v>56</v>
      </c>
      <c r="D23" s="34"/>
      <c r="E23" s="198">
        <v>-71128</v>
      </c>
      <c r="F23" s="198">
        <v>-33472</v>
      </c>
      <c r="G23" s="198"/>
      <c r="H23" s="198"/>
      <c r="I23" s="198"/>
      <c r="J23" s="198">
        <v>104600</v>
      </c>
      <c r="K23" s="198"/>
      <c r="L23" s="198"/>
    </row>
    <row r="24" spans="1:12" x14ac:dyDescent="0.25">
      <c r="A24" s="250" t="s">
        <v>21</v>
      </c>
      <c r="B24" s="251"/>
      <c r="C24" s="18" t="s">
        <v>7</v>
      </c>
      <c r="D24" s="35"/>
      <c r="E24" s="199"/>
      <c r="F24" s="199"/>
      <c r="G24" s="199">
        <f>-E12</f>
        <v>-14748</v>
      </c>
      <c r="H24" s="199"/>
      <c r="I24" s="199"/>
      <c r="J24" s="199"/>
      <c r="K24" s="199"/>
      <c r="L24" s="199">
        <f>E12</f>
        <v>14748</v>
      </c>
    </row>
    <row r="25" spans="1:12" x14ac:dyDescent="0.25">
      <c r="A25" s="250" t="s">
        <v>21</v>
      </c>
      <c r="B25" s="251"/>
      <c r="C25" s="18" t="s">
        <v>117</v>
      </c>
      <c r="D25" s="35"/>
      <c r="E25" s="199"/>
      <c r="F25" s="199"/>
      <c r="G25" s="199"/>
      <c r="H25" s="199"/>
      <c r="I25" s="199">
        <f>-E13</f>
        <v>-12552</v>
      </c>
      <c r="J25" s="199"/>
      <c r="K25" s="199">
        <f>E13</f>
        <v>12552</v>
      </c>
      <c r="L25" s="199"/>
    </row>
    <row r="26" spans="1:12" x14ac:dyDescent="0.25">
      <c r="A26" s="250" t="s">
        <v>21</v>
      </c>
      <c r="B26" s="251"/>
      <c r="C26" s="18" t="s">
        <v>118</v>
      </c>
      <c r="D26" s="35"/>
      <c r="E26" s="199"/>
      <c r="F26" s="199"/>
      <c r="G26" s="199"/>
      <c r="H26" s="199">
        <f>-E14</f>
        <v>-1770</v>
      </c>
      <c r="I26" s="199"/>
      <c r="J26" s="199"/>
      <c r="K26" s="199"/>
      <c r="L26" s="199">
        <f>E14</f>
        <v>1770</v>
      </c>
    </row>
    <row r="27" spans="1:12" x14ac:dyDescent="0.25">
      <c r="A27" s="244" t="s">
        <v>23</v>
      </c>
      <c r="B27" s="245"/>
      <c r="C27" s="22" t="s">
        <v>119</v>
      </c>
      <c r="D27" s="36">
        <v>33472</v>
      </c>
      <c r="E27" s="200">
        <f>-E9</f>
        <v>-33472</v>
      </c>
      <c r="F27" s="200"/>
      <c r="G27" s="200"/>
      <c r="H27" s="200"/>
      <c r="I27" s="200"/>
      <c r="J27" s="200"/>
      <c r="K27" s="200"/>
      <c r="L27" s="200"/>
    </row>
    <row r="28" spans="1:12" ht="14.25" customHeight="1" x14ac:dyDescent="0.25"/>
    <row r="30" spans="1:12" x14ac:dyDescent="0.25">
      <c r="A30" s="1" t="s">
        <v>24</v>
      </c>
      <c r="C30" s="1" t="s">
        <v>56</v>
      </c>
      <c r="D30" s="12">
        <f>J23</f>
        <v>104600</v>
      </c>
      <c r="G30" s="179"/>
    </row>
    <row r="31" spans="1:12" x14ac:dyDescent="0.25">
      <c r="C31" s="1" t="s">
        <v>7</v>
      </c>
      <c r="D31" s="12">
        <f>K25</f>
        <v>12552</v>
      </c>
      <c r="G31" s="27"/>
    </row>
    <row r="32" spans="1:12" x14ac:dyDescent="0.25">
      <c r="C32" s="1" t="s">
        <v>22</v>
      </c>
      <c r="D32" s="12">
        <f>L24</f>
        <v>14748</v>
      </c>
    </row>
    <row r="33" spans="1:12" x14ac:dyDescent="0.25">
      <c r="C33" s="1" t="s">
        <v>120</v>
      </c>
      <c r="D33" s="12">
        <f>L26</f>
        <v>1770</v>
      </c>
    </row>
    <row r="34" spans="1:12" s="177" customFormat="1" ht="20.25" x14ac:dyDescent="0.3">
      <c r="A34" s="1"/>
      <c r="B34" s="1"/>
      <c r="C34" s="1" t="s">
        <v>121</v>
      </c>
      <c r="D34" s="178">
        <f>SUM(D30:D33)</f>
        <v>133670</v>
      </c>
      <c r="E34" s="1"/>
      <c r="F34" s="1"/>
      <c r="G34" s="1"/>
      <c r="H34" s="1"/>
      <c r="I34" s="1"/>
      <c r="J34" s="1"/>
      <c r="K34" s="1"/>
      <c r="L34" s="1"/>
    </row>
    <row r="36" spans="1:12" x14ac:dyDescent="0.25">
      <c r="C36" s="1" t="s">
        <v>122</v>
      </c>
    </row>
    <row r="38" spans="1:12" x14ac:dyDescent="0.25">
      <c r="C38" s="1" t="s">
        <v>123</v>
      </c>
      <c r="D38" s="37">
        <f>D30*1.12*1.141</f>
        <v>133670.43200000003</v>
      </c>
    </row>
  </sheetData>
  <mergeCells count="6">
    <mergeCell ref="A27:B27"/>
    <mergeCell ref="A18:B18"/>
    <mergeCell ref="A23:B23"/>
    <mergeCell ref="A24:B24"/>
    <mergeCell ref="A25:B25"/>
    <mergeCell ref="A26:B26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&amp;COppgave 9.1&amp;R]</oddHeader>
    <oddFooter>&amp;CSide &amp;P av 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topLeftCell="A32" zoomScaleNormal="100" workbookViewId="0">
      <selection activeCell="L39" sqref="L39"/>
    </sheetView>
  </sheetViews>
  <sheetFormatPr baseColWidth="10" defaultRowHeight="15.75" x14ac:dyDescent="0.25"/>
  <cols>
    <col min="1" max="1" width="3.7109375" style="38" customWidth="1"/>
    <col min="2" max="2" width="2.5703125" style="38" customWidth="1"/>
    <col min="3" max="3" width="29" style="38" customWidth="1"/>
    <col min="4" max="4" width="10" style="38" bestFit="1" customWidth="1"/>
    <col min="5" max="5" width="8.7109375" style="38" customWidth="1"/>
    <col min="6" max="6" width="9.28515625" style="38" bestFit="1" customWidth="1"/>
    <col min="7" max="22" width="8.7109375" style="38" customWidth="1"/>
    <col min="23" max="23" width="8.140625" style="38" bestFit="1" customWidth="1"/>
    <col min="24" max="16384" width="11.42578125" style="38"/>
  </cols>
  <sheetData>
    <row r="1" spans="1:17" x14ac:dyDescent="0.25">
      <c r="A1" s="142" t="s">
        <v>125</v>
      </c>
    </row>
    <row r="3" spans="1:17" x14ac:dyDescent="0.25">
      <c r="A3" s="38" t="s">
        <v>0</v>
      </c>
    </row>
    <row r="4" spans="1:17" x14ac:dyDescent="0.25">
      <c r="A4" s="39"/>
      <c r="B4" s="40" t="s">
        <v>159</v>
      </c>
      <c r="C4" s="40"/>
      <c r="D4" s="40"/>
      <c r="E4" s="40"/>
      <c r="F4" s="40"/>
      <c r="G4" s="40" t="s">
        <v>25</v>
      </c>
      <c r="H4" s="40"/>
      <c r="I4" s="41"/>
    </row>
    <row r="5" spans="1:17" x14ac:dyDescent="0.25">
      <c r="A5" s="42"/>
      <c r="B5" s="43" t="s">
        <v>26</v>
      </c>
      <c r="C5" s="43"/>
      <c r="D5" s="43"/>
      <c r="E5" s="43"/>
      <c r="F5" s="43"/>
      <c r="G5" s="43"/>
      <c r="H5" s="43"/>
      <c r="I5" s="44"/>
    </row>
    <row r="6" spans="1:17" x14ac:dyDescent="0.25">
      <c r="A6" s="42"/>
      <c r="B6" s="43"/>
      <c r="C6" s="43"/>
      <c r="D6" s="43"/>
      <c r="E6" s="43"/>
      <c r="F6" s="43"/>
      <c r="G6" s="43"/>
      <c r="H6" s="43"/>
      <c r="I6" s="44"/>
    </row>
    <row r="7" spans="1:17" x14ac:dyDescent="0.25">
      <c r="A7" s="45"/>
      <c r="B7" s="46" t="s">
        <v>27</v>
      </c>
      <c r="C7" s="46"/>
      <c r="D7" s="46"/>
      <c r="E7" s="46"/>
      <c r="F7" s="46"/>
      <c r="G7" s="46"/>
      <c r="H7" s="46"/>
      <c r="I7" s="47"/>
    </row>
    <row r="8" spans="1:17" x14ac:dyDescent="0.25">
      <c r="A8" s="48"/>
      <c r="B8" s="39"/>
      <c r="C8" s="41"/>
      <c r="D8" s="252" t="s">
        <v>28</v>
      </c>
      <c r="E8" s="252"/>
      <c r="F8" s="252"/>
      <c r="G8" s="252"/>
      <c r="H8" s="252" t="s">
        <v>29</v>
      </c>
      <c r="I8" s="252"/>
    </row>
    <row r="9" spans="1:17" x14ac:dyDescent="0.25">
      <c r="A9" s="50"/>
      <c r="B9" s="45" t="s">
        <v>30</v>
      </c>
      <c r="C9" s="47"/>
      <c r="D9" s="49" t="s">
        <v>31</v>
      </c>
      <c r="E9" s="49" t="s">
        <v>32</v>
      </c>
      <c r="F9" s="49" t="s">
        <v>33</v>
      </c>
      <c r="G9" s="51" t="s">
        <v>11</v>
      </c>
      <c r="H9" s="49" t="s">
        <v>31</v>
      </c>
      <c r="I9" s="49" t="s">
        <v>11</v>
      </c>
    </row>
    <row r="10" spans="1:17" x14ac:dyDescent="0.25">
      <c r="A10" s="48">
        <v>1</v>
      </c>
      <c r="B10" s="40" t="s">
        <v>34</v>
      </c>
      <c r="C10" s="40"/>
      <c r="D10" s="48">
        <v>160</v>
      </c>
      <c r="E10" s="48">
        <v>280</v>
      </c>
      <c r="F10" s="48"/>
      <c r="G10" s="52">
        <f>D10*E10</f>
        <v>44800</v>
      </c>
      <c r="H10" s="48"/>
      <c r="I10" s="48"/>
    </row>
    <row r="11" spans="1:17" x14ac:dyDescent="0.25">
      <c r="A11" s="53">
        <v>11</v>
      </c>
      <c r="B11" s="43" t="s">
        <v>35</v>
      </c>
      <c r="C11" s="43"/>
      <c r="D11" s="53"/>
      <c r="E11" s="53"/>
      <c r="F11" s="53"/>
      <c r="G11" s="54"/>
      <c r="H11" s="53"/>
      <c r="I11" s="53"/>
    </row>
    <row r="12" spans="1:17" s="56" customFormat="1" ht="20.25" x14ac:dyDescent="0.3">
      <c r="A12" s="53"/>
      <c r="B12" s="43" t="s">
        <v>4</v>
      </c>
      <c r="C12" s="43"/>
      <c r="D12" s="53"/>
      <c r="E12" s="53"/>
      <c r="F12" s="53"/>
      <c r="G12" s="55">
        <f>SUM(G10:G11)</f>
        <v>44800</v>
      </c>
      <c r="H12" s="53"/>
      <c r="I12" s="53"/>
      <c r="J12" s="38"/>
      <c r="K12" s="38"/>
      <c r="L12" s="38"/>
      <c r="M12" s="38"/>
      <c r="N12" s="38"/>
      <c r="O12" s="38"/>
      <c r="P12" s="38"/>
      <c r="Q12" s="38"/>
    </row>
    <row r="13" spans="1:17" x14ac:dyDescent="0.25">
      <c r="A13" s="53">
        <v>50</v>
      </c>
      <c r="B13" s="43" t="s">
        <v>124</v>
      </c>
      <c r="C13" s="43"/>
      <c r="D13" s="53"/>
      <c r="E13" s="53"/>
      <c r="F13" s="53"/>
      <c r="G13" s="55">
        <f>G12*0.32</f>
        <v>14336</v>
      </c>
      <c r="H13" s="53"/>
      <c r="I13" s="53"/>
    </row>
    <row r="14" spans="1:17" x14ac:dyDescent="0.25">
      <c r="A14" s="53"/>
      <c r="B14" s="43" t="s">
        <v>36</v>
      </c>
      <c r="C14" s="43"/>
      <c r="D14" s="53"/>
      <c r="E14" s="53"/>
      <c r="F14" s="53"/>
      <c r="G14" s="54">
        <v>5000</v>
      </c>
      <c r="H14" s="53"/>
      <c r="I14" s="53"/>
    </row>
    <row r="15" spans="1:17" s="56" customFormat="1" ht="20.25" x14ac:dyDescent="0.3">
      <c r="A15" s="53"/>
      <c r="B15" s="57" t="s">
        <v>37</v>
      </c>
      <c r="C15" s="43"/>
      <c r="D15" s="53"/>
      <c r="E15" s="53"/>
      <c r="F15" s="53"/>
      <c r="G15" s="58">
        <f>G12-G13-G14</f>
        <v>25464</v>
      </c>
      <c r="H15" s="53"/>
      <c r="I15" s="53"/>
      <c r="J15" s="38"/>
      <c r="K15" s="38"/>
    </row>
    <row r="16" spans="1:17" s="62" customFormat="1" ht="11.25" x14ac:dyDescent="0.2">
      <c r="A16" s="59"/>
      <c r="B16" s="60"/>
      <c r="C16" s="60"/>
      <c r="D16" s="59"/>
      <c r="E16" s="59"/>
      <c r="F16" s="59"/>
      <c r="G16" s="61"/>
      <c r="H16" s="59"/>
      <c r="I16" s="59"/>
    </row>
    <row r="17" spans="1:9" x14ac:dyDescent="0.25">
      <c r="A17" s="53"/>
      <c r="B17" s="43" t="s">
        <v>38</v>
      </c>
      <c r="C17" s="43"/>
      <c r="D17" s="53"/>
      <c r="E17" s="53"/>
      <c r="F17" s="53"/>
      <c r="G17" s="55">
        <f>G10</f>
        <v>44800</v>
      </c>
      <c r="H17" s="53"/>
      <c r="I17" s="53"/>
    </row>
    <row r="18" spans="1:9" x14ac:dyDescent="0.25">
      <c r="A18" s="50"/>
      <c r="B18" s="46" t="s">
        <v>39</v>
      </c>
      <c r="C18" s="46"/>
      <c r="D18" s="50"/>
      <c r="E18" s="50"/>
      <c r="F18" s="50"/>
      <c r="G18" s="54">
        <f>G10</f>
        <v>44800</v>
      </c>
      <c r="H18" s="50"/>
      <c r="I18" s="50"/>
    </row>
    <row r="30" spans="1:9" x14ac:dyDescent="0.25">
      <c r="A30" s="38" t="s">
        <v>40</v>
      </c>
    </row>
    <row r="31" spans="1:9" x14ac:dyDescent="0.25">
      <c r="A31" s="63" t="s">
        <v>1</v>
      </c>
      <c r="B31" s="64"/>
      <c r="C31" s="40"/>
      <c r="D31" s="40"/>
      <c r="E31" s="40" t="s">
        <v>13</v>
      </c>
      <c r="F31" s="41" t="s">
        <v>41</v>
      </c>
    </row>
    <row r="32" spans="1:9" x14ac:dyDescent="0.25">
      <c r="A32" s="45" t="s">
        <v>26</v>
      </c>
      <c r="B32" s="46"/>
      <c r="C32" s="46"/>
      <c r="D32" s="46"/>
      <c r="E32" s="46" t="s">
        <v>15</v>
      </c>
      <c r="F32" s="47"/>
    </row>
    <row r="33" spans="1:13" x14ac:dyDescent="0.25">
      <c r="A33" s="39" t="s">
        <v>3</v>
      </c>
      <c r="B33" s="40"/>
      <c r="C33" s="40"/>
      <c r="D33" s="65" t="s">
        <v>9</v>
      </c>
      <c r="E33" s="66" t="s">
        <v>11</v>
      </c>
      <c r="F33" s="65" t="s">
        <v>9</v>
      </c>
    </row>
    <row r="34" spans="1:13" x14ac:dyDescent="0.25">
      <c r="A34" s="45"/>
      <c r="B34" s="46"/>
      <c r="C34" s="46"/>
      <c r="D34" s="67" t="s">
        <v>10</v>
      </c>
      <c r="E34" s="68"/>
      <c r="F34" s="67" t="s">
        <v>12</v>
      </c>
    </row>
    <row r="35" spans="1:13" x14ac:dyDescent="0.25">
      <c r="A35" s="69">
        <v>1</v>
      </c>
      <c r="B35" s="40" t="s">
        <v>4</v>
      </c>
      <c r="D35" s="70">
        <v>5000</v>
      </c>
      <c r="E35" s="71">
        <f>202400+G10</f>
        <v>247200</v>
      </c>
      <c r="F35" s="70"/>
    </row>
    <row r="36" spans="1:13" x14ac:dyDescent="0.25">
      <c r="A36" s="72">
        <v>2</v>
      </c>
      <c r="B36" s="73" t="s">
        <v>5</v>
      </c>
      <c r="C36" s="74"/>
      <c r="D36" s="75"/>
      <c r="E36" s="76">
        <f>65140+G13</f>
        <v>79476</v>
      </c>
      <c r="F36" s="75">
        <v>2600</v>
      </c>
    </row>
    <row r="37" spans="1:13" x14ac:dyDescent="0.25">
      <c r="A37" s="72">
        <v>3</v>
      </c>
      <c r="B37" s="73" t="s">
        <v>36</v>
      </c>
      <c r="C37" s="74"/>
      <c r="D37" s="75"/>
      <c r="E37" s="76">
        <v>5000</v>
      </c>
      <c r="F37" s="75">
        <v>1570</v>
      </c>
      <c r="H37" s="77"/>
    </row>
    <row r="38" spans="1:13" x14ac:dyDescent="0.25">
      <c r="A38" s="72">
        <v>4</v>
      </c>
      <c r="B38" s="73" t="s">
        <v>42</v>
      </c>
      <c r="C38" s="74"/>
      <c r="D38" s="75"/>
      <c r="E38" s="76">
        <f>E35-E36-E37</f>
        <v>162724</v>
      </c>
      <c r="F38" s="75">
        <v>2380</v>
      </c>
      <c r="H38" s="77"/>
    </row>
    <row r="39" spans="1:13" x14ac:dyDescent="0.25">
      <c r="A39" s="72"/>
      <c r="B39" s="73"/>
      <c r="C39" s="74"/>
      <c r="D39" s="75"/>
      <c r="E39" s="76"/>
      <c r="F39" s="75"/>
    </row>
    <row r="40" spans="1:13" x14ac:dyDescent="0.25">
      <c r="A40" s="72">
        <v>5</v>
      </c>
      <c r="B40" s="73" t="s">
        <v>7</v>
      </c>
      <c r="C40" s="74"/>
      <c r="D40" s="75">
        <v>5400</v>
      </c>
      <c r="E40" s="76">
        <v>12607</v>
      </c>
      <c r="F40" s="75">
        <v>2770</v>
      </c>
      <c r="I40" s="189"/>
    </row>
    <row r="41" spans="1:13" x14ac:dyDescent="0.25">
      <c r="A41" s="72">
        <v>6</v>
      </c>
      <c r="B41" s="73" t="s">
        <v>117</v>
      </c>
      <c r="C41" s="74"/>
      <c r="D41" s="75">
        <v>5100</v>
      </c>
      <c r="E41" s="76">
        <v>25214</v>
      </c>
      <c r="F41" s="75">
        <v>2940</v>
      </c>
    </row>
    <row r="42" spans="1:13" x14ac:dyDescent="0.25">
      <c r="A42" s="72">
        <v>7</v>
      </c>
      <c r="B42" s="73" t="s">
        <v>17</v>
      </c>
      <c r="C42" s="74"/>
      <c r="D42" s="75">
        <v>5400</v>
      </c>
      <c r="E42" s="76">
        <v>1286</v>
      </c>
      <c r="F42" s="75">
        <v>2780</v>
      </c>
    </row>
    <row r="43" spans="1:13" x14ac:dyDescent="0.25">
      <c r="A43" s="78"/>
      <c r="B43" s="79"/>
      <c r="C43" s="80"/>
      <c r="D43" s="81"/>
      <c r="E43" s="82"/>
      <c r="F43" s="81"/>
    </row>
    <row r="46" spans="1:13" x14ac:dyDescent="0.25">
      <c r="A46" s="38" t="s">
        <v>43</v>
      </c>
    </row>
    <row r="47" spans="1:13" x14ac:dyDescent="0.25">
      <c r="A47" s="253" t="s">
        <v>20</v>
      </c>
      <c r="B47" s="254"/>
      <c r="C47" s="41" t="s">
        <v>3</v>
      </c>
      <c r="D47" s="195">
        <v>1570</v>
      </c>
      <c r="E47" s="195">
        <v>1950</v>
      </c>
      <c r="F47" s="195">
        <v>2380</v>
      </c>
      <c r="G47" s="195">
        <v>2600</v>
      </c>
      <c r="H47" s="195">
        <v>2770</v>
      </c>
      <c r="I47" s="195">
        <v>2780</v>
      </c>
      <c r="J47" s="195">
        <v>2940</v>
      </c>
      <c r="K47" s="195">
        <v>5000</v>
      </c>
      <c r="L47" s="194">
        <v>5100</v>
      </c>
      <c r="M47" s="195">
        <v>5400</v>
      </c>
    </row>
    <row r="48" spans="1:13" x14ac:dyDescent="0.25">
      <c r="A48" s="42"/>
      <c r="B48" s="44"/>
      <c r="C48" s="44"/>
      <c r="D48" s="196" t="s">
        <v>195</v>
      </c>
      <c r="E48" s="196" t="s">
        <v>196</v>
      </c>
      <c r="F48" s="196" t="s">
        <v>179</v>
      </c>
      <c r="G48" s="196" t="s">
        <v>181</v>
      </c>
      <c r="H48" s="196" t="s">
        <v>181</v>
      </c>
      <c r="I48" s="196" t="s">
        <v>186</v>
      </c>
      <c r="J48" s="196" t="s">
        <v>190</v>
      </c>
      <c r="K48" s="196" t="s">
        <v>56</v>
      </c>
      <c r="L48" s="193" t="s">
        <v>192</v>
      </c>
      <c r="M48" s="196" t="s">
        <v>193</v>
      </c>
    </row>
    <row r="49" spans="1:13" x14ac:dyDescent="0.25">
      <c r="A49" s="42"/>
      <c r="B49" s="44"/>
      <c r="C49" s="44"/>
      <c r="D49" s="196" t="s">
        <v>61</v>
      </c>
      <c r="E49" s="196" t="s">
        <v>183</v>
      </c>
      <c r="F49" s="196" t="s">
        <v>180</v>
      </c>
      <c r="G49" s="196" t="s">
        <v>182</v>
      </c>
      <c r="H49" s="196" t="s">
        <v>197</v>
      </c>
      <c r="I49" s="196" t="s">
        <v>198</v>
      </c>
      <c r="J49" s="196" t="s">
        <v>191</v>
      </c>
      <c r="K49" s="196"/>
      <c r="L49" s="193" t="s">
        <v>189</v>
      </c>
      <c r="M49" s="196" t="s">
        <v>194</v>
      </c>
    </row>
    <row r="50" spans="1:13" x14ac:dyDescent="0.25">
      <c r="A50" s="42"/>
      <c r="B50" s="44"/>
      <c r="C50" s="44"/>
      <c r="D50" s="196"/>
      <c r="E50" s="196"/>
      <c r="F50" s="196"/>
      <c r="G50" s="196" t="s">
        <v>183</v>
      </c>
      <c r="H50" s="196" t="s">
        <v>194</v>
      </c>
      <c r="I50" s="196" t="s">
        <v>185</v>
      </c>
      <c r="J50" s="196" t="s">
        <v>189</v>
      </c>
      <c r="K50" s="196"/>
      <c r="L50" s="193"/>
      <c r="M50" s="196" t="s">
        <v>185</v>
      </c>
    </row>
    <row r="51" spans="1:13" x14ac:dyDescent="0.25">
      <c r="A51" s="45"/>
      <c r="B51" s="47"/>
      <c r="C51" s="47"/>
      <c r="D51" s="197"/>
      <c r="E51" s="197"/>
      <c r="F51" s="197"/>
      <c r="G51" s="197"/>
      <c r="H51" s="197" t="s">
        <v>185</v>
      </c>
      <c r="I51" s="197" t="s">
        <v>199</v>
      </c>
      <c r="J51" s="197"/>
      <c r="K51" s="197"/>
      <c r="L51" s="192"/>
      <c r="M51" s="197"/>
    </row>
    <row r="52" spans="1:13" x14ac:dyDescent="0.25">
      <c r="A52" s="259">
        <v>40071</v>
      </c>
      <c r="B52" s="260"/>
      <c r="C52" s="87" t="s">
        <v>36</v>
      </c>
      <c r="D52" s="106">
        <v>5000</v>
      </c>
      <c r="E52" s="106"/>
      <c r="F52" s="106">
        <v>-5000</v>
      </c>
      <c r="G52" s="106"/>
      <c r="H52" s="106"/>
      <c r="I52" s="106"/>
      <c r="J52" s="106"/>
      <c r="K52" s="106"/>
      <c r="L52" s="106"/>
      <c r="M52" s="106"/>
    </row>
    <row r="53" spans="1:13" x14ac:dyDescent="0.25">
      <c r="A53" s="89" t="s">
        <v>44</v>
      </c>
      <c r="B53" s="90"/>
      <c r="C53" s="91" t="s">
        <v>56</v>
      </c>
      <c r="D53" s="203">
        <f>-E37</f>
        <v>-5000</v>
      </c>
      <c r="E53" s="203"/>
      <c r="F53" s="203">
        <f>-E38</f>
        <v>-162724</v>
      </c>
      <c r="G53" s="203">
        <f>-E36</f>
        <v>-79476</v>
      </c>
      <c r="H53" s="203"/>
      <c r="I53" s="203"/>
      <c r="J53" s="203"/>
      <c r="K53" s="203">
        <f>E35</f>
        <v>247200</v>
      </c>
      <c r="L53" s="203"/>
      <c r="M53" s="203"/>
    </row>
    <row r="54" spans="1:13" x14ac:dyDescent="0.25">
      <c r="A54" s="255" t="s">
        <v>44</v>
      </c>
      <c r="B54" s="256"/>
      <c r="C54" s="93" t="s">
        <v>7</v>
      </c>
      <c r="D54" s="111"/>
      <c r="E54" s="111"/>
      <c r="F54" s="111"/>
      <c r="G54" s="111"/>
      <c r="H54" s="111">
        <f>-E40</f>
        <v>-12607</v>
      </c>
      <c r="I54" s="111"/>
      <c r="J54" s="111"/>
      <c r="K54" s="111"/>
      <c r="L54" s="111"/>
      <c r="M54" s="111">
        <f>E40</f>
        <v>12607</v>
      </c>
    </row>
    <row r="55" spans="1:13" x14ac:dyDescent="0.25">
      <c r="A55" s="255" t="s">
        <v>44</v>
      </c>
      <c r="B55" s="256"/>
      <c r="C55" s="93" t="s">
        <v>22</v>
      </c>
      <c r="D55" s="111"/>
      <c r="E55" s="111"/>
      <c r="F55" s="111"/>
      <c r="G55" s="111"/>
      <c r="H55" s="111"/>
      <c r="I55" s="111"/>
      <c r="J55" s="111">
        <f>-E41</f>
        <v>-25214</v>
      </c>
      <c r="K55" s="111"/>
      <c r="L55" s="111">
        <f>E41</f>
        <v>25214</v>
      </c>
      <c r="M55" s="111"/>
    </row>
    <row r="56" spans="1:13" x14ac:dyDescent="0.25">
      <c r="A56" s="255" t="s">
        <v>44</v>
      </c>
      <c r="B56" s="256"/>
      <c r="C56" s="93" t="s">
        <v>126</v>
      </c>
      <c r="D56" s="111"/>
      <c r="E56" s="111"/>
      <c r="F56" s="111"/>
      <c r="G56" s="111"/>
      <c r="H56" s="111"/>
      <c r="I56" s="111">
        <f>-E42</f>
        <v>-1286</v>
      </c>
      <c r="J56" s="111"/>
      <c r="K56" s="111"/>
      <c r="L56" s="111"/>
      <c r="M56" s="111">
        <f>E42</f>
        <v>1286</v>
      </c>
    </row>
    <row r="57" spans="1:13" x14ac:dyDescent="0.25">
      <c r="A57" s="257" t="s">
        <v>44</v>
      </c>
      <c r="B57" s="258"/>
      <c r="C57" s="94" t="s">
        <v>108</v>
      </c>
      <c r="D57" s="115"/>
      <c r="E57" s="115">
        <f>E36</f>
        <v>79476</v>
      </c>
      <c r="F57" s="115">
        <f>-E36</f>
        <v>-79476</v>
      </c>
      <c r="G57" s="115"/>
      <c r="H57" s="115"/>
      <c r="I57" s="115"/>
      <c r="J57" s="115"/>
      <c r="K57" s="115"/>
      <c r="L57" s="115"/>
      <c r="M57" s="115"/>
    </row>
    <row r="60" spans="1:13" x14ac:dyDescent="0.25">
      <c r="I60" s="96"/>
    </row>
    <row r="61" spans="1:13" x14ac:dyDescent="0.25">
      <c r="I61" s="43"/>
    </row>
  </sheetData>
  <mergeCells count="8">
    <mergeCell ref="D8:G8"/>
    <mergeCell ref="H8:I8"/>
    <mergeCell ref="A47:B47"/>
    <mergeCell ref="A56:B56"/>
    <mergeCell ref="A57:B57"/>
    <mergeCell ref="A52:B52"/>
    <mergeCell ref="A54:B54"/>
    <mergeCell ref="A55:B55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&amp;COppgave 9.2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"/>
  <sheetViews>
    <sheetView showGridLines="0" topLeftCell="U1" zoomScaleNormal="100" workbookViewId="0">
      <selection activeCell="AF9" sqref="AF9"/>
    </sheetView>
  </sheetViews>
  <sheetFormatPr baseColWidth="10" defaultRowHeight="15.75" x14ac:dyDescent="0.25"/>
  <cols>
    <col min="1" max="1" width="6.7109375" style="97" bestFit="1" customWidth="1"/>
    <col min="2" max="2" width="20" style="38" bestFit="1" customWidth="1"/>
    <col min="3" max="3" width="3.85546875" style="38" bestFit="1" customWidth="1"/>
    <col min="4" max="13" width="10.42578125" style="77" customWidth="1"/>
    <col min="14" max="14" width="3.85546875" style="77" bestFit="1" customWidth="1"/>
    <col min="15" max="27" width="10.42578125" style="77" customWidth="1"/>
    <col min="28" max="28" width="3.85546875" style="77" customWidth="1"/>
    <col min="29" max="29" width="10.42578125" style="77" customWidth="1"/>
    <col min="30" max="40" width="9.7109375" style="77" customWidth="1"/>
    <col min="41" max="42" width="9.28515625" style="77" customWidth="1"/>
    <col min="43" max="43" width="3.28515625" style="77" customWidth="1"/>
    <col min="44" max="55" width="9.28515625" style="77" customWidth="1"/>
    <col min="56" max="56" width="9.28515625" style="38" bestFit="1" customWidth="1"/>
    <col min="57" max="16384" width="11.42578125" style="38"/>
  </cols>
  <sheetData>
    <row r="1" spans="1:55" x14ac:dyDescent="0.25">
      <c r="A1" s="132" t="s">
        <v>127</v>
      </c>
    </row>
    <row r="3" spans="1:55" x14ac:dyDescent="0.25">
      <c r="A3" s="97" t="s">
        <v>45</v>
      </c>
      <c r="B3" s="43"/>
    </row>
    <row r="4" spans="1:55" ht="15.75" customHeight="1" x14ac:dyDescent="0.25">
      <c r="A4" s="98" t="s">
        <v>20</v>
      </c>
      <c r="B4" s="48" t="s">
        <v>3</v>
      </c>
      <c r="C4" s="267" t="s">
        <v>46</v>
      </c>
      <c r="D4" s="214">
        <v>1230</v>
      </c>
      <c r="E4" s="214">
        <v>1250</v>
      </c>
      <c r="F4" s="217">
        <v>1460</v>
      </c>
      <c r="G4" s="214">
        <v>10000</v>
      </c>
      <c r="H4" s="214">
        <v>1570</v>
      </c>
      <c r="I4" s="214">
        <v>1900</v>
      </c>
      <c r="J4" s="214">
        <v>1950</v>
      </c>
      <c r="K4" s="214">
        <v>2050</v>
      </c>
      <c r="L4" s="214">
        <v>2060</v>
      </c>
      <c r="M4" s="214">
        <v>2380</v>
      </c>
      <c r="N4" s="264" t="s">
        <v>46</v>
      </c>
      <c r="O4" s="214">
        <v>20000</v>
      </c>
      <c r="P4" s="214">
        <v>20001</v>
      </c>
      <c r="Q4" s="214">
        <v>2600</v>
      </c>
      <c r="R4" s="214">
        <v>2700</v>
      </c>
      <c r="S4" s="214">
        <v>2710</v>
      </c>
      <c r="T4" s="214">
        <v>2740</v>
      </c>
      <c r="U4" s="214">
        <v>2770</v>
      </c>
      <c r="V4" s="214">
        <v>2780</v>
      </c>
      <c r="W4" s="214">
        <v>2940</v>
      </c>
      <c r="X4" s="214">
        <v>3000</v>
      </c>
      <c r="Y4" s="214">
        <v>4300</v>
      </c>
      <c r="Z4" s="214">
        <v>5000</v>
      </c>
      <c r="AA4" s="214">
        <v>5100</v>
      </c>
      <c r="AB4" s="261" t="s">
        <v>46</v>
      </c>
      <c r="AC4" s="214">
        <v>5400</v>
      </c>
      <c r="AD4" s="219">
        <v>5420</v>
      </c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x14ac:dyDescent="0.25">
      <c r="A5" s="99"/>
      <c r="B5" s="100"/>
      <c r="C5" s="268"/>
      <c r="D5" s="211" t="s">
        <v>47</v>
      </c>
      <c r="E5" s="211" t="s">
        <v>48</v>
      </c>
      <c r="F5" s="218" t="s">
        <v>200</v>
      </c>
      <c r="G5" s="211" t="s">
        <v>202</v>
      </c>
      <c r="H5" s="211" t="s">
        <v>36</v>
      </c>
      <c r="I5" s="211" t="s">
        <v>50</v>
      </c>
      <c r="J5" s="211" t="s">
        <v>196</v>
      </c>
      <c r="K5" s="211" t="s">
        <v>205</v>
      </c>
      <c r="L5" s="211" t="s">
        <v>207</v>
      </c>
      <c r="M5" s="211" t="s">
        <v>179</v>
      </c>
      <c r="N5" s="265"/>
      <c r="O5" s="211" t="s">
        <v>208</v>
      </c>
      <c r="P5" s="211" t="s">
        <v>53</v>
      </c>
      <c r="Q5" s="211" t="s">
        <v>210</v>
      </c>
      <c r="R5" s="211" t="s">
        <v>211</v>
      </c>
      <c r="S5" s="211" t="s">
        <v>213</v>
      </c>
      <c r="T5" s="211" t="s">
        <v>214</v>
      </c>
      <c r="U5" s="211" t="s">
        <v>181</v>
      </c>
      <c r="V5" s="211" t="s">
        <v>186</v>
      </c>
      <c r="W5" s="211" t="s">
        <v>190</v>
      </c>
      <c r="X5" s="211" t="s">
        <v>218</v>
      </c>
      <c r="Y5" s="211" t="s">
        <v>55</v>
      </c>
      <c r="Z5" s="211" t="s">
        <v>56</v>
      </c>
      <c r="AA5" s="215" t="s">
        <v>192</v>
      </c>
      <c r="AB5" s="262"/>
      <c r="AC5" s="215" t="s">
        <v>193</v>
      </c>
      <c r="AD5" s="210" t="s">
        <v>220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x14ac:dyDescent="0.25">
      <c r="A6" s="99"/>
      <c r="B6" s="100"/>
      <c r="C6" s="268"/>
      <c r="D6" s="211"/>
      <c r="E6" s="211"/>
      <c r="F6" s="211" t="s">
        <v>201</v>
      </c>
      <c r="G6" s="211" t="s">
        <v>203</v>
      </c>
      <c r="H6" s="211" t="s">
        <v>204</v>
      </c>
      <c r="I6" s="211"/>
      <c r="J6" s="211" t="s">
        <v>183</v>
      </c>
      <c r="K6" s="211" t="s">
        <v>206</v>
      </c>
      <c r="L6" s="211"/>
      <c r="M6" s="211" t="s">
        <v>180</v>
      </c>
      <c r="N6" s="265"/>
      <c r="O6" s="211" t="s">
        <v>209</v>
      </c>
      <c r="P6" s="211"/>
      <c r="Q6" s="211" t="s">
        <v>183</v>
      </c>
      <c r="R6" s="211" t="s">
        <v>212</v>
      </c>
      <c r="S6" s="211" t="s">
        <v>212</v>
      </c>
      <c r="T6" s="211" t="s">
        <v>215</v>
      </c>
      <c r="U6" s="211" t="s">
        <v>184</v>
      </c>
      <c r="V6" s="211" t="s">
        <v>216</v>
      </c>
      <c r="W6" s="211" t="s">
        <v>217</v>
      </c>
      <c r="X6" s="211" t="s">
        <v>219</v>
      </c>
      <c r="Y6" s="211"/>
      <c r="Z6" s="211"/>
      <c r="AA6" s="215" t="s">
        <v>189</v>
      </c>
      <c r="AB6" s="262"/>
      <c r="AC6" s="215" t="s">
        <v>194</v>
      </c>
      <c r="AD6" s="210" t="s">
        <v>221</v>
      </c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x14ac:dyDescent="0.25">
      <c r="A7" s="101"/>
      <c r="B7" s="50"/>
      <c r="C7" s="269"/>
      <c r="D7" s="212"/>
      <c r="E7" s="212"/>
      <c r="F7" s="216"/>
      <c r="G7" s="216"/>
      <c r="H7" s="216"/>
      <c r="I7" s="212"/>
      <c r="J7" s="216"/>
      <c r="K7" s="216"/>
      <c r="L7" s="212"/>
      <c r="M7" s="216"/>
      <c r="N7" s="266"/>
      <c r="O7" s="216"/>
      <c r="P7" s="212"/>
      <c r="Q7" s="216"/>
      <c r="R7" s="216"/>
      <c r="S7" s="216"/>
      <c r="T7" s="216"/>
      <c r="U7" s="212" t="s">
        <v>185</v>
      </c>
      <c r="V7" s="212" t="s">
        <v>217</v>
      </c>
      <c r="W7" s="212"/>
      <c r="X7" s="212" t="s">
        <v>54</v>
      </c>
      <c r="Y7" s="212"/>
      <c r="Z7" s="212"/>
      <c r="AA7" s="213"/>
      <c r="AB7" s="263"/>
      <c r="AC7" s="213" t="s">
        <v>185</v>
      </c>
      <c r="AD7" s="102" t="s">
        <v>222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55" x14ac:dyDescent="0.25">
      <c r="A8" s="103">
        <v>43466</v>
      </c>
      <c r="B8" s="104" t="s">
        <v>128</v>
      </c>
      <c r="C8" s="105">
        <v>1</v>
      </c>
      <c r="D8" s="88">
        <v>48000</v>
      </c>
      <c r="E8" s="106">
        <v>30000</v>
      </c>
      <c r="F8" s="106">
        <v>275000</v>
      </c>
      <c r="G8" s="106">
        <v>52000</v>
      </c>
      <c r="H8" s="106"/>
      <c r="I8" s="106">
        <v>950</v>
      </c>
      <c r="J8" s="106">
        <v>26700</v>
      </c>
      <c r="K8" s="106">
        <v>-94810</v>
      </c>
      <c r="L8" s="106"/>
      <c r="M8" s="106">
        <v>-129303</v>
      </c>
      <c r="N8" s="207">
        <v>1</v>
      </c>
      <c r="O8" s="106">
        <v>-48950</v>
      </c>
      <c r="P8" s="106"/>
      <c r="Q8" s="106">
        <v>-26700</v>
      </c>
      <c r="R8" s="106"/>
      <c r="S8" s="106"/>
      <c r="T8" s="106">
        <v>-25600</v>
      </c>
      <c r="U8" s="106">
        <v>-16920</v>
      </c>
      <c r="V8" s="106">
        <v>-11167</v>
      </c>
      <c r="W8" s="106">
        <v>-79200</v>
      </c>
      <c r="X8" s="106"/>
      <c r="Y8" s="106"/>
      <c r="Z8" s="106"/>
      <c r="AA8" s="106"/>
      <c r="AB8" s="107">
        <v>1</v>
      </c>
      <c r="AC8" s="106"/>
      <c r="AD8" s="106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x14ac:dyDescent="0.25">
      <c r="A9" s="108">
        <v>43468</v>
      </c>
      <c r="B9" s="109" t="s">
        <v>55</v>
      </c>
      <c r="C9" s="110">
        <v>2</v>
      </c>
      <c r="D9" s="92"/>
      <c r="E9" s="111"/>
      <c r="F9" s="111"/>
      <c r="G9" s="111"/>
      <c r="H9" s="111"/>
      <c r="I9" s="111"/>
      <c r="J9" s="111"/>
      <c r="K9" s="111"/>
      <c r="L9" s="111"/>
      <c r="M9" s="111"/>
      <c r="N9" s="208">
        <v>2</v>
      </c>
      <c r="O9" s="111"/>
      <c r="P9" s="111">
        <v>-3000</v>
      </c>
      <c r="Q9" s="111"/>
      <c r="R9" s="111"/>
      <c r="S9" s="111">
        <v>600</v>
      </c>
      <c r="T9" s="111"/>
      <c r="U9" s="111"/>
      <c r="V9" s="111"/>
      <c r="W9" s="111"/>
      <c r="X9" s="111"/>
      <c r="Y9" s="111">
        <v>2400</v>
      </c>
      <c r="Z9" s="111"/>
      <c r="AA9" s="111"/>
      <c r="AB9" s="112">
        <v>2</v>
      </c>
      <c r="AC9" s="111"/>
      <c r="AD9" s="111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x14ac:dyDescent="0.25">
      <c r="A10" s="108">
        <v>43470</v>
      </c>
      <c r="B10" s="109" t="s">
        <v>129</v>
      </c>
      <c r="C10" s="110">
        <v>3</v>
      </c>
      <c r="D10" s="92"/>
      <c r="E10" s="111"/>
      <c r="F10" s="111"/>
      <c r="G10" s="111"/>
      <c r="H10" s="111"/>
      <c r="I10" s="111"/>
      <c r="J10" s="111"/>
      <c r="K10" s="111"/>
      <c r="L10" s="111">
        <v>12000</v>
      </c>
      <c r="M10" s="111">
        <v>-12000</v>
      </c>
      <c r="N10" s="208">
        <v>3</v>
      </c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>
        <v>3</v>
      </c>
      <c r="AC10" s="111"/>
      <c r="AD10" s="111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x14ac:dyDescent="0.25">
      <c r="A11" s="108">
        <v>43470</v>
      </c>
      <c r="B11" s="109" t="s">
        <v>130</v>
      </c>
      <c r="C11" s="110">
        <v>4</v>
      </c>
      <c r="D11" s="92"/>
      <c r="E11" s="111"/>
      <c r="F11" s="111"/>
      <c r="G11" s="111"/>
      <c r="H11" s="111"/>
      <c r="I11" s="111"/>
      <c r="J11" s="111"/>
      <c r="K11" s="111"/>
      <c r="L11" s="111"/>
      <c r="M11" s="111">
        <v>-3000</v>
      </c>
      <c r="N11" s="208">
        <v>4</v>
      </c>
      <c r="O11" s="111"/>
      <c r="P11" s="111">
        <v>3000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>
        <v>4</v>
      </c>
      <c r="AC11" s="111"/>
      <c r="AD11" s="111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x14ac:dyDescent="0.25">
      <c r="A12" s="108">
        <v>43475</v>
      </c>
      <c r="B12" s="109" t="s">
        <v>138</v>
      </c>
      <c r="C12" s="110">
        <v>5</v>
      </c>
      <c r="D12" s="92"/>
      <c r="E12" s="111"/>
      <c r="F12" s="111"/>
      <c r="G12" s="111"/>
      <c r="H12" s="111"/>
      <c r="I12" s="111"/>
      <c r="J12" s="111"/>
      <c r="K12" s="111"/>
      <c r="L12" s="111"/>
      <c r="M12" s="111">
        <v>-1400</v>
      </c>
      <c r="N12" s="208">
        <v>5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2">
        <v>5</v>
      </c>
      <c r="AC12" s="111"/>
      <c r="AD12" s="111">
        <v>1400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x14ac:dyDescent="0.25">
      <c r="A13" s="108">
        <v>43475</v>
      </c>
      <c r="B13" s="109" t="s">
        <v>7</v>
      </c>
      <c r="C13" s="110">
        <v>6</v>
      </c>
      <c r="D13" s="92"/>
      <c r="E13" s="111"/>
      <c r="F13" s="111"/>
      <c r="G13" s="111"/>
      <c r="H13" s="111"/>
      <c r="I13" s="111"/>
      <c r="J13" s="111"/>
      <c r="K13" s="111"/>
      <c r="L13" s="111"/>
      <c r="M13" s="111"/>
      <c r="N13" s="208">
        <v>6</v>
      </c>
      <c r="O13" s="111"/>
      <c r="P13" s="111"/>
      <c r="Q13" s="111"/>
      <c r="R13" s="111"/>
      <c r="S13" s="111"/>
      <c r="T13" s="111"/>
      <c r="U13" s="111">
        <f>M12*0.141</f>
        <v>-197.39999999999998</v>
      </c>
      <c r="V13" s="111"/>
      <c r="W13" s="111"/>
      <c r="X13" s="111"/>
      <c r="Y13" s="111"/>
      <c r="Z13" s="111"/>
      <c r="AA13" s="111"/>
      <c r="AB13" s="112">
        <v>6</v>
      </c>
      <c r="AC13" s="111">
        <f>-U13</f>
        <v>197.39999999999998</v>
      </c>
      <c r="AD13" s="111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x14ac:dyDescent="0.25">
      <c r="A14" s="108">
        <v>43478</v>
      </c>
      <c r="B14" s="109" t="s">
        <v>131</v>
      </c>
      <c r="C14" s="110">
        <v>7</v>
      </c>
      <c r="D14" s="92"/>
      <c r="E14" s="111"/>
      <c r="F14" s="111"/>
      <c r="G14" s="111">
        <v>-52000</v>
      </c>
      <c r="H14" s="111"/>
      <c r="I14" s="111"/>
      <c r="J14" s="111"/>
      <c r="K14" s="111"/>
      <c r="L14" s="111"/>
      <c r="M14" s="111">
        <v>52000</v>
      </c>
      <c r="N14" s="208">
        <v>7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>
        <v>7</v>
      </c>
      <c r="AC14" s="111"/>
      <c r="AD14" s="111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x14ac:dyDescent="0.25">
      <c r="A15" s="108" t="s">
        <v>132</v>
      </c>
      <c r="B15" s="109" t="s">
        <v>133</v>
      </c>
      <c r="C15" s="110">
        <v>8</v>
      </c>
      <c r="D15" s="92"/>
      <c r="E15" s="111"/>
      <c r="F15" s="111"/>
      <c r="G15" s="111"/>
      <c r="H15" s="111"/>
      <c r="I15" s="111"/>
      <c r="J15" s="111">
        <v>-26700</v>
      </c>
      <c r="K15" s="111"/>
      <c r="L15" s="111"/>
      <c r="M15" s="111"/>
      <c r="N15" s="208">
        <v>8</v>
      </c>
      <c r="O15" s="111"/>
      <c r="P15" s="111"/>
      <c r="Q15" s="111">
        <v>26700</v>
      </c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2">
        <v>8</v>
      </c>
      <c r="AC15" s="111"/>
      <c r="AD15" s="111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x14ac:dyDescent="0.25">
      <c r="A16" s="108">
        <v>43480</v>
      </c>
      <c r="B16" s="109" t="s">
        <v>134</v>
      </c>
      <c r="C16" s="110">
        <v>9</v>
      </c>
      <c r="D16" s="92"/>
      <c r="E16" s="111"/>
      <c r="F16" s="111"/>
      <c r="G16" s="111"/>
      <c r="H16" s="111"/>
      <c r="I16" s="111"/>
      <c r="J16" s="111"/>
      <c r="K16" s="111"/>
      <c r="L16" s="111"/>
      <c r="M16" s="111">
        <v>-16920</v>
      </c>
      <c r="N16" s="208">
        <v>9</v>
      </c>
      <c r="O16" s="111"/>
      <c r="P16" s="111"/>
      <c r="Q16" s="111"/>
      <c r="R16" s="111"/>
      <c r="S16" s="111"/>
      <c r="T16" s="111"/>
      <c r="U16" s="111">
        <v>16920</v>
      </c>
      <c r="V16" s="111"/>
      <c r="W16" s="111"/>
      <c r="X16" s="111"/>
      <c r="Y16" s="111"/>
      <c r="Z16" s="111"/>
      <c r="AA16" s="111"/>
      <c r="AB16" s="112">
        <v>9</v>
      </c>
      <c r="AC16" s="111"/>
      <c r="AD16" s="111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x14ac:dyDescent="0.25">
      <c r="A17" s="108">
        <v>43480</v>
      </c>
      <c r="B17" s="109" t="s">
        <v>56</v>
      </c>
      <c r="C17" s="110">
        <v>10</v>
      </c>
      <c r="D17" s="92"/>
      <c r="E17" s="111"/>
      <c r="F17" s="111"/>
      <c r="G17" s="111"/>
      <c r="H17" s="111"/>
      <c r="I17" s="111"/>
      <c r="J17" s="111"/>
      <c r="K17" s="111"/>
      <c r="L17" s="111"/>
      <c r="M17" s="111">
        <v>-19500</v>
      </c>
      <c r="N17" s="208">
        <v>10</v>
      </c>
      <c r="O17" s="111"/>
      <c r="P17" s="111"/>
      <c r="Q17" s="111">
        <v>-10500</v>
      </c>
      <c r="R17" s="111"/>
      <c r="S17" s="111"/>
      <c r="T17" s="111"/>
      <c r="U17" s="111"/>
      <c r="V17" s="111"/>
      <c r="W17" s="111"/>
      <c r="X17" s="111"/>
      <c r="Y17" s="111"/>
      <c r="Z17" s="111">
        <v>30000</v>
      </c>
      <c r="AA17" s="111"/>
      <c r="AB17" s="112">
        <v>10</v>
      </c>
      <c r="AC17" s="111"/>
      <c r="AD17" s="111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x14ac:dyDescent="0.25">
      <c r="A18" s="108">
        <v>43480</v>
      </c>
      <c r="B18" s="109" t="s">
        <v>7</v>
      </c>
      <c r="C18" s="110">
        <v>11</v>
      </c>
      <c r="D18" s="92"/>
      <c r="E18" s="111"/>
      <c r="F18" s="111"/>
      <c r="G18" s="111"/>
      <c r="H18" s="111"/>
      <c r="I18" s="111"/>
      <c r="J18" s="111"/>
      <c r="K18" s="111"/>
      <c r="L18" s="111"/>
      <c r="M18" s="111"/>
      <c r="N18" s="208">
        <v>11</v>
      </c>
      <c r="O18" s="111"/>
      <c r="P18" s="111"/>
      <c r="Q18" s="111"/>
      <c r="R18" s="111"/>
      <c r="S18" s="111"/>
      <c r="T18" s="111"/>
      <c r="U18" s="111">
        <f>-Z17*0.141</f>
        <v>-4230</v>
      </c>
      <c r="V18" s="111"/>
      <c r="W18" s="111"/>
      <c r="X18" s="111"/>
      <c r="Y18" s="111"/>
      <c r="Z18" s="111"/>
      <c r="AA18" s="111"/>
      <c r="AB18" s="112">
        <v>11</v>
      </c>
      <c r="AC18" s="111">
        <f>-U18</f>
        <v>4230</v>
      </c>
      <c r="AD18" s="111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x14ac:dyDescent="0.25">
      <c r="A19" s="108">
        <v>43480</v>
      </c>
      <c r="B19" s="109" t="s">
        <v>22</v>
      </c>
      <c r="C19" s="110">
        <v>12</v>
      </c>
      <c r="D19" s="92"/>
      <c r="E19" s="111"/>
      <c r="F19" s="111"/>
      <c r="G19" s="111"/>
      <c r="H19" s="111"/>
      <c r="I19" s="111"/>
      <c r="J19" s="111"/>
      <c r="K19" s="111"/>
      <c r="L19" s="111"/>
      <c r="M19" s="111"/>
      <c r="N19" s="208">
        <v>12</v>
      </c>
      <c r="O19" s="111"/>
      <c r="P19" s="111"/>
      <c r="Q19" s="111"/>
      <c r="R19" s="111"/>
      <c r="S19" s="111"/>
      <c r="T19" s="111"/>
      <c r="U19" s="111"/>
      <c r="V19" s="111"/>
      <c r="W19" s="111">
        <f>-Z17*0.12</f>
        <v>-3600</v>
      </c>
      <c r="X19" s="111"/>
      <c r="Y19" s="111"/>
      <c r="Z19" s="111"/>
      <c r="AA19" s="111">
        <f>-W19</f>
        <v>3600</v>
      </c>
      <c r="AB19" s="112">
        <v>12</v>
      </c>
      <c r="AC19" s="111"/>
      <c r="AD19" s="111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x14ac:dyDescent="0.25">
      <c r="A20" s="108">
        <v>43480</v>
      </c>
      <c r="B20" s="109" t="s">
        <v>135</v>
      </c>
      <c r="C20" s="110">
        <v>13</v>
      </c>
      <c r="D20" s="92"/>
      <c r="E20" s="111"/>
      <c r="F20" s="111"/>
      <c r="G20" s="111"/>
      <c r="H20" s="111"/>
      <c r="I20" s="111"/>
      <c r="J20" s="111"/>
      <c r="K20" s="111"/>
      <c r="L20" s="111"/>
      <c r="M20" s="111"/>
      <c r="N20" s="208">
        <v>13</v>
      </c>
      <c r="O20" s="111"/>
      <c r="P20" s="111"/>
      <c r="Q20" s="111"/>
      <c r="R20" s="111"/>
      <c r="S20" s="111"/>
      <c r="T20" s="111"/>
      <c r="U20" s="111"/>
      <c r="V20" s="111">
        <f>-AA19*0.141</f>
        <v>-507.59999999999997</v>
      </c>
      <c r="W20" s="111"/>
      <c r="X20" s="111"/>
      <c r="Y20" s="111"/>
      <c r="Z20" s="111"/>
      <c r="AA20" s="111"/>
      <c r="AB20" s="112">
        <v>13</v>
      </c>
      <c r="AC20" s="111">
        <f>-V20</f>
        <v>507.59999999999997</v>
      </c>
      <c r="AD20" s="111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x14ac:dyDescent="0.25">
      <c r="A21" s="108" t="s">
        <v>132</v>
      </c>
      <c r="B21" s="109" t="s">
        <v>136</v>
      </c>
      <c r="C21" s="110">
        <v>14</v>
      </c>
      <c r="D21" s="92"/>
      <c r="E21" s="111"/>
      <c r="F21" s="111"/>
      <c r="G21" s="111"/>
      <c r="H21" s="111"/>
      <c r="I21" s="111"/>
      <c r="J21" s="111">
        <v>10500</v>
      </c>
      <c r="K21" s="111"/>
      <c r="L21" s="111"/>
      <c r="M21" s="111">
        <v>-10500</v>
      </c>
      <c r="N21" s="208">
        <v>14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>
        <v>14</v>
      </c>
      <c r="AC21" s="111"/>
      <c r="AD21" s="111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x14ac:dyDescent="0.25">
      <c r="A22" s="108">
        <v>43484</v>
      </c>
      <c r="B22" s="109" t="s">
        <v>49</v>
      </c>
      <c r="C22" s="110">
        <v>15</v>
      </c>
      <c r="D22" s="92"/>
      <c r="E22" s="111"/>
      <c r="F22" s="111"/>
      <c r="G22" s="111"/>
      <c r="H22" s="111">
        <v>3500</v>
      </c>
      <c r="I22" s="111"/>
      <c r="J22" s="111"/>
      <c r="K22" s="111"/>
      <c r="L22" s="111"/>
      <c r="M22" s="111">
        <v>-3500</v>
      </c>
      <c r="N22" s="208">
        <v>15</v>
      </c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>
        <v>15</v>
      </c>
      <c r="AC22" s="111"/>
      <c r="AD22" s="111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x14ac:dyDescent="0.25">
      <c r="A23" s="108">
        <v>43489</v>
      </c>
      <c r="B23" s="109" t="s">
        <v>130</v>
      </c>
      <c r="C23" s="110">
        <v>16</v>
      </c>
      <c r="D23" s="92"/>
      <c r="E23" s="111"/>
      <c r="F23" s="111"/>
      <c r="G23" s="111"/>
      <c r="H23" s="111"/>
      <c r="I23" s="111"/>
      <c r="J23" s="111"/>
      <c r="K23" s="111"/>
      <c r="L23" s="111"/>
      <c r="M23" s="111">
        <v>-48950</v>
      </c>
      <c r="N23" s="208">
        <v>16</v>
      </c>
      <c r="O23" s="111">
        <v>48950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2">
        <v>16</v>
      </c>
      <c r="AC23" s="111"/>
      <c r="AD23" s="111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x14ac:dyDescent="0.25">
      <c r="A24" s="108">
        <v>43496</v>
      </c>
      <c r="B24" s="109" t="s">
        <v>137</v>
      </c>
      <c r="C24" s="110">
        <v>17</v>
      </c>
      <c r="D24" s="92"/>
      <c r="E24" s="111"/>
      <c r="F24" s="111"/>
      <c r="G24" s="111">
        <v>107500</v>
      </c>
      <c r="H24" s="111"/>
      <c r="I24" s="111"/>
      <c r="J24" s="111"/>
      <c r="K24" s="111"/>
      <c r="L24" s="111"/>
      <c r="M24" s="111"/>
      <c r="N24" s="208">
        <v>17</v>
      </c>
      <c r="O24" s="111"/>
      <c r="P24" s="111"/>
      <c r="Q24" s="111"/>
      <c r="R24" s="111">
        <v>-21500</v>
      </c>
      <c r="S24" s="111"/>
      <c r="T24" s="111"/>
      <c r="U24" s="111"/>
      <c r="V24" s="111"/>
      <c r="W24" s="111"/>
      <c r="X24" s="111">
        <v>-86000</v>
      </c>
      <c r="Y24" s="111"/>
      <c r="Z24" s="111"/>
      <c r="AA24" s="111"/>
      <c r="AB24" s="112">
        <v>17</v>
      </c>
      <c r="AC24" s="111"/>
      <c r="AD24" s="111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x14ac:dyDescent="0.25">
      <c r="A25" s="108">
        <v>43496</v>
      </c>
      <c r="B25" s="109" t="s">
        <v>56</v>
      </c>
      <c r="C25" s="110">
        <v>18</v>
      </c>
      <c r="D25" s="92"/>
      <c r="E25" s="111"/>
      <c r="F25" s="111"/>
      <c r="G25" s="111"/>
      <c r="H25" s="111">
        <v>-3500</v>
      </c>
      <c r="I25" s="111"/>
      <c r="J25" s="111"/>
      <c r="K25" s="111"/>
      <c r="L25" s="111"/>
      <c r="M25" s="111">
        <v>-17550</v>
      </c>
      <c r="N25" s="208">
        <v>18</v>
      </c>
      <c r="O25" s="111"/>
      <c r="P25" s="111"/>
      <c r="Q25" s="111">
        <v>-11450</v>
      </c>
      <c r="R25" s="111"/>
      <c r="S25" s="111"/>
      <c r="T25" s="111"/>
      <c r="U25" s="111"/>
      <c r="V25" s="111"/>
      <c r="W25" s="111"/>
      <c r="X25" s="111"/>
      <c r="Y25" s="111"/>
      <c r="Z25" s="111">
        <v>32500</v>
      </c>
      <c r="AA25" s="111"/>
      <c r="AB25" s="112">
        <v>18</v>
      </c>
      <c r="AC25" s="111"/>
      <c r="AD25" s="111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x14ac:dyDescent="0.25">
      <c r="A26" s="108">
        <v>43496</v>
      </c>
      <c r="B26" s="109" t="s">
        <v>7</v>
      </c>
      <c r="C26" s="110">
        <v>19</v>
      </c>
      <c r="D26" s="92"/>
      <c r="E26" s="111"/>
      <c r="F26" s="111"/>
      <c r="G26" s="111"/>
      <c r="H26" s="111"/>
      <c r="I26" s="111"/>
      <c r="J26" s="111"/>
      <c r="K26" s="111"/>
      <c r="L26" s="111"/>
      <c r="M26" s="111"/>
      <c r="N26" s="208">
        <v>19</v>
      </c>
      <c r="O26" s="111"/>
      <c r="P26" s="111"/>
      <c r="Q26" s="111"/>
      <c r="R26" s="111"/>
      <c r="S26" s="111"/>
      <c r="T26" s="111"/>
      <c r="U26" s="111">
        <f>-Z25*0.141</f>
        <v>-4582.5</v>
      </c>
      <c r="V26" s="111"/>
      <c r="W26" s="111"/>
      <c r="X26" s="111"/>
      <c r="Y26" s="111"/>
      <c r="Z26" s="111"/>
      <c r="AA26" s="111"/>
      <c r="AB26" s="112">
        <v>19</v>
      </c>
      <c r="AC26" s="111">
        <f>-U26</f>
        <v>4582.5</v>
      </c>
      <c r="AD26" s="111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x14ac:dyDescent="0.25">
      <c r="A27" s="108">
        <v>43496</v>
      </c>
      <c r="B27" s="109" t="s">
        <v>22</v>
      </c>
      <c r="C27" s="110">
        <v>20</v>
      </c>
      <c r="D27" s="92"/>
      <c r="E27" s="111"/>
      <c r="F27" s="111"/>
      <c r="G27" s="111"/>
      <c r="H27" s="111"/>
      <c r="I27" s="111"/>
      <c r="J27" s="111"/>
      <c r="K27" s="111"/>
      <c r="L27" s="111"/>
      <c r="M27" s="111"/>
      <c r="N27" s="208">
        <v>20</v>
      </c>
      <c r="O27" s="111"/>
      <c r="P27" s="111"/>
      <c r="Q27" s="111"/>
      <c r="R27" s="111"/>
      <c r="S27" s="111"/>
      <c r="T27" s="111"/>
      <c r="U27" s="111"/>
      <c r="V27" s="111"/>
      <c r="W27" s="111">
        <f>-AA27</f>
        <v>-3900</v>
      </c>
      <c r="X27" s="111"/>
      <c r="Y27" s="111"/>
      <c r="Z27" s="111"/>
      <c r="AA27" s="111">
        <f>Z25*0.12</f>
        <v>3900</v>
      </c>
      <c r="AB27" s="112">
        <v>20</v>
      </c>
      <c r="AC27" s="111"/>
      <c r="AD27" s="111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x14ac:dyDescent="0.25">
      <c r="A28" s="108">
        <v>43496</v>
      </c>
      <c r="B28" s="109" t="s">
        <v>135</v>
      </c>
      <c r="C28" s="110">
        <v>21</v>
      </c>
      <c r="D28" s="92"/>
      <c r="E28" s="111"/>
      <c r="F28" s="111"/>
      <c r="G28" s="111"/>
      <c r="H28" s="111"/>
      <c r="I28" s="111"/>
      <c r="J28" s="111"/>
      <c r="K28" s="111"/>
      <c r="L28" s="111"/>
      <c r="M28" s="111"/>
      <c r="N28" s="208">
        <v>21</v>
      </c>
      <c r="O28" s="111"/>
      <c r="P28" s="111"/>
      <c r="Q28" s="111"/>
      <c r="R28" s="111"/>
      <c r="S28" s="111"/>
      <c r="T28" s="111"/>
      <c r="U28" s="111"/>
      <c r="V28" s="111">
        <f>-AC28</f>
        <v>-549.9</v>
      </c>
      <c r="W28" s="111"/>
      <c r="X28" s="111"/>
      <c r="Y28" s="111"/>
      <c r="Z28" s="111"/>
      <c r="AA28" s="111"/>
      <c r="AB28" s="112">
        <v>21</v>
      </c>
      <c r="AC28" s="111">
        <f>AA27*0.141</f>
        <v>549.9</v>
      </c>
      <c r="AD28" s="111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x14ac:dyDescent="0.25">
      <c r="A29" s="113">
        <v>43496</v>
      </c>
      <c r="B29" s="94" t="s">
        <v>136</v>
      </c>
      <c r="C29" s="114">
        <v>22</v>
      </c>
      <c r="D29" s="95"/>
      <c r="E29" s="115"/>
      <c r="F29" s="115"/>
      <c r="G29" s="115"/>
      <c r="H29" s="115"/>
      <c r="I29" s="115"/>
      <c r="J29" s="115">
        <v>11450</v>
      </c>
      <c r="K29" s="115"/>
      <c r="L29" s="115"/>
      <c r="M29" s="115">
        <v>-11450</v>
      </c>
      <c r="N29" s="209">
        <v>22</v>
      </c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6">
        <v>22</v>
      </c>
      <c r="AC29" s="115"/>
      <c r="AD29" s="115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2" spans="1:55" x14ac:dyDescent="0.25">
      <c r="B32" s="43"/>
    </row>
    <row r="33" spans="3:51" x14ac:dyDescent="0.25">
      <c r="C33" s="43"/>
      <c r="D33" s="117"/>
      <c r="E33" s="96"/>
      <c r="F33" s="96"/>
      <c r="G33" s="96"/>
      <c r="H33" s="96"/>
      <c r="I33" s="96"/>
      <c r="J33" s="96"/>
      <c r="K33" s="96"/>
    </row>
    <row r="34" spans="3:51" x14ac:dyDescent="0.25">
      <c r="C34" s="43"/>
      <c r="D34" s="117"/>
      <c r="E34" s="96"/>
      <c r="F34" s="96"/>
      <c r="G34" s="96"/>
      <c r="H34" s="96"/>
      <c r="I34" s="96"/>
      <c r="J34" s="96"/>
      <c r="K34" s="96"/>
    </row>
    <row r="35" spans="3:51" x14ac:dyDescent="0.25">
      <c r="C35" s="43"/>
      <c r="D35" s="96"/>
      <c r="E35" s="96"/>
      <c r="F35" s="96"/>
      <c r="G35" s="96"/>
      <c r="H35" s="96"/>
      <c r="I35" s="96"/>
      <c r="J35" s="96"/>
      <c r="K35" s="96"/>
      <c r="AU35" s="118"/>
      <c r="AY35" s="118"/>
    </row>
    <row r="36" spans="3:51" x14ac:dyDescent="0.25">
      <c r="AU36" s="118"/>
      <c r="AW36" s="118"/>
    </row>
    <row r="37" spans="3:51" x14ac:dyDescent="0.25">
      <c r="AU37" s="118"/>
    </row>
    <row r="38" spans="3:51" x14ac:dyDescent="0.25">
      <c r="AU38" s="118"/>
    </row>
    <row r="39" spans="3:51" x14ac:dyDescent="0.25">
      <c r="AU39" s="118"/>
    </row>
  </sheetData>
  <mergeCells count="3">
    <mergeCell ref="AB4:AB7"/>
    <mergeCell ref="N4:N7"/>
    <mergeCell ref="C4:C7"/>
  </mergeCells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9.3</oddHeader>
    <oddFooter>&amp;CSide &amp;P av &amp;N</oddFooter>
  </headerFooter>
  <colBreaks count="3" manualBreakCount="3">
    <brk id="13" max="1048575" man="1"/>
    <brk id="27" max="1048575" man="1"/>
    <brk id="4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9"/>
  <sheetViews>
    <sheetView showGridLines="0" tabSelected="1" topLeftCell="A13" zoomScaleNormal="100" workbookViewId="0">
      <selection activeCell="I26" sqref="I26"/>
    </sheetView>
  </sheetViews>
  <sheetFormatPr baseColWidth="10" defaultRowHeight="15.75" x14ac:dyDescent="0.25"/>
  <cols>
    <col min="1" max="1" width="6.7109375" style="97" bestFit="1" customWidth="1"/>
    <col min="2" max="2" width="19.85546875" style="38" bestFit="1" customWidth="1"/>
    <col min="3" max="3" width="3.7109375" style="38" customWidth="1"/>
    <col min="4" max="4" width="4.42578125" style="38" bestFit="1" customWidth="1"/>
    <col min="5" max="14" width="10.5703125" style="77" customWidth="1"/>
    <col min="15" max="15" width="3.7109375" style="77" bestFit="1" customWidth="1"/>
    <col min="16" max="28" width="10.5703125" style="77" customWidth="1"/>
    <col min="29" max="29" width="3.7109375" style="77" bestFit="1" customWidth="1"/>
    <col min="30" max="31" width="10.5703125" style="77" customWidth="1"/>
    <col min="32" max="43" width="9.7109375" style="77" customWidth="1"/>
    <col min="44" max="44" width="3.28515625" style="77" customWidth="1"/>
    <col min="45" max="52" width="9.7109375" style="77" customWidth="1"/>
    <col min="53" max="53" width="9.7109375" style="119" customWidth="1"/>
    <col min="54" max="56" width="9.7109375" style="38" customWidth="1"/>
    <col min="57" max="57" width="10.42578125" style="38" customWidth="1"/>
    <col min="58" max="58" width="8.85546875" style="38" customWidth="1"/>
    <col min="59" max="16384" width="11.42578125" style="38"/>
  </cols>
  <sheetData>
    <row r="1" spans="1:53" x14ac:dyDescent="0.25">
      <c r="A1" s="132" t="s">
        <v>152</v>
      </c>
    </row>
    <row r="2" spans="1:53" x14ac:dyDescent="0.25">
      <c r="A2" s="97" t="s">
        <v>57</v>
      </c>
    </row>
    <row r="3" spans="1:53" s="185" customFormat="1" ht="15" customHeight="1" x14ac:dyDescent="0.25">
      <c r="A3" s="214"/>
      <c r="B3" s="220"/>
      <c r="C3" s="217" t="s">
        <v>58</v>
      </c>
      <c r="D3" s="275" t="s">
        <v>46</v>
      </c>
      <c r="E3" s="214">
        <v>1230</v>
      </c>
      <c r="F3" s="214">
        <v>1250</v>
      </c>
      <c r="G3" s="217">
        <v>10010</v>
      </c>
      <c r="H3" s="214">
        <v>10015</v>
      </c>
      <c r="I3" s="214">
        <v>10024</v>
      </c>
      <c r="J3" s="214">
        <v>1570</v>
      </c>
      <c r="K3" s="214">
        <v>1900</v>
      </c>
      <c r="L3" s="214">
        <v>1950</v>
      </c>
      <c r="M3" s="214">
        <v>2050</v>
      </c>
      <c r="N3" s="214">
        <v>2060</v>
      </c>
      <c r="O3" s="275" t="s">
        <v>46</v>
      </c>
      <c r="P3" s="214">
        <v>2240</v>
      </c>
      <c r="Q3" s="214">
        <v>2380</v>
      </c>
      <c r="R3" s="217">
        <v>2600</v>
      </c>
      <c r="S3" s="214">
        <v>2770</v>
      </c>
      <c r="T3" s="214">
        <v>2780</v>
      </c>
      <c r="U3" s="214">
        <v>2940</v>
      </c>
      <c r="V3" s="214">
        <v>3100</v>
      </c>
      <c r="W3" s="214">
        <v>5000</v>
      </c>
      <c r="X3" s="214">
        <v>5100</v>
      </c>
      <c r="Y3" s="214">
        <v>5400</v>
      </c>
      <c r="Z3" s="214">
        <v>5420</v>
      </c>
      <c r="AA3" s="214">
        <v>6010</v>
      </c>
      <c r="AB3" s="214">
        <v>7090</v>
      </c>
      <c r="AC3" s="272" t="s">
        <v>46</v>
      </c>
      <c r="AD3" s="214">
        <v>7790</v>
      </c>
      <c r="AE3" s="214">
        <v>8150</v>
      </c>
    </row>
    <row r="4" spans="1:53" s="185" customFormat="1" ht="15" x14ac:dyDescent="0.25">
      <c r="A4" s="221"/>
      <c r="B4" s="222"/>
      <c r="C4" s="218" t="s">
        <v>68</v>
      </c>
      <c r="D4" s="276"/>
      <c r="E4" s="211" t="s">
        <v>47</v>
      </c>
      <c r="F4" s="211" t="s">
        <v>48</v>
      </c>
      <c r="G4" s="218" t="s">
        <v>223</v>
      </c>
      <c r="H4" s="211" t="s">
        <v>224</v>
      </c>
      <c r="I4" s="211" t="s">
        <v>223</v>
      </c>
      <c r="J4" s="211" t="s">
        <v>36</v>
      </c>
      <c r="K4" s="211" t="s">
        <v>50</v>
      </c>
      <c r="L4" s="211" t="s">
        <v>227</v>
      </c>
      <c r="M4" s="211" t="s">
        <v>228</v>
      </c>
      <c r="N4" s="211" t="s">
        <v>228</v>
      </c>
      <c r="O4" s="276"/>
      <c r="P4" s="211" t="s">
        <v>139</v>
      </c>
      <c r="Q4" s="211" t="s">
        <v>179</v>
      </c>
      <c r="R4" s="218" t="s">
        <v>210</v>
      </c>
      <c r="S4" s="211" t="s">
        <v>181</v>
      </c>
      <c r="T4" s="211" t="s">
        <v>186</v>
      </c>
      <c r="U4" s="211" t="s">
        <v>190</v>
      </c>
      <c r="V4" s="211" t="s">
        <v>230</v>
      </c>
      <c r="W4" s="211" t="s">
        <v>56</v>
      </c>
      <c r="X4" s="211" t="s">
        <v>192</v>
      </c>
      <c r="Y4" s="211" t="s">
        <v>193</v>
      </c>
      <c r="Z4" s="211" t="s">
        <v>220</v>
      </c>
      <c r="AA4" s="211" t="s">
        <v>232</v>
      </c>
      <c r="AB4" s="215" t="s">
        <v>235</v>
      </c>
      <c r="AC4" s="273"/>
      <c r="AD4" s="215" t="s">
        <v>236</v>
      </c>
      <c r="AE4" s="211" t="s">
        <v>238</v>
      </c>
    </row>
    <row r="5" spans="1:53" s="185" customFormat="1" ht="15" x14ac:dyDescent="0.25">
      <c r="A5" s="221"/>
      <c r="B5" s="222"/>
      <c r="C5" s="222"/>
      <c r="D5" s="276"/>
      <c r="E5" s="211"/>
      <c r="F5" s="211"/>
      <c r="G5" s="218" t="s">
        <v>59</v>
      </c>
      <c r="H5" s="211" t="s">
        <v>225</v>
      </c>
      <c r="I5" s="211" t="s">
        <v>60</v>
      </c>
      <c r="J5" s="211" t="s">
        <v>61</v>
      </c>
      <c r="K5" s="211"/>
      <c r="L5" s="211" t="s">
        <v>178</v>
      </c>
      <c r="M5" s="211" t="s">
        <v>206</v>
      </c>
      <c r="N5" s="211" t="s">
        <v>229</v>
      </c>
      <c r="O5" s="276"/>
      <c r="P5" s="211"/>
      <c r="Q5" s="211" t="s">
        <v>180</v>
      </c>
      <c r="R5" s="211" t="s">
        <v>183</v>
      </c>
      <c r="S5" s="211" t="s">
        <v>184</v>
      </c>
      <c r="T5" s="211" t="s">
        <v>187</v>
      </c>
      <c r="U5" s="211" t="s">
        <v>191</v>
      </c>
      <c r="V5" s="211" t="s">
        <v>231</v>
      </c>
      <c r="W5" s="211"/>
      <c r="X5" s="211" t="s">
        <v>189</v>
      </c>
      <c r="Y5" s="211" t="s">
        <v>194</v>
      </c>
      <c r="Z5" s="211" t="s">
        <v>221</v>
      </c>
      <c r="AA5" s="211" t="s">
        <v>233</v>
      </c>
      <c r="AB5" s="215" t="s">
        <v>234</v>
      </c>
      <c r="AC5" s="273"/>
      <c r="AD5" s="215" t="s">
        <v>237</v>
      </c>
      <c r="AE5" s="211" t="s">
        <v>234</v>
      </c>
    </row>
    <row r="6" spans="1:53" s="185" customFormat="1" ht="15" x14ac:dyDescent="0.25">
      <c r="A6" s="223" t="s">
        <v>20</v>
      </c>
      <c r="B6" s="224" t="s">
        <v>3</v>
      </c>
      <c r="C6" s="216"/>
      <c r="D6" s="277"/>
      <c r="E6" s="212"/>
      <c r="F6" s="212"/>
      <c r="G6" s="212"/>
      <c r="H6" s="212" t="s">
        <v>226</v>
      </c>
      <c r="I6" s="212"/>
      <c r="J6" s="212"/>
      <c r="K6" s="212"/>
      <c r="L6" s="212" t="s">
        <v>183</v>
      </c>
      <c r="M6" s="212"/>
      <c r="N6" s="212"/>
      <c r="O6" s="277"/>
      <c r="P6" s="212"/>
      <c r="Q6" s="212"/>
      <c r="R6" s="212"/>
      <c r="S6" s="212" t="s">
        <v>185</v>
      </c>
      <c r="T6" s="212" t="s">
        <v>217</v>
      </c>
      <c r="U6" s="212" t="s">
        <v>189</v>
      </c>
      <c r="V6" s="212"/>
      <c r="W6" s="212"/>
      <c r="X6" s="212"/>
      <c r="Y6" s="212" t="s">
        <v>185</v>
      </c>
      <c r="Z6" s="212" t="s">
        <v>222</v>
      </c>
      <c r="AA6" s="212"/>
      <c r="AB6" s="213"/>
      <c r="AC6" s="274"/>
      <c r="AD6" s="213" t="s">
        <v>234</v>
      </c>
      <c r="AE6" s="212"/>
    </row>
    <row r="7" spans="1:53" x14ac:dyDescent="0.25">
      <c r="A7" s="120">
        <v>38706</v>
      </c>
      <c r="B7" s="87" t="s">
        <v>75</v>
      </c>
      <c r="C7" s="105">
        <v>514</v>
      </c>
      <c r="D7" s="105">
        <v>1</v>
      </c>
      <c r="E7" s="121">
        <v>285000</v>
      </c>
      <c r="F7" s="122">
        <v>84000</v>
      </c>
      <c r="G7" s="122">
        <f>69000-42000</f>
        <v>27000</v>
      </c>
      <c r="H7" s="122">
        <f>131000-116000</f>
        <v>15000</v>
      </c>
      <c r="I7" s="122"/>
      <c r="J7" s="122">
        <v>10000</v>
      </c>
      <c r="K7" s="122">
        <v>1000</v>
      </c>
      <c r="L7" s="122">
        <f>73500-49000</f>
        <v>24500</v>
      </c>
      <c r="M7" s="122">
        <v>-125000</v>
      </c>
      <c r="N7" s="122">
        <v>150000</v>
      </c>
      <c r="O7" s="207">
        <v>1</v>
      </c>
      <c r="P7" s="122">
        <v>-86000</v>
      </c>
      <c r="Q7" s="122">
        <f>897026-980063</f>
        <v>-83037</v>
      </c>
      <c r="R7" s="122">
        <f>49000-73500</f>
        <v>-24500</v>
      </c>
      <c r="S7" s="122">
        <f>38950-50455</f>
        <v>-11505</v>
      </c>
      <c r="T7" s="122">
        <v>-5922</v>
      </c>
      <c r="U7" s="122">
        <v>-42000</v>
      </c>
      <c r="V7" s="122">
        <v>-922295</v>
      </c>
      <c r="W7" s="122">
        <v>350000</v>
      </c>
      <c r="X7" s="122">
        <v>42000</v>
      </c>
      <c r="Y7" s="122">
        <v>56377</v>
      </c>
      <c r="Z7" s="122">
        <v>7840</v>
      </c>
      <c r="AA7" s="122"/>
      <c r="AB7" s="121">
        <v>56450</v>
      </c>
      <c r="AC7" s="107">
        <v>1</v>
      </c>
      <c r="AD7" s="122">
        <v>182143</v>
      </c>
      <c r="AE7" s="122">
        <v>8949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</row>
    <row r="8" spans="1:53" x14ac:dyDescent="0.25">
      <c r="A8" s="108">
        <v>43820</v>
      </c>
      <c r="B8" s="93" t="s">
        <v>56</v>
      </c>
      <c r="C8" s="110">
        <v>515</v>
      </c>
      <c r="D8" s="110">
        <v>2</v>
      </c>
      <c r="E8" s="123"/>
      <c r="F8" s="124"/>
      <c r="G8" s="124"/>
      <c r="H8" s="124"/>
      <c r="I8" s="124"/>
      <c r="J8" s="124">
        <v>-10000</v>
      </c>
      <c r="K8" s="124"/>
      <c r="L8" s="124"/>
      <c r="M8" s="124"/>
      <c r="N8" s="124"/>
      <c r="O8" s="208">
        <v>2</v>
      </c>
      <c r="P8" s="124"/>
      <c r="Q8" s="124">
        <v>-57900</v>
      </c>
      <c r="R8" s="124">
        <v>-12100</v>
      </c>
      <c r="S8" s="124"/>
      <c r="T8" s="124"/>
      <c r="U8" s="124"/>
      <c r="V8" s="124"/>
      <c r="W8" s="124">
        <v>80000</v>
      </c>
      <c r="X8" s="124"/>
      <c r="Y8" s="124"/>
      <c r="Z8" s="124"/>
      <c r="AA8" s="124"/>
      <c r="AB8" s="123"/>
      <c r="AC8" s="112">
        <v>2</v>
      </c>
      <c r="AD8" s="124"/>
      <c r="AE8" s="124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</row>
    <row r="9" spans="1:53" x14ac:dyDescent="0.25">
      <c r="A9" s="108">
        <v>43820</v>
      </c>
      <c r="B9" s="93" t="s">
        <v>140</v>
      </c>
      <c r="C9" s="110">
        <v>516</v>
      </c>
      <c r="D9" s="110">
        <v>3</v>
      </c>
      <c r="E9" s="123"/>
      <c r="F9" s="124"/>
      <c r="G9" s="124"/>
      <c r="H9" s="124"/>
      <c r="I9" s="124"/>
      <c r="J9" s="124"/>
      <c r="K9" s="124"/>
      <c r="L9" s="124">
        <v>12100</v>
      </c>
      <c r="M9" s="124"/>
      <c r="N9" s="124"/>
      <c r="O9" s="208">
        <v>3</v>
      </c>
      <c r="P9" s="124"/>
      <c r="Q9" s="124">
        <v>-12100</v>
      </c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3"/>
      <c r="AC9" s="112">
        <v>3</v>
      </c>
      <c r="AD9" s="124"/>
      <c r="AE9" s="124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</row>
    <row r="10" spans="1:53" x14ac:dyDescent="0.25">
      <c r="A10" s="108">
        <v>43820</v>
      </c>
      <c r="B10" s="93" t="s">
        <v>7</v>
      </c>
      <c r="C10" s="110">
        <v>517</v>
      </c>
      <c r="D10" s="110">
        <v>4</v>
      </c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208">
        <v>4</v>
      </c>
      <c r="P10" s="124"/>
      <c r="Q10" s="124"/>
      <c r="R10" s="124"/>
      <c r="S10" s="124">
        <f>-Y10</f>
        <v>-11279.999999999998</v>
      </c>
      <c r="T10" s="124"/>
      <c r="U10" s="124"/>
      <c r="V10" s="124"/>
      <c r="W10" s="124"/>
      <c r="X10" s="124"/>
      <c r="Y10" s="124">
        <f>W8*0.141</f>
        <v>11279.999999999998</v>
      </c>
      <c r="Z10" s="124"/>
      <c r="AA10" s="124"/>
      <c r="AB10" s="123"/>
      <c r="AC10" s="112">
        <v>4</v>
      </c>
      <c r="AD10" s="124"/>
      <c r="AE10" s="124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</row>
    <row r="11" spans="1:53" x14ac:dyDescent="0.25">
      <c r="A11" s="108" t="s">
        <v>141</v>
      </c>
      <c r="B11" s="93" t="s">
        <v>117</v>
      </c>
      <c r="C11" s="110">
        <v>518</v>
      </c>
      <c r="D11" s="110">
        <v>5</v>
      </c>
      <c r="E11" s="123"/>
      <c r="F11" s="124"/>
      <c r="G11" s="124"/>
      <c r="H11" s="124"/>
      <c r="I11" s="124"/>
      <c r="J11" s="124"/>
      <c r="K11" s="124"/>
      <c r="L11" s="124"/>
      <c r="M11" s="124"/>
      <c r="N11" s="124"/>
      <c r="O11" s="208">
        <v>5</v>
      </c>
      <c r="P11" s="124"/>
      <c r="Q11" s="124"/>
      <c r="R11" s="124"/>
      <c r="S11" s="124"/>
      <c r="T11" s="124"/>
      <c r="U11" s="124">
        <f>-X11</f>
        <v>-9600</v>
      </c>
      <c r="V11" s="124"/>
      <c r="W11" s="124"/>
      <c r="X11" s="124">
        <f>W8*0.12</f>
        <v>9600</v>
      </c>
      <c r="Y11" s="124"/>
      <c r="Z11" s="124"/>
      <c r="AA11" s="124"/>
      <c r="AB11" s="123"/>
      <c r="AC11" s="112">
        <v>5</v>
      </c>
      <c r="AD11" s="124"/>
      <c r="AE11" s="124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</row>
    <row r="12" spans="1:53" x14ac:dyDescent="0.25">
      <c r="A12" s="108" t="s">
        <v>141</v>
      </c>
      <c r="B12" s="93" t="s">
        <v>142</v>
      </c>
      <c r="C12" s="110">
        <v>519</v>
      </c>
      <c r="D12" s="110">
        <v>6</v>
      </c>
      <c r="E12" s="123"/>
      <c r="F12" s="124"/>
      <c r="G12" s="124"/>
      <c r="H12" s="124"/>
      <c r="I12" s="124"/>
      <c r="J12" s="124"/>
      <c r="K12" s="124"/>
      <c r="L12" s="124"/>
      <c r="M12" s="124"/>
      <c r="N12" s="124"/>
      <c r="O12" s="208">
        <v>6</v>
      </c>
      <c r="P12" s="124"/>
      <c r="Q12" s="124"/>
      <c r="R12" s="124"/>
      <c r="S12" s="124"/>
      <c r="T12" s="124">
        <f>-Y12</f>
        <v>-1353.6</v>
      </c>
      <c r="U12" s="124"/>
      <c r="V12" s="124"/>
      <c r="W12" s="124"/>
      <c r="X12" s="124"/>
      <c r="Y12" s="124">
        <f>X11*0.141</f>
        <v>1353.6</v>
      </c>
      <c r="Z12" s="124"/>
      <c r="AA12" s="124"/>
      <c r="AB12" s="123"/>
      <c r="AC12" s="112">
        <v>6</v>
      </c>
      <c r="AD12" s="124"/>
      <c r="AE12" s="124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x14ac:dyDescent="0.25">
      <c r="A13" s="108">
        <v>43826</v>
      </c>
      <c r="B13" s="93" t="s">
        <v>143</v>
      </c>
      <c r="C13" s="110">
        <v>520</v>
      </c>
      <c r="D13" s="110">
        <v>7</v>
      </c>
      <c r="E13" s="123"/>
      <c r="F13" s="124"/>
      <c r="G13" s="124"/>
      <c r="H13" s="124"/>
      <c r="I13" s="124">
        <v>8600</v>
      </c>
      <c r="J13" s="124"/>
      <c r="K13" s="124"/>
      <c r="L13" s="124"/>
      <c r="M13" s="124"/>
      <c r="N13" s="124"/>
      <c r="O13" s="208">
        <v>7</v>
      </c>
      <c r="P13" s="124"/>
      <c r="Q13" s="124"/>
      <c r="R13" s="124"/>
      <c r="S13" s="124"/>
      <c r="T13" s="124"/>
      <c r="U13" s="124"/>
      <c r="V13" s="124">
        <v>-8600</v>
      </c>
      <c r="W13" s="124"/>
      <c r="X13" s="124"/>
      <c r="Y13" s="124"/>
      <c r="Z13" s="124"/>
      <c r="AA13" s="124"/>
      <c r="AB13" s="123"/>
      <c r="AC13" s="112">
        <v>7</v>
      </c>
      <c r="AD13" s="124"/>
      <c r="AE13" s="124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x14ac:dyDescent="0.25">
      <c r="A14" s="108">
        <v>43826</v>
      </c>
      <c r="B14" s="93" t="s">
        <v>160</v>
      </c>
      <c r="C14" s="110">
        <v>521</v>
      </c>
      <c r="D14" s="110">
        <v>8</v>
      </c>
      <c r="E14" s="123"/>
      <c r="F14" s="124"/>
      <c r="G14" s="124"/>
      <c r="H14" s="124"/>
      <c r="I14" s="124"/>
      <c r="J14" s="124"/>
      <c r="K14" s="124"/>
      <c r="L14" s="124"/>
      <c r="M14" s="124"/>
      <c r="N14" s="124"/>
      <c r="O14" s="208">
        <v>8</v>
      </c>
      <c r="P14" s="124"/>
      <c r="Q14" s="124">
        <v>-3650</v>
      </c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3"/>
      <c r="AC14" s="112">
        <v>8</v>
      </c>
      <c r="AD14" s="124">
        <v>3650</v>
      </c>
      <c r="AE14" s="124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x14ac:dyDescent="0.25">
      <c r="A15" s="108">
        <v>43827</v>
      </c>
      <c r="B15" s="93" t="s">
        <v>98</v>
      </c>
      <c r="C15" s="110">
        <v>522</v>
      </c>
      <c r="D15" s="110">
        <v>9</v>
      </c>
      <c r="E15" s="123"/>
      <c r="F15" s="124"/>
      <c r="G15" s="124"/>
      <c r="H15" s="124"/>
      <c r="I15" s="124"/>
      <c r="J15" s="124"/>
      <c r="K15" s="124"/>
      <c r="L15" s="124"/>
      <c r="M15" s="124"/>
      <c r="N15" s="124"/>
      <c r="O15" s="208">
        <v>9</v>
      </c>
      <c r="P15" s="124"/>
      <c r="Q15" s="124">
        <v>-2000</v>
      </c>
      <c r="R15" s="124"/>
      <c r="S15" s="124"/>
      <c r="T15" s="124"/>
      <c r="U15" s="124"/>
      <c r="V15" s="124"/>
      <c r="W15" s="124"/>
      <c r="X15" s="124"/>
      <c r="Y15" s="124"/>
      <c r="Z15" s="124">
        <v>2000</v>
      </c>
      <c r="AA15" s="124"/>
      <c r="AB15" s="123"/>
      <c r="AC15" s="112">
        <v>9</v>
      </c>
      <c r="AD15" s="124"/>
      <c r="AE15" s="124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x14ac:dyDescent="0.25">
      <c r="A16" s="108">
        <v>43827</v>
      </c>
      <c r="B16" s="93" t="s">
        <v>7</v>
      </c>
      <c r="C16" s="110">
        <v>523</v>
      </c>
      <c r="D16" s="110">
        <v>10</v>
      </c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208">
        <v>10</v>
      </c>
      <c r="P16" s="124"/>
      <c r="Q16" s="124"/>
      <c r="R16" s="124"/>
      <c r="S16" s="124">
        <f>-Z15*0.141</f>
        <v>-282</v>
      </c>
      <c r="T16" s="124"/>
      <c r="U16" s="124"/>
      <c r="V16" s="124"/>
      <c r="W16" s="124"/>
      <c r="X16" s="124"/>
      <c r="Y16" s="124">
        <f>Z15*0.141</f>
        <v>282</v>
      </c>
      <c r="Z16" s="124"/>
      <c r="AA16" s="124"/>
      <c r="AB16" s="123"/>
      <c r="AC16" s="112">
        <v>10</v>
      </c>
      <c r="AD16" s="124"/>
      <c r="AE16" s="124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x14ac:dyDescent="0.25">
      <c r="A17" s="125" t="s">
        <v>144</v>
      </c>
      <c r="B17" s="53" t="s">
        <v>145</v>
      </c>
      <c r="C17" s="100">
        <v>524</v>
      </c>
      <c r="D17" s="100">
        <v>11</v>
      </c>
      <c r="E17" s="126"/>
      <c r="F17" s="127"/>
      <c r="G17" s="127"/>
      <c r="H17" s="127"/>
      <c r="I17" s="127"/>
      <c r="J17" s="127"/>
      <c r="K17" s="127"/>
      <c r="L17" s="127"/>
      <c r="M17" s="127"/>
      <c r="N17" s="127"/>
      <c r="O17" s="225">
        <v>11</v>
      </c>
      <c r="P17" s="127"/>
      <c r="Q17" s="127">
        <v>-4875</v>
      </c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6"/>
      <c r="AC17" s="226">
        <v>11</v>
      </c>
      <c r="AD17" s="127"/>
      <c r="AE17" s="127">
        <v>4875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s="56" customFormat="1" ht="20.25" x14ac:dyDescent="0.3">
      <c r="A18" s="128"/>
      <c r="B18" s="129" t="s">
        <v>75</v>
      </c>
      <c r="C18" s="129"/>
      <c r="D18" s="129">
        <v>12</v>
      </c>
      <c r="E18" s="130">
        <f>SUM(E7:E17)</f>
        <v>285000</v>
      </c>
      <c r="F18" s="131">
        <f t="shared" ref="F18:N18" si="0">SUM(F7:F17)</f>
        <v>84000</v>
      </c>
      <c r="G18" s="131">
        <f t="shared" si="0"/>
        <v>27000</v>
      </c>
      <c r="H18" s="131">
        <f t="shared" si="0"/>
        <v>15000</v>
      </c>
      <c r="I18" s="131">
        <f t="shared" si="0"/>
        <v>8600</v>
      </c>
      <c r="J18" s="131">
        <f t="shared" si="0"/>
        <v>0</v>
      </c>
      <c r="K18" s="131">
        <f t="shared" si="0"/>
        <v>1000</v>
      </c>
      <c r="L18" s="131">
        <f t="shared" si="0"/>
        <v>36600</v>
      </c>
      <c r="M18" s="131">
        <f t="shared" si="0"/>
        <v>-125000</v>
      </c>
      <c r="N18" s="131">
        <f t="shared" si="0"/>
        <v>150000</v>
      </c>
      <c r="O18" s="131">
        <v>12</v>
      </c>
      <c r="P18" s="131">
        <f t="shared" ref="P18:AE18" si="1">SUM(P7:P17)</f>
        <v>-86000</v>
      </c>
      <c r="Q18" s="131">
        <f t="shared" si="1"/>
        <v>-163562</v>
      </c>
      <c r="R18" s="131">
        <f t="shared" si="1"/>
        <v>-36600</v>
      </c>
      <c r="S18" s="131">
        <f t="shared" si="1"/>
        <v>-23067</v>
      </c>
      <c r="T18" s="131">
        <f t="shared" si="1"/>
        <v>-7275.6</v>
      </c>
      <c r="U18" s="131">
        <f t="shared" si="1"/>
        <v>-51600</v>
      </c>
      <c r="V18" s="131">
        <f t="shared" si="1"/>
        <v>-930895</v>
      </c>
      <c r="W18" s="131">
        <f t="shared" si="1"/>
        <v>430000</v>
      </c>
      <c r="X18" s="131">
        <f t="shared" si="1"/>
        <v>51600</v>
      </c>
      <c r="Y18" s="131">
        <f t="shared" si="1"/>
        <v>69292.600000000006</v>
      </c>
      <c r="Z18" s="131">
        <f t="shared" si="1"/>
        <v>9840</v>
      </c>
      <c r="AA18" s="131">
        <f t="shared" si="1"/>
        <v>0</v>
      </c>
      <c r="AB18" s="130">
        <f t="shared" si="1"/>
        <v>56450</v>
      </c>
      <c r="AC18" s="131">
        <f>SUM(AC7:AC17)</f>
        <v>66</v>
      </c>
      <c r="AD18" s="131">
        <f t="shared" si="1"/>
        <v>185793</v>
      </c>
      <c r="AE18" s="131">
        <f t="shared" si="1"/>
        <v>13824</v>
      </c>
    </row>
    <row r="20" spans="1:53" x14ac:dyDescent="0.25">
      <c r="A20" s="186" t="s">
        <v>162</v>
      </c>
      <c r="B20" s="181"/>
      <c r="C20" s="181"/>
      <c r="D20" s="181"/>
      <c r="E20" s="180"/>
      <c r="F20" s="180"/>
      <c r="G20" s="180"/>
      <c r="H20" s="180"/>
      <c r="I20" s="135"/>
      <c r="J20" s="184" t="s">
        <v>69</v>
      </c>
      <c r="K20" s="135"/>
      <c r="L20" s="135"/>
      <c r="M20" s="135"/>
      <c r="N20" s="135"/>
      <c r="P20" s="183" t="s">
        <v>40</v>
      </c>
      <c r="Q20" s="135" t="s">
        <v>150</v>
      </c>
      <c r="R20" s="135"/>
      <c r="S20" s="135"/>
      <c r="T20" s="135"/>
      <c r="U20" s="135"/>
      <c r="V20" s="135"/>
      <c r="W20" s="180"/>
      <c r="X20" s="180"/>
      <c r="Y20" s="180"/>
    </row>
    <row r="21" spans="1:53" x14ac:dyDescent="0.25">
      <c r="A21" s="186" t="s">
        <v>163</v>
      </c>
      <c r="B21" s="181"/>
      <c r="C21" s="181"/>
      <c r="D21" s="181"/>
      <c r="E21" s="180"/>
      <c r="F21" s="180"/>
      <c r="G21" s="180"/>
      <c r="H21" s="180"/>
      <c r="I21" s="135"/>
      <c r="J21" s="134">
        <v>10010</v>
      </c>
      <c r="K21" s="135" t="s">
        <v>70</v>
      </c>
      <c r="L21" s="135"/>
      <c r="M21" s="135"/>
      <c r="N21" s="135">
        <f>G18</f>
        <v>27000</v>
      </c>
      <c r="P21" s="135"/>
      <c r="Q21" s="135" t="s">
        <v>148</v>
      </c>
      <c r="R21" s="135"/>
      <c r="S21" s="135"/>
      <c r="T21" s="135"/>
      <c r="U21" s="135"/>
      <c r="V21" s="135"/>
      <c r="W21" s="180"/>
      <c r="X21" s="180"/>
      <c r="Y21" s="180"/>
    </row>
    <row r="22" spans="1:53" x14ac:dyDescent="0.25">
      <c r="A22" s="186"/>
      <c r="B22" s="181"/>
      <c r="C22" s="181"/>
      <c r="D22" s="181"/>
      <c r="E22" s="180"/>
      <c r="F22" s="180"/>
      <c r="G22" s="180"/>
      <c r="H22" s="180"/>
      <c r="I22" s="135"/>
      <c r="J22" s="134">
        <v>10015</v>
      </c>
      <c r="K22" s="135" t="s">
        <v>71</v>
      </c>
      <c r="L22" s="135"/>
      <c r="M22" s="135"/>
      <c r="N22" s="136">
        <f>H18</f>
        <v>15000</v>
      </c>
      <c r="P22" s="135"/>
      <c r="Q22" s="135" t="s">
        <v>149</v>
      </c>
      <c r="R22" s="135"/>
      <c r="S22" s="135"/>
      <c r="T22" s="135"/>
      <c r="U22" s="135"/>
      <c r="V22" s="135"/>
      <c r="W22" s="180"/>
      <c r="X22" s="180"/>
      <c r="Y22" s="180"/>
    </row>
    <row r="23" spans="1:53" x14ac:dyDescent="0.25">
      <c r="A23" s="190"/>
      <c r="B23" s="180"/>
      <c r="C23" s="180"/>
      <c r="D23" s="180"/>
      <c r="E23" s="187"/>
      <c r="F23" s="187"/>
      <c r="G23" s="180"/>
      <c r="H23" s="180"/>
      <c r="I23" s="135"/>
      <c r="J23" s="134">
        <v>10024</v>
      </c>
      <c r="K23" s="135" t="s">
        <v>72</v>
      </c>
      <c r="L23" s="135"/>
      <c r="M23" s="135"/>
      <c r="N23" s="135">
        <f>I18</f>
        <v>8600</v>
      </c>
      <c r="P23" s="182"/>
      <c r="Q23" s="135"/>
      <c r="R23" s="135"/>
      <c r="S23" s="135"/>
      <c r="T23" s="188"/>
      <c r="U23" s="135"/>
      <c r="V23" s="135"/>
      <c r="W23" s="180"/>
      <c r="X23" s="180"/>
      <c r="Y23" s="180"/>
    </row>
    <row r="24" spans="1:53" x14ac:dyDescent="0.25">
      <c r="A24" s="191" t="s">
        <v>164</v>
      </c>
      <c r="B24" s="180"/>
      <c r="C24" s="180"/>
      <c r="D24" s="180"/>
      <c r="E24" s="180"/>
      <c r="F24" s="180">
        <f>285000*0.2*4/12</f>
        <v>19000</v>
      </c>
      <c r="G24" s="180"/>
      <c r="H24" s="180"/>
      <c r="I24" s="135"/>
      <c r="J24" s="135"/>
      <c r="K24" s="135"/>
      <c r="L24" s="135"/>
      <c r="M24" s="135"/>
      <c r="N24" s="137">
        <f>SUM(N21:N23)</f>
        <v>50600</v>
      </c>
      <c r="P24" s="183" t="s">
        <v>92</v>
      </c>
      <c r="Q24" s="135" t="s">
        <v>241</v>
      </c>
      <c r="R24" s="135"/>
      <c r="S24" s="135"/>
      <c r="T24" s="135"/>
      <c r="U24" s="135"/>
      <c r="V24" s="135"/>
      <c r="W24" s="180"/>
      <c r="X24" s="181"/>
      <c r="Y24" s="180"/>
    </row>
    <row r="25" spans="1:53" x14ac:dyDescent="0.25">
      <c r="A25" s="191" t="s">
        <v>165</v>
      </c>
      <c r="B25" s="180"/>
      <c r="C25" s="180"/>
      <c r="D25" s="180"/>
      <c r="E25" s="180"/>
      <c r="F25" s="180">
        <f>84000*0.1*4/12</f>
        <v>2800</v>
      </c>
      <c r="G25" s="180"/>
      <c r="H25" s="180"/>
      <c r="I25" s="185"/>
      <c r="J25" s="185"/>
      <c r="K25" s="185"/>
      <c r="L25" s="185"/>
      <c r="M25" s="185"/>
      <c r="N25" s="135"/>
      <c r="P25" s="135"/>
      <c r="Q25" s="135" t="s">
        <v>242</v>
      </c>
      <c r="R25" s="135"/>
      <c r="S25" s="135"/>
      <c r="T25" s="135"/>
      <c r="U25" s="135"/>
      <c r="V25" s="135"/>
      <c r="W25" s="180"/>
      <c r="X25" s="180"/>
      <c r="Y25" s="180"/>
    </row>
    <row r="26" spans="1:53" x14ac:dyDescent="0.25">
      <c r="A26" s="191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35"/>
      <c r="N26" s="135"/>
      <c r="P26" s="135"/>
      <c r="Q26" s="135"/>
      <c r="R26" s="135"/>
      <c r="S26" s="135"/>
      <c r="T26" s="135"/>
      <c r="U26" s="135"/>
      <c r="V26" s="135"/>
      <c r="W26" s="180"/>
      <c r="X26" s="180"/>
      <c r="Y26" s="180"/>
    </row>
    <row r="27" spans="1:53" x14ac:dyDescent="0.25">
      <c r="P27" s="183" t="s">
        <v>24</v>
      </c>
      <c r="Q27" s="135" t="s">
        <v>166</v>
      </c>
      <c r="R27" s="135"/>
      <c r="S27" s="135"/>
      <c r="T27" s="135"/>
      <c r="U27" s="135"/>
      <c r="V27" s="135"/>
      <c r="W27" s="180"/>
      <c r="X27" s="180"/>
      <c r="Y27" s="180"/>
    </row>
    <row r="28" spans="1:53" x14ac:dyDescent="0.25">
      <c r="P28" s="135"/>
      <c r="Q28" s="135" t="s">
        <v>151</v>
      </c>
      <c r="R28" s="135"/>
      <c r="S28" s="135"/>
      <c r="T28" s="135"/>
      <c r="U28" s="135"/>
      <c r="V28" s="135"/>
      <c r="W28" s="135"/>
      <c r="X28" s="135"/>
      <c r="Y28" s="135"/>
    </row>
    <row r="30" spans="1:53" x14ac:dyDescent="0.25">
      <c r="A30" s="97" t="s">
        <v>0</v>
      </c>
      <c r="D30" s="43"/>
      <c r="E30" s="96"/>
      <c r="F30" s="96"/>
      <c r="G30" s="96"/>
      <c r="H30" s="96"/>
      <c r="I30" s="96"/>
      <c r="J30" s="96"/>
      <c r="K30" s="96"/>
      <c r="L30" s="96"/>
    </row>
    <row r="31" spans="1:53" x14ac:dyDescent="0.25">
      <c r="A31" s="140"/>
      <c r="B31" s="141"/>
      <c r="C31" s="40"/>
      <c r="D31" s="41"/>
      <c r="E31" s="230" t="s">
        <v>239</v>
      </c>
      <c r="F31" s="270" t="s">
        <v>76</v>
      </c>
      <c r="G31" s="271"/>
      <c r="H31" s="206" t="s">
        <v>77</v>
      </c>
      <c r="I31" s="206" t="s">
        <v>78</v>
      </c>
      <c r="P31" s="142" t="s">
        <v>147</v>
      </c>
      <c r="Q31" s="38"/>
      <c r="R31" s="38"/>
      <c r="S31" s="38"/>
      <c r="T31" s="38"/>
      <c r="U31" s="133" t="s">
        <v>146</v>
      </c>
      <c r="AX31" s="119"/>
      <c r="AY31" s="38"/>
      <c r="AZ31" s="38"/>
      <c r="BA31" s="38"/>
    </row>
    <row r="32" spans="1:53" x14ac:dyDescent="0.25">
      <c r="A32" s="192" t="s">
        <v>79</v>
      </c>
      <c r="B32" s="143" t="s">
        <v>9</v>
      </c>
      <c r="C32" s="46"/>
      <c r="D32" s="47"/>
      <c r="E32" s="102" t="s">
        <v>240</v>
      </c>
      <c r="F32" s="204"/>
      <c r="G32" s="205"/>
      <c r="H32" s="102"/>
      <c r="I32" s="102"/>
      <c r="P32" s="38"/>
      <c r="Q32" s="38"/>
      <c r="R32" s="38"/>
      <c r="S32" s="38"/>
      <c r="T32" s="38"/>
      <c r="AX32" s="119"/>
      <c r="AY32" s="38"/>
      <c r="AZ32" s="38"/>
      <c r="BA32" s="38"/>
    </row>
    <row r="33" spans="1:53" x14ac:dyDescent="0.25">
      <c r="A33" s="144">
        <v>1230</v>
      </c>
      <c r="B33" s="145" t="s">
        <v>47</v>
      </c>
      <c r="C33" s="146"/>
      <c r="D33" s="146"/>
      <c r="E33" s="121">
        <f>E18</f>
        <v>285000</v>
      </c>
      <c r="F33" s="122">
        <f>-F24</f>
        <v>-19000</v>
      </c>
      <c r="G33" s="122"/>
      <c r="H33" s="122"/>
      <c r="I33" s="122">
        <f>SUM(E33:H33)</f>
        <v>266000</v>
      </c>
      <c r="P33" s="147" t="s">
        <v>80</v>
      </c>
      <c r="Q33" s="135"/>
      <c r="R33" s="135"/>
      <c r="S33" s="135"/>
      <c r="T33" s="135"/>
      <c r="U33" s="148" t="s">
        <v>81</v>
      </c>
      <c r="AX33" s="119"/>
      <c r="AY33" s="38"/>
      <c r="AZ33" s="38"/>
      <c r="BA33" s="38"/>
    </row>
    <row r="34" spans="1:53" x14ac:dyDescent="0.25">
      <c r="A34" s="150">
        <v>1250</v>
      </c>
      <c r="B34" s="151" t="s">
        <v>48</v>
      </c>
      <c r="C34" s="152"/>
      <c r="D34" s="152"/>
      <c r="E34" s="123">
        <f>F18</f>
        <v>84000</v>
      </c>
      <c r="F34" s="124"/>
      <c r="G34" s="124">
        <f>-F25</f>
        <v>-2800</v>
      </c>
      <c r="H34" s="124"/>
      <c r="I34" s="124">
        <f>SUM(E34:G34)</f>
        <v>81200</v>
      </c>
      <c r="P34" s="77" t="s">
        <v>64</v>
      </c>
      <c r="S34" s="139">
        <f>-H46</f>
        <v>930895</v>
      </c>
      <c r="U34" s="77" t="s">
        <v>47</v>
      </c>
      <c r="X34" s="77">
        <f>I33</f>
        <v>266000</v>
      </c>
      <c r="AX34" s="119"/>
      <c r="AY34" s="38"/>
      <c r="AZ34" s="38"/>
      <c r="BA34" s="38"/>
    </row>
    <row r="35" spans="1:53" x14ac:dyDescent="0.25">
      <c r="A35" s="150">
        <v>1500</v>
      </c>
      <c r="B35" s="153" t="s">
        <v>82</v>
      </c>
      <c r="C35" s="152"/>
      <c r="D35" s="152"/>
      <c r="E35" s="123">
        <f>N24</f>
        <v>50600</v>
      </c>
      <c r="F35" s="124"/>
      <c r="G35" s="124"/>
      <c r="H35" s="124"/>
      <c r="I35" s="124">
        <f t="shared" ref="I35:I45" si="2">SUM(E35:G35)</f>
        <v>50600</v>
      </c>
      <c r="U35" s="77" t="s">
        <v>48</v>
      </c>
      <c r="X35" s="76">
        <f>I34</f>
        <v>81200</v>
      </c>
      <c r="AX35" s="119"/>
      <c r="AY35" s="38"/>
      <c r="AZ35" s="38"/>
      <c r="BA35" s="38"/>
    </row>
    <row r="36" spans="1:53" x14ac:dyDescent="0.25">
      <c r="A36" s="150">
        <v>1900</v>
      </c>
      <c r="B36" s="153" t="s">
        <v>50</v>
      </c>
      <c r="C36" s="152"/>
      <c r="D36" s="152"/>
      <c r="E36" s="123">
        <f>K18</f>
        <v>1000</v>
      </c>
      <c r="F36" s="124"/>
      <c r="G36" s="124"/>
      <c r="H36" s="124"/>
      <c r="I36" s="124">
        <f t="shared" si="2"/>
        <v>1000</v>
      </c>
      <c r="P36" s="148" t="s">
        <v>83</v>
      </c>
      <c r="U36" s="77" t="s">
        <v>82</v>
      </c>
      <c r="X36" s="76">
        <f>I35</f>
        <v>50600</v>
      </c>
      <c r="AX36" s="119"/>
      <c r="AY36" s="38"/>
      <c r="AZ36" s="38"/>
      <c r="BA36" s="38"/>
    </row>
    <row r="37" spans="1:53" x14ac:dyDescent="0.25">
      <c r="A37" s="150">
        <v>1950</v>
      </c>
      <c r="B37" s="153" t="s">
        <v>84</v>
      </c>
      <c r="C37" s="152"/>
      <c r="D37" s="152"/>
      <c r="E37" s="123">
        <f>L18</f>
        <v>36600</v>
      </c>
      <c r="F37" s="124"/>
      <c r="G37" s="124"/>
      <c r="H37" s="124"/>
      <c r="I37" s="124">
        <f t="shared" si="2"/>
        <v>36600</v>
      </c>
      <c r="P37" s="77" t="s">
        <v>121</v>
      </c>
      <c r="S37" s="77">
        <f>H47+H48+H49+H50</f>
        <v>560732.6</v>
      </c>
      <c r="U37" s="77" t="s">
        <v>85</v>
      </c>
      <c r="X37" s="77">
        <f>I36+I37</f>
        <v>37600</v>
      </c>
      <c r="Y37" s="149" t="s">
        <v>86</v>
      </c>
      <c r="AX37" s="119"/>
      <c r="AY37" s="38"/>
      <c r="AZ37" s="38"/>
      <c r="BA37" s="38"/>
    </row>
    <row r="38" spans="1:53" x14ac:dyDescent="0.25">
      <c r="A38" s="150">
        <v>2050</v>
      </c>
      <c r="B38" s="153" t="s">
        <v>62</v>
      </c>
      <c r="C38" s="152"/>
      <c r="D38" s="152"/>
      <c r="E38" s="123">
        <f>M18</f>
        <v>-125000</v>
      </c>
      <c r="F38" s="124">
        <f>E39</f>
        <v>150000</v>
      </c>
      <c r="G38" s="124">
        <f>-G55</f>
        <v>-92295.400000000023</v>
      </c>
      <c r="H38" s="124"/>
      <c r="I38" s="124">
        <f t="shared" si="2"/>
        <v>-67295.400000000023</v>
      </c>
      <c r="P38" s="77" t="s">
        <v>65</v>
      </c>
      <c r="S38" s="76">
        <f>H51</f>
        <v>21800</v>
      </c>
      <c r="U38" s="77" t="s">
        <v>87</v>
      </c>
      <c r="X38" s="138">
        <f>SUM(X34:X37)</f>
        <v>435400</v>
      </c>
      <c r="AX38" s="119"/>
      <c r="AY38" s="38"/>
      <c r="AZ38" s="38"/>
      <c r="BA38" s="38"/>
    </row>
    <row r="39" spans="1:53" x14ac:dyDescent="0.25">
      <c r="A39" s="150">
        <v>2060</v>
      </c>
      <c r="B39" s="153" t="s">
        <v>63</v>
      </c>
      <c r="C39" s="152"/>
      <c r="D39" s="152"/>
      <c r="E39" s="123">
        <f>N18</f>
        <v>150000</v>
      </c>
      <c r="F39" s="124">
        <f>-E39</f>
        <v>-150000</v>
      </c>
      <c r="G39" s="124"/>
      <c r="H39" s="124"/>
      <c r="I39" s="124"/>
      <c r="P39" s="77" t="s">
        <v>66</v>
      </c>
      <c r="S39" s="76">
        <f>H52</f>
        <v>56450</v>
      </c>
      <c r="AX39" s="119"/>
      <c r="AY39" s="38"/>
      <c r="AZ39" s="38"/>
      <c r="BA39" s="38"/>
    </row>
    <row r="40" spans="1:53" x14ac:dyDescent="0.25">
      <c r="A40" s="150">
        <v>2240</v>
      </c>
      <c r="B40" s="153" t="s">
        <v>139</v>
      </c>
      <c r="C40" s="152"/>
      <c r="D40" s="152"/>
      <c r="E40" s="123">
        <f>P18</f>
        <v>-86000</v>
      </c>
      <c r="F40" s="124"/>
      <c r="G40" s="124"/>
      <c r="H40" s="124"/>
      <c r="I40" s="124">
        <f t="shared" si="2"/>
        <v>-86000</v>
      </c>
      <c r="P40" s="77" t="s">
        <v>74</v>
      </c>
      <c r="S40" s="76">
        <f>H53</f>
        <v>185793</v>
      </c>
      <c r="U40" s="148" t="s">
        <v>88</v>
      </c>
      <c r="AX40" s="119"/>
      <c r="AY40" s="38"/>
      <c r="AZ40" s="38"/>
      <c r="BA40" s="38"/>
    </row>
    <row r="41" spans="1:53" x14ac:dyDescent="0.25">
      <c r="A41" s="150">
        <v>2380</v>
      </c>
      <c r="B41" s="153" t="s">
        <v>52</v>
      </c>
      <c r="C41" s="152"/>
      <c r="D41" s="152"/>
      <c r="E41" s="123">
        <f>Q18</f>
        <v>-163562</v>
      </c>
      <c r="F41" s="124"/>
      <c r="G41" s="124"/>
      <c r="H41" s="124"/>
      <c r="I41" s="124">
        <f t="shared" si="2"/>
        <v>-163562</v>
      </c>
      <c r="P41" s="77" t="s">
        <v>67</v>
      </c>
      <c r="S41" s="77">
        <f>H54</f>
        <v>13824</v>
      </c>
      <c r="U41" s="77" t="s">
        <v>51</v>
      </c>
      <c r="X41" s="139">
        <f>-I38</f>
        <v>67295.400000000023</v>
      </c>
      <c r="AX41" s="119"/>
      <c r="AY41" s="38"/>
      <c r="AZ41" s="38"/>
      <c r="BA41" s="38"/>
    </row>
    <row r="42" spans="1:53" x14ac:dyDescent="0.25">
      <c r="A42" s="150">
        <v>2600</v>
      </c>
      <c r="B42" s="153" t="s">
        <v>5</v>
      </c>
      <c r="C42" s="152"/>
      <c r="D42" s="152"/>
      <c r="E42" s="123">
        <f>R18</f>
        <v>-36600</v>
      </c>
      <c r="F42" s="124"/>
      <c r="G42" s="124"/>
      <c r="H42" s="124"/>
      <c r="I42" s="124">
        <f t="shared" si="2"/>
        <v>-36600</v>
      </c>
      <c r="P42" s="77" t="s">
        <v>89</v>
      </c>
      <c r="S42" s="138">
        <f>SUM(S37:S41)</f>
        <v>838599.6</v>
      </c>
      <c r="AX42" s="119"/>
      <c r="AY42" s="38"/>
      <c r="AZ42" s="38"/>
      <c r="BA42" s="38"/>
    </row>
    <row r="43" spans="1:53" x14ac:dyDescent="0.25">
      <c r="A43" s="150">
        <v>2770</v>
      </c>
      <c r="B43" s="153" t="s">
        <v>90</v>
      </c>
      <c r="C43" s="152"/>
      <c r="D43" s="152"/>
      <c r="E43" s="123">
        <f>S18</f>
        <v>-23067</v>
      </c>
      <c r="F43" s="124"/>
      <c r="G43" s="124"/>
      <c r="H43" s="124"/>
      <c r="I43" s="124">
        <f t="shared" si="2"/>
        <v>-23067</v>
      </c>
      <c r="U43" s="148" t="s">
        <v>91</v>
      </c>
      <c r="AX43" s="119"/>
      <c r="AY43" s="38"/>
      <c r="AZ43" s="38"/>
      <c r="BA43" s="38"/>
    </row>
    <row r="44" spans="1:53" x14ac:dyDescent="0.25">
      <c r="A44" s="150">
        <v>2780</v>
      </c>
      <c r="B44" s="153" t="s">
        <v>93</v>
      </c>
      <c r="C44" s="152"/>
      <c r="D44" s="152"/>
      <c r="E44" s="123">
        <f>T18</f>
        <v>-7275.6</v>
      </c>
      <c r="F44" s="124"/>
      <c r="G44" s="124"/>
      <c r="H44" s="124"/>
      <c r="I44" s="124">
        <f t="shared" si="2"/>
        <v>-7275.6</v>
      </c>
      <c r="P44" s="77" t="s">
        <v>77</v>
      </c>
      <c r="S44" s="139">
        <f>S34-S42</f>
        <v>92295.400000000023</v>
      </c>
      <c r="U44" s="77" t="s">
        <v>139</v>
      </c>
      <c r="X44" s="77">
        <f>-I40</f>
        <v>86000</v>
      </c>
      <c r="AX44" s="119"/>
      <c r="AY44" s="38"/>
      <c r="AZ44" s="38"/>
      <c r="BA44" s="38"/>
    </row>
    <row r="45" spans="1:53" x14ac:dyDescent="0.25">
      <c r="A45" s="150">
        <v>2940</v>
      </c>
      <c r="B45" s="153" t="s">
        <v>117</v>
      </c>
      <c r="C45" s="152"/>
      <c r="D45" s="152"/>
      <c r="E45" s="123">
        <f>U18</f>
        <v>-51600</v>
      </c>
      <c r="F45" s="124"/>
      <c r="G45" s="124"/>
      <c r="H45" s="124"/>
      <c r="I45" s="124">
        <f t="shared" si="2"/>
        <v>-51600</v>
      </c>
      <c r="U45" s="77" t="s">
        <v>52</v>
      </c>
      <c r="X45" s="76">
        <f>-I41</f>
        <v>163562</v>
      </c>
      <c r="AX45" s="119"/>
      <c r="AY45" s="38"/>
      <c r="AZ45" s="38"/>
      <c r="BA45" s="38"/>
    </row>
    <row r="46" spans="1:53" x14ac:dyDescent="0.25">
      <c r="A46" s="150">
        <v>3100</v>
      </c>
      <c r="B46" s="153" t="s">
        <v>64</v>
      </c>
      <c r="C46" s="152"/>
      <c r="D46" s="152"/>
      <c r="E46" s="123">
        <f>V18</f>
        <v>-930895</v>
      </c>
      <c r="F46" s="124"/>
      <c r="G46" s="124"/>
      <c r="H46" s="124">
        <f>SUM(E46:G46)</f>
        <v>-930895</v>
      </c>
      <c r="I46" s="124"/>
      <c r="U46" s="77" t="s">
        <v>94</v>
      </c>
      <c r="X46" s="76">
        <f>-I42-I43-I44</f>
        <v>66942.600000000006</v>
      </c>
      <c r="Y46" s="149" t="s">
        <v>95</v>
      </c>
      <c r="AX46" s="119"/>
      <c r="AY46" s="38"/>
      <c r="AZ46" s="38"/>
      <c r="BA46" s="38"/>
    </row>
    <row r="47" spans="1:53" x14ac:dyDescent="0.25">
      <c r="A47" s="150">
        <v>5000</v>
      </c>
      <c r="B47" s="153" t="s">
        <v>56</v>
      </c>
      <c r="C47" s="152"/>
      <c r="D47" s="152"/>
      <c r="E47" s="123">
        <f>W18</f>
        <v>430000</v>
      </c>
      <c r="F47" s="124"/>
      <c r="G47" s="124"/>
      <c r="H47" s="124">
        <f t="shared" ref="H47:H54" si="3">SUM(E47:G47)</f>
        <v>430000</v>
      </c>
      <c r="I47" s="124"/>
      <c r="P47" s="77" t="s">
        <v>161</v>
      </c>
      <c r="U47" s="77" t="s">
        <v>8</v>
      </c>
      <c r="X47" s="77">
        <f>-I45</f>
        <v>51600</v>
      </c>
      <c r="AX47" s="119"/>
      <c r="AY47" s="38"/>
      <c r="AZ47" s="38"/>
      <c r="BA47" s="38"/>
    </row>
    <row r="48" spans="1:53" x14ac:dyDescent="0.25">
      <c r="A48" s="150">
        <v>5100</v>
      </c>
      <c r="B48" s="153" t="s">
        <v>22</v>
      </c>
      <c r="C48" s="152"/>
      <c r="D48" s="152"/>
      <c r="E48" s="123">
        <f>X18</f>
        <v>51600</v>
      </c>
      <c r="F48" s="124"/>
      <c r="G48" s="124"/>
      <c r="H48" s="124">
        <f t="shared" si="3"/>
        <v>51600</v>
      </c>
      <c r="I48" s="124"/>
      <c r="P48" s="154" t="s">
        <v>56</v>
      </c>
      <c r="S48" s="77">
        <f>H47</f>
        <v>430000</v>
      </c>
      <c r="U48" s="77" t="s">
        <v>96</v>
      </c>
      <c r="X48" s="138">
        <f>SUM(X44:X47)</f>
        <v>368104.6</v>
      </c>
      <c r="AX48" s="119"/>
      <c r="AY48" s="38"/>
      <c r="AZ48" s="38"/>
      <c r="BA48" s="38"/>
    </row>
    <row r="49" spans="1:53" x14ac:dyDescent="0.25">
      <c r="A49" s="150">
        <v>5400</v>
      </c>
      <c r="B49" s="153" t="s">
        <v>7</v>
      </c>
      <c r="C49" s="152"/>
      <c r="D49" s="152"/>
      <c r="E49" s="123">
        <f>Y18</f>
        <v>69292.600000000006</v>
      </c>
      <c r="F49" s="124"/>
      <c r="G49" s="124"/>
      <c r="H49" s="124">
        <f t="shared" si="3"/>
        <v>69292.600000000006</v>
      </c>
      <c r="I49" s="124"/>
      <c r="P49" s="154" t="s">
        <v>22</v>
      </c>
      <c r="S49" s="77">
        <f>H48</f>
        <v>51600</v>
      </c>
      <c r="AX49" s="119"/>
      <c r="AY49" s="38"/>
      <c r="AZ49" s="38"/>
      <c r="BA49" s="38"/>
    </row>
    <row r="50" spans="1:53" x14ac:dyDescent="0.25">
      <c r="A50" s="150">
        <v>5420</v>
      </c>
      <c r="B50" s="153" t="s">
        <v>73</v>
      </c>
      <c r="C50" s="152"/>
      <c r="D50" s="152"/>
      <c r="E50" s="123">
        <f>Z18</f>
        <v>9840</v>
      </c>
      <c r="F50" s="124"/>
      <c r="G50" s="124"/>
      <c r="H50" s="124">
        <f t="shared" si="3"/>
        <v>9840</v>
      </c>
      <c r="I50" s="124"/>
      <c r="P50" s="154" t="s">
        <v>7</v>
      </c>
      <c r="S50" s="77">
        <f>H49</f>
        <v>69292.600000000006</v>
      </c>
      <c r="U50" s="77" t="s">
        <v>97</v>
      </c>
      <c r="X50" s="139">
        <f>X41+X48</f>
        <v>435400</v>
      </c>
      <c r="AX50" s="119"/>
      <c r="AY50" s="38"/>
      <c r="AZ50" s="38"/>
      <c r="BA50" s="38"/>
    </row>
    <row r="51" spans="1:53" x14ac:dyDescent="0.25">
      <c r="A51" s="150">
        <v>6010</v>
      </c>
      <c r="B51" s="153" t="s">
        <v>65</v>
      </c>
      <c r="C51" s="152"/>
      <c r="D51" s="152"/>
      <c r="E51" s="123"/>
      <c r="F51" s="124">
        <f>F24</f>
        <v>19000</v>
      </c>
      <c r="G51" s="124">
        <f>F25</f>
        <v>2800</v>
      </c>
      <c r="H51" s="124">
        <f t="shared" si="3"/>
        <v>21800</v>
      </c>
      <c r="I51" s="124"/>
      <c r="P51" s="154" t="s">
        <v>98</v>
      </c>
      <c r="S51" s="77">
        <f>H50</f>
        <v>9840</v>
      </c>
      <c r="AX51" s="119"/>
      <c r="AY51" s="38"/>
      <c r="AZ51" s="38"/>
      <c r="BA51" s="38"/>
    </row>
    <row r="52" spans="1:53" x14ac:dyDescent="0.25">
      <c r="A52" s="150">
        <v>7090</v>
      </c>
      <c r="B52" s="153" t="s">
        <v>66</v>
      </c>
      <c r="C52" s="152"/>
      <c r="D52" s="152"/>
      <c r="E52" s="123">
        <f>AB18</f>
        <v>56450</v>
      </c>
      <c r="F52" s="124"/>
      <c r="G52" s="124"/>
      <c r="H52" s="124">
        <f t="shared" si="3"/>
        <v>56450</v>
      </c>
      <c r="I52" s="124"/>
      <c r="S52" s="138">
        <f>SUM(S48:S51)</f>
        <v>560732.6</v>
      </c>
      <c r="AX52" s="119"/>
      <c r="AY52" s="38"/>
      <c r="AZ52" s="38"/>
      <c r="BA52" s="38"/>
    </row>
    <row r="53" spans="1:53" x14ac:dyDescent="0.25">
      <c r="A53" s="150">
        <v>7790</v>
      </c>
      <c r="B53" s="153" t="s">
        <v>74</v>
      </c>
      <c r="C53" s="152"/>
      <c r="D53" s="152"/>
      <c r="E53" s="123">
        <f>AD18</f>
        <v>185793</v>
      </c>
      <c r="F53" s="124"/>
      <c r="G53" s="124"/>
      <c r="H53" s="124">
        <f t="shared" si="3"/>
        <v>185793</v>
      </c>
      <c r="I53" s="124"/>
      <c r="AX53" s="119"/>
      <c r="AY53" s="38"/>
      <c r="AZ53" s="38"/>
      <c r="BA53" s="38"/>
    </row>
    <row r="54" spans="1:53" x14ac:dyDescent="0.25">
      <c r="A54" s="150">
        <v>8150</v>
      </c>
      <c r="B54" s="153" t="s">
        <v>67</v>
      </c>
      <c r="C54" s="152"/>
      <c r="D54" s="152"/>
      <c r="E54" s="123">
        <f>AE18</f>
        <v>13824</v>
      </c>
      <c r="F54" s="124"/>
      <c r="G54" s="124"/>
      <c r="H54" s="124">
        <f t="shared" si="3"/>
        <v>13824</v>
      </c>
      <c r="I54" s="124"/>
      <c r="AX54" s="119"/>
      <c r="AY54" s="38"/>
      <c r="AZ54" s="38"/>
      <c r="BA54" s="38"/>
    </row>
    <row r="55" spans="1:53" x14ac:dyDescent="0.25">
      <c r="A55" s="155">
        <v>8800</v>
      </c>
      <c r="B55" s="156" t="s">
        <v>77</v>
      </c>
      <c r="C55" s="157"/>
      <c r="D55" s="157"/>
      <c r="E55" s="158"/>
      <c r="F55" s="227"/>
      <c r="G55" s="227">
        <f>-SUM(H46:H54)</f>
        <v>92295.400000000023</v>
      </c>
      <c r="H55" s="227">
        <f>G55</f>
        <v>92295.400000000023</v>
      </c>
      <c r="I55" s="227"/>
      <c r="AX55" s="119"/>
      <c r="AY55" s="38"/>
      <c r="AZ55" s="38"/>
      <c r="BA55" s="38"/>
    </row>
    <row r="56" spans="1:53" s="56" customFormat="1" ht="20.25" x14ac:dyDescent="0.3">
      <c r="A56" s="159"/>
      <c r="B56" s="160"/>
      <c r="C56" s="161"/>
      <c r="D56" s="161"/>
      <c r="E56" s="130">
        <f>SUM(E33:E54)</f>
        <v>0</v>
      </c>
      <c r="F56" s="131">
        <f t="shared" ref="F56:I56" si="4">SUM(F33:F55)</f>
        <v>0</v>
      </c>
      <c r="G56" s="131">
        <f t="shared" si="4"/>
        <v>0</v>
      </c>
      <c r="H56" s="131">
        <f t="shared" si="4"/>
        <v>0</v>
      </c>
      <c r="I56" s="131">
        <f t="shared" si="4"/>
        <v>0</v>
      </c>
      <c r="J56" s="135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3"/>
    </row>
    <row r="59" spans="1:53" s="185" customFormat="1" ht="15" x14ac:dyDescent="0.25"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82"/>
      <c r="AF59" s="135"/>
      <c r="AG59" s="135"/>
      <c r="AH59" s="188"/>
      <c r="AI59" s="135"/>
      <c r="AJ59" s="135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35"/>
      <c r="AW59" s="135"/>
      <c r="AX59" s="135"/>
      <c r="AY59" s="135"/>
      <c r="AZ59" s="135"/>
    </row>
  </sheetData>
  <mergeCells count="4">
    <mergeCell ref="F31:G31"/>
    <mergeCell ref="AC3:AC6"/>
    <mergeCell ref="D3:D6"/>
    <mergeCell ref="O3:O6"/>
  </mergeCells>
  <pageMargins left="0.19685039370078741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Header>&amp;COppgave 9.4</oddHeader>
    <oddFooter>&amp;CSide &amp;P av &amp;N</oddFooter>
  </headerFooter>
  <colBreaks count="3" manualBreakCount="3">
    <brk id="14" max="1048575" man="1"/>
    <brk id="28" max="1048575" man="1"/>
    <brk id="4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opLeftCell="A2" workbookViewId="0">
      <selection activeCell="J6" sqref="J5:J6"/>
    </sheetView>
  </sheetViews>
  <sheetFormatPr baseColWidth="10" defaultRowHeight="15.75" x14ac:dyDescent="0.25"/>
  <cols>
    <col min="1" max="1" width="6.42578125" style="38" customWidth="1"/>
    <col min="2" max="2" width="27.5703125" style="38" customWidth="1"/>
    <col min="3" max="3" width="9.7109375" style="38" customWidth="1"/>
    <col min="4" max="6" width="10.7109375" style="38" customWidth="1"/>
    <col min="7" max="11" width="10.28515625" style="38" customWidth="1"/>
    <col min="12" max="20" width="9.7109375" style="38" customWidth="1"/>
    <col min="21" max="16384" width="11.42578125" style="38"/>
  </cols>
  <sheetData>
    <row r="1" spans="1:7" x14ac:dyDescent="0.25">
      <c r="A1" s="142" t="s">
        <v>153</v>
      </c>
    </row>
    <row r="3" spans="1:7" x14ac:dyDescent="0.25">
      <c r="A3" s="38" t="s">
        <v>0</v>
      </c>
    </row>
    <row r="4" spans="1:7" x14ac:dyDescent="0.25">
      <c r="A4" s="63" t="s">
        <v>99</v>
      </c>
      <c r="B4" s="40"/>
      <c r="C4" s="40"/>
      <c r="D4" s="40" t="s">
        <v>13</v>
      </c>
      <c r="E4" s="40" t="s">
        <v>100</v>
      </c>
      <c r="F4" s="41"/>
    </row>
    <row r="5" spans="1:7" x14ac:dyDescent="0.25">
      <c r="A5" s="45"/>
      <c r="B5" s="46"/>
      <c r="C5" s="46"/>
      <c r="D5" s="46" t="s">
        <v>101</v>
      </c>
      <c r="E5" s="46"/>
      <c r="F5" s="47"/>
    </row>
    <row r="6" spans="1:7" x14ac:dyDescent="0.25">
      <c r="A6" s="39" t="s">
        <v>3</v>
      </c>
      <c r="B6" s="40"/>
      <c r="C6" s="40"/>
      <c r="D6" s="83" t="s">
        <v>9</v>
      </c>
      <c r="E6" s="65" t="s">
        <v>11</v>
      </c>
      <c r="F6" s="84" t="s">
        <v>102</v>
      </c>
    </row>
    <row r="7" spans="1:7" x14ac:dyDescent="0.25">
      <c r="A7" s="85"/>
      <c r="B7" s="46"/>
      <c r="C7" s="46"/>
      <c r="D7" s="85"/>
      <c r="E7" s="67" t="s">
        <v>10</v>
      </c>
      <c r="F7" s="86" t="s">
        <v>12</v>
      </c>
    </row>
    <row r="8" spans="1:7" x14ac:dyDescent="0.25">
      <c r="A8" s="69">
        <v>1</v>
      </c>
      <c r="B8" s="164" t="s">
        <v>4</v>
      </c>
      <c r="C8" s="164"/>
      <c r="D8" s="165">
        <v>5000</v>
      </c>
      <c r="E8" s="88">
        <v>102300</v>
      </c>
      <c r="F8" s="166"/>
    </row>
    <row r="9" spans="1:7" x14ac:dyDescent="0.25">
      <c r="A9" s="72">
        <v>2</v>
      </c>
      <c r="B9" s="73" t="s">
        <v>5</v>
      </c>
      <c r="C9" s="73"/>
      <c r="D9" s="167">
        <v>2600</v>
      </c>
      <c r="E9" s="92"/>
      <c r="F9" s="168">
        <v>31713</v>
      </c>
    </row>
    <row r="10" spans="1:7" x14ac:dyDescent="0.25">
      <c r="A10" s="72">
        <v>3</v>
      </c>
      <c r="B10" s="73" t="s">
        <v>6</v>
      </c>
      <c r="C10" s="73"/>
      <c r="D10" s="167">
        <v>2380</v>
      </c>
      <c r="E10" s="92"/>
      <c r="F10" s="168">
        <f>E8-F9</f>
        <v>70587</v>
      </c>
      <c r="G10" s="169"/>
    </row>
    <row r="11" spans="1:7" x14ac:dyDescent="0.25">
      <c r="A11" s="72"/>
      <c r="B11" s="73"/>
      <c r="C11" s="73"/>
      <c r="D11" s="167"/>
      <c r="E11" s="92"/>
      <c r="F11" s="168"/>
      <c r="G11" s="169"/>
    </row>
    <row r="12" spans="1:7" x14ac:dyDescent="0.25">
      <c r="A12" s="72">
        <v>4</v>
      </c>
      <c r="B12" s="73" t="s">
        <v>7</v>
      </c>
      <c r="C12" s="73"/>
      <c r="D12" s="167">
        <v>5400</v>
      </c>
      <c r="E12" s="92">
        <v>14424</v>
      </c>
      <c r="F12" s="168"/>
    </row>
    <row r="13" spans="1:7" x14ac:dyDescent="0.25">
      <c r="A13" s="72"/>
      <c r="B13" s="73"/>
      <c r="C13" s="73"/>
      <c r="D13" s="167">
        <v>2770</v>
      </c>
      <c r="E13" s="92"/>
      <c r="F13" s="168">
        <v>14424</v>
      </c>
    </row>
    <row r="14" spans="1:7" x14ac:dyDescent="0.25">
      <c r="A14" s="72">
        <v>5</v>
      </c>
      <c r="B14" s="73" t="s">
        <v>117</v>
      </c>
      <c r="C14" s="73"/>
      <c r="D14" s="167">
        <v>5100</v>
      </c>
      <c r="E14" s="92">
        <v>12276</v>
      </c>
      <c r="F14" s="168"/>
    </row>
    <row r="15" spans="1:7" x14ac:dyDescent="0.25">
      <c r="A15" s="72"/>
      <c r="B15" s="73"/>
      <c r="C15" s="73"/>
      <c r="D15" s="167">
        <v>2940</v>
      </c>
      <c r="E15" s="92"/>
      <c r="F15" s="168">
        <v>12276</v>
      </c>
    </row>
    <row r="16" spans="1:7" x14ac:dyDescent="0.25">
      <c r="A16" s="72">
        <v>6</v>
      </c>
      <c r="B16" s="73" t="s">
        <v>103</v>
      </c>
      <c r="C16" s="73"/>
      <c r="D16" s="167">
        <v>5400</v>
      </c>
      <c r="E16" s="92">
        <v>1731</v>
      </c>
      <c r="F16" s="168"/>
    </row>
    <row r="17" spans="1:11" x14ac:dyDescent="0.25">
      <c r="A17" s="170"/>
      <c r="B17" s="80"/>
      <c r="C17" s="80"/>
      <c r="D17" s="170">
        <v>2780</v>
      </c>
      <c r="E17" s="95"/>
      <c r="F17" s="171">
        <v>1731</v>
      </c>
    </row>
    <row r="19" spans="1:11" x14ac:dyDescent="0.25">
      <c r="A19" s="38" t="s">
        <v>40</v>
      </c>
    </row>
    <row r="20" spans="1:11" x14ac:dyDescent="0.25">
      <c r="A20" s="48" t="s">
        <v>20</v>
      </c>
      <c r="B20" s="41" t="s">
        <v>3</v>
      </c>
      <c r="C20" s="228">
        <v>1950</v>
      </c>
      <c r="D20" s="228">
        <v>2380</v>
      </c>
      <c r="E20" s="228">
        <v>2600</v>
      </c>
      <c r="F20" s="228">
        <v>2770</v>
      </c>
      <c r="G20" s="228">
        <v>2780</v>
      </c>
      <c r="H20" s="228">
        <v>2940</v>
      </c>
      <c r="I20" s="228">
        <v>5000</v>
      </c>
      <c r="J20" s="228">
        <v>5100</v>
      </c>
      <c r="K20" s="228">
        <v>5400</v>
      </c>
    </row>
    <row r="21" spans="1:11" x14ac:dyDescent="0.25">
      <c r="A21" s="53"/>
      <c r="B21" s="44"/>
      <c r="C21" s="196" t="s">
        <v>244</v>
      </c>
      <c r="D21" s="196" t="s">
        <v>179</v>
      </c>
      <c r="E21" s="196" t="s">
        <v>181</v>
      </c>
      <c r="F21" s="196" t="s">
        <v>181</v>
      </c>
      <c r="G21" s="196" t="s">
        <v>186</v>
      </c>
      <c r="H21" s="196" t="s">
        <v>190</v>
      </c>
      <c r="I21" s="196" t="s">
        <v>56</v>
      </c>
      <c r="J21" s="196" t="s">
        <v>192</v>
      </c>
      <c r="K21" s="196" t="s">
        <v>193</v>
      </c>
    </row>
    <row r="22" spans="1:11" x14ac:dyDescent="0.25">
      <c r="A22" s="53"/>
      <c r="B22" s="44"/>
      <c r="C22" s="196" t="s">
        <v>183</v>
      </c>
      <c r="D22" s="196" t="s">
        <v>180</v>
      </c>
      <c r="E22" s="196" t="s">
        <v>243</v>
      </c>
      <c r="F22" s="196" t="s">
        <v>184</v>
      </c>
      <c r="G22" s="196" t="s">
        <v>184</v>
      </c>
      <c r="H22" s="196" t="s">
        <v>191</v>
      </c>
      <c r="I22" s="196"/>
      <c r="J22" s="196" t="s">
        <v>189</v>
      </c>
      <c r="K22" s="196" t="s">
        <v>194</v>
      </c>
    </row>
    <row r="23" spans="1:11" x14ac:dyDescent="0.25">
      <c r="A23" s="50"/>
      <c r="B23" s="46"/>
      <c r="C23" s="229"/>
      <c r="D23" s="229"/>
      <c r="E23" s="229"/>
      <c r="F23" s="229" t="s">
        <v>185</v>
      </c>
      <c r="G23" s="229" t="s">
        <v>185</v>
      </c>
      <c r="H23" s="229" t="s">
        <v>189</v>
      </c>
      <c r="I23" s="229"/>
      <c r="J23" s="229"/>
      <c r="K23" s="229" t="s">
        <v>185</v>
      </c>
    </row>
    <row r="24" spans="1:11" x14ac:dyDescent="0.25">
      <c r="A24" s="172" t="s">
        <v>104</v>
      </c>
      <c r="B24" s="164" t="s">
        <v>105</v>
      </c>
      <c r="C24" s="231"/>
      <c r="D24" s="106">
        <f>-F10</f>
        <v>-70587</v>
      </c>
      <c r="E24" s="106">
        <f>-F9</f>
        <v>-31713</v>
      </c>
      <c r="F24" s="106"/>
      <c r="G24" s="106"/>
      <c r="H24" s="106"/>
      <c r="I24" s="106">
        <f>E8</f>
        <v>102300</v>
      </c>
      <c r="J24" s="106"/>
      <c r="K24" s="106"/>
    </row>
    <row r="25" spans="1:11" x14ac:dyDescent="0.25">
      <c r="A25" s="173" t="s">
        <v>106</v>
      </c>
      <c r="B25" s="73" t="s">
        <v>7</v>
      </c>
      <c r="C25" s="232"/>
      <c r="D25" s="111"/>
      <c r="E25" s="111"/>
      <c r="F25" s="111">
        <f>-F13</f>
        <v>-14424</v>
      </c>
      <c r="G25" s="111"/>
      <c r="H25" s="111"/>
      <c r="I25" s="111"/>
      <c r="J25" s="111"/>
      <c r="K25" s="111">
        <f>E12</f>
        <v>14424</v>
      </c>
    </row>
    <row r="26" spans="1:11" x14ac:dyDescent="0.25">
      <c r="A26" s="173" t="s">
        <v>104</v>
      </c>
      <c r="B26" s="73" t="s">
        <v>117</v>
      </c>
      <c r="C26" s="232"/>
      <c r="D26" s="111"/>
      <c r="E26" s="111"/>
      <c r="F26" s="111"/>
      <c r="G26" s="111"/>
      <c r="H26" s="111">
        <f>-F15</f>
        <v>-12276</v>
      </c>
      <c r="I26" s="111"/>
      <c r="J26" s="111">
        <f>E14</f>
        <v>12276</v>
      </c>
      <c r="K26" s="111"/>
    </row>
    <row r="27" spans="1:11" x14ac:dyDescent="0.25">
      <c r="A27" s="173" t="s">
        <v>106</v>
      </c>
      <c r="B27" s="73" t="s">
        <v>107</v>
      </c>
      <c r="C27" s="232"/>
      <c r="D27" s="111"/>
      <c r="E27" s="111"/>
      <c r="F27" s="111"/>
      <c r="G27" s="111">
        <v>-1731</v>
      </c>
      <c r="H27" s="111"/>
      <c r="I27" s="111"/>
      <c r="J27" s="111"/>
      <c r="K27" s="111">
        <f>E16</f>
        <v>1731</v>
      </c>
    </row>
    <row r="28" spans="1:11" x14ac:dyDescent="0.25">
      <c r="A28" s="174" t="s">
        <v>106</v>
      </c>
      <c r="B28" s="80" t="s">
        <v>108</v>
      </c>
      <c r="C28" s="233">
        <v>31713</v>
      </c>
      <c r="D28" s="115">
        <f>-F9</f>
        <v>-31713</v>
      </c>
      <c r="E28" s="115"/>
      <c r="F28" s="115"/>
      <c r="G28" s="115"/>
      <c r="H28" s="115"/>
      <c r="I28" s="115"/>
      <c r="J28" s="115"/>
      <c r="K28" s="115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&amp;COppgave 9.5</oddHeader>
    <oddFooter>&amp;CSide &amp;P av &amp;N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workbookViewId="0">
      <selection activeCell="K3" sqref="K3"/>
    </sheetView>
  </sheetViews>
  <sheetFormatPr baseColWidth="10" defaultRowHeight="15.75" x14ac:dyDescent="0.25"/>
  <cols>
    <col min="1" max="1" width="6.7109375" style="38" customWidth="1"/>
    <col min="2" max="2" width="14.140625" style="38" bestFit="1" customWidth="1"/>
    <col min="3" max="14" width="9.28515625" style="38" customWidth="1"/>
    <col min="15" max="16384" width="11.42578125" style="38"/>
  </cols>
  <sheetData>
    <row r="1" spans="1:14" x14ac:dyDescent="0.25">
      <c r="A1" s="142" t="s">
        <v>154</v>
      </c>
    </row>
    <row r="2" spans="1:14" x14ac:dyDescent="0.25">
      <c r="B2" s="142"/>
    </row>
    <row r="3" spans="1:14" x14ac:dyDescent="0.25">
      <c r="A3" s="234" t="s">
        <v>20</v>
      </c>
      <c r="B3" s="235" t="s">
        <v>3</v>
      </c>
      <c r="C3" s="242">
        <v>1920</v>
      </c>
      <c r="D3" s="242">
        <v>2710</v>
      </c>
      <c r="E3" s="242">
        <v>6860</v>
      </c>
      <c r="F3" s="242">
        <v>7100</v>
      </c>
      <c r="G3" s="228">
        <v>7140</v>
      </c>
      <c r="H3" s="242">
        <v>7150</v>
      </c>
    </row>
    <row r="4" spans="1:14" x14ac:dyDescent="0.25">
      <c r="A4" s="236"/>
      <c r="B4" s="237"/>
      <c r="C4" s="243" t="s">
        <v>227</v>
      </c>
      <c r="D4" s="243" t="s">
        <v>213</v>
      </c>
      <c r="E4" s="243" t="s">
        <v>245</v>
      </c>
      <c r="F4" s="243" t="s">
        <v>246</v>
      </c>
      <c r="G4" s="243" t="s">
        <v>248</v>
      </c>
      <c r="H4" s="243" t="s">
        <v>249</v>
      </c>
    </row>
    <row r="5" spans="1:14" x14ac:dyDescent="0.25">
      <c r="A5" s="238"/>
      <c r="B5" s="239"/>
      <c r="C5" s="241" t="s">
        <v>178</v>
      </c>
      <c r="D5" s="241" t="s">
        <v>212</v>
      </c>
      <c r="E5" s="241" t="s">
        <v>234</v>
      </c>
      <c r="F5" s="241" t="s">
        <v>247</v>
      </c>
      <c r="G5" s="241" t="s">
        <v>234</v>
      </c>
      <c r="H5" s="241" t="s">
        <v>250</v>
      </c>
    </row>
    <row r="6" spans="1:14" x14ac:dyDescent="0.25">
      <c r="A6" s="238"/>
      <c r="B6" s="239" t="s">
        <v>115</v>
      </c>
      <c r="C6" s="240">
        <v>-12820</v>
      </c>
      <c r="D6" s="240">
        <v>160</v>
      </c>
      <c r="E6" s="240">
        <v>9000</v>
      </c>
      <c r="F6" s="240">
        <v>1260</v>
      </c>
      <c r="G6" s="240">
        <v>2000</v>
      </c>
      <c r="H6" s="240">
        <v>400</v>
      </c>
    </row>
    <row r="9" spans="1:14" x14ac:dyDescent="0.25">
      <c r="A9" s="48" t="s">
        <v>20</v>
      </c>
      <c r="B9" s="40" t="s">
        <v>3</v>
      </c>
      <c r="C9" s="278">
        <v>1920</v>
      </c>
      <c r="D9" s="278"/>
      <c r="E9" s="278">
        <v>2710</v>
      </c>
      <c r="F9" s="278"/>
      <c r="G9" s="278">
        <v>6860</v>
      </c>
      <c r="H9" s="278"/>
      <c r="I9" s="278">
        <v>7100</v>
      </c>
      <c r="J9" s="278"/>
      <c r="K9" s="278">
        <v>7140</v>
      </c>
      <c r="L9" s="278"/>
      <c r="M9" s="278">
        <v>7150</v>
      </c>
      <c r="N9" s="278"/>
    </row>
    <row r="10" spans="1:14" x14ac:dyDescent="0.25">
      <c r="A10" s="53"/>
      <c r="B10" s="43"/>
      <c r="C10" s="279" t="s">
        <v>109</v>
      </c>
      <c r="D10" s="279"/>
      <c r="E10" s="279" t="s">
        <v>110</v>
      </c>
      <c r="F10" s="279"/>
      <c r="G10" s="279" t="s">
        <v>111</v>
      </c>
      <c r="H10" s="279"/>
      <c r="I10" s="279" t="s">
        <v>112</v>
      </c>
      <c r="J10" s="279"/>
      <c r="K10" s="279" t="s">
        <v>113</v>
      </c>
      <c r="L10" s="279"/>
      <c r="M10" s="279" t="s">
        <v>114</v>
      </c>
      <c r="N10" s="279"/>
    </row>
    <row r="11" spans="1:14" x14ac:dyDescent="0.25">
      <c r="A11" s="50"/>
      <c r="B11" s="46"/>
      <c r="C11" s="49" t="s">
        <v>18</v>
      </c>
      <c r="D11" s="49" t="s">
        <v>19</v>
      </c>
      <c r="E11" s="49" t="s">
        <v>18</v>
      </c>
      <c r="F11" s="49" t="s">
        <v>19</v>
      </c>
      <c r="G11" s="49" t="s">
        <v>18</v>
      </c>
      <c r="H11" s="49" t="s">
        <v>19</v>
      </c>
      <c r="I11" s="49" t="s">
        <v>18</v>
      </c>
      <c r="J11" s="49" t="s">
        <v>19</v>
      </c>
      <c r="K11" s="49" t="s">
        <v>18</v>
      </c>
      <c r="L11" s="49" t="s">
        <v>19</v>
      </c>
      <c r="M11" s="49" t="s">
        <v>18</v>
      </c>
      <c r="N11" s="49" t="s">
        <v>19</v>
      </c>
    </row>
    <row r="12" spans="1:14" x14ac:dyDescent="0.25">
      <c r="A12" s="50"/>
      <c r="B12" s="46" t="s">
        <v>115</v>
      </c>
      <c r="C12" s="58"/>
      <c r="D12" s="175">
        <v>12820</v>
      </c>
      <c r="E12" s="58">
        <v>160</v>
      </c>
      <c r="F12" s="175"/>
      <c r="G12" s="58">
        <v>9000</v>
      </c>
      <c r="H12" s="175"/>
      <c r="I12" s="58">
        <v>1260</v>
      </c>
      <c r="J12" s="175"/>
      <c r="K12" s="58">
        <v>2000</v>
      </c>
      <c r="L12" s="175"/>
      <c r="M12" s="58">
        <v>400</v>
      </c>
      <c r="N12" s="175"/>
    </row>
    <row r="14" spans="1:14" x14ac:dyDescent="0.25">
      <c r="F14" s="77"/>
    </row>
    <row r="15" spans="1:14" x14ac:dyDescent="0.25">
      <c r="B15" s="38" t="s">
        <v>158</v>
      </c>
      <c r="F15" s="77">
        <f>360*3.5</f>
        <v>1260</v>
      </c>
    </row>
    <row r="16" spans="1:14" x14ac:dyDescent="0.25">
      <c r="B16" s="38" t="s">
        <v>155</v>
      </c>
      <c r="F16" s="77">
        <v>9000</v>
      </c>
    </row>
    <row r="17" spans="1:14" x14ac:dyDescent="0.25">
      <c r="B17" s="38" t="s">
        <v>156</v>
      </c>
      <c r="F17" s="77">
        <v>2160</v>
      </c>
    </row>
    <row r="18" spans="1:14" x14ac:dyDescent="0.25">
      <c r="B18" s="38" t="s">
        <v>114</v>
      </c>
      <c r="F18" s="77">
        <v>400</v>
      </c>
    </row>
    <row r="19" spans="1:14" s="56" customFormat="1" ht="20.25" x14ac:dyDescent="0.3">
      <c r="A19" s="38"/>
      <c r="B19" s="38" t="s">
        <v>157</v>
      </c>
      <c r="C19" s="38"/>
      <c r="D19" s="38"/>
      <c r="E19" s="38"/>
      <c r="F19" s="138">
        <f>SUM(F15:F18)</f>
        <v>12820</v>
      </c>
      <c r="G19" s="38"/>
      <c r="H19" s="38"/>
      <c r="I19" s="38"/>
      <c r="J19" s="38"/>
      <c r="K19" s="38"/>
      <c r="L19" s="38"/>
      <c r="M19" s="38"/>
      <c r="N19" s="38"/>
    </row>
    <row r="20" spans="1:14" x14ac:dyDescent="0.25">
      <c r="F20" s="77"/>
    </row>
    <row r="21" spans="1:14" x14ac:dyDescent="0.25">
      <c r="F21" s="77"/>
    </row>
    <row r="22" spans="1:14" x14ac:dyDescent="0.25">
      <c r="F22" s="77"/>
    </row>
    <row r="23" spans="1:14" x14ac:dyDescent="0.25">
      <c r="F23" s="77"/>
    </row>
    <row r="24" spans="1:14" x14ac:dyDescent="0.25">
      <c r="F24" s="77"/>
    </row>
    <row r="25" spans="1:14" x14ac:dyDescent="0.25">
      <c r="F25" s="77"/>
    </row>
    <row r="26" spans="1:14" x14ac:dyDescent="0.25">
      <c r="F26" s="77"/>
    </row>
    <row r="27" spans="1:14" x14ac:dyDescent="0.25">
      <c r="F27" s="77"/>
    </row>
    <row r="28" spans="1:14" x14ac:dyDescent="0.25">
      <c r="F28" s="77"/>
    </row>
  </sheetData>
  <mergeCells count="12"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Header>&amp;COppgave 9.6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>
      <selection activeCell="I19" sqref="I19"/>
    </sheetView>
  </sheetViews>
  <sheetFormatPr baseColWidth="10" defaultRowHeight="15.75" x14ac:dyDescent="0.25"/>
  <cols>
    <col min="1" max="1" width="6.140625" style="1" customWidth="1"/>
    <col min="2" max="16384" width="11.42578125" style="1"/>
  </cols>
  <sheetData>
    <row r="1" spans="1:2" x14ac:dyDescent="0.25">
      <c r="A1" s="176" t="s">
        <v>167</v>
      </c>
    </row>
    <row r="3" spans="1:2" x14ac:dyDescent="0.25">
      <c r="A3" s="1" t="s">
        <v>0</v>
      </c>
      <c r="B3" s="1" t="s">
        <v>168</v>
      </c>
    </row>
    <row r="4" spans="1:2" x14ac:dyDescent="0.25">
      <c r="B4" s="1" t="s">
        <v>169</v>
      </c>
    </row>
    <row r="5" spans="1:2" x14ac:dyDescent="0.25">
      <c r="B5" s="1" t="s">
        <v>170</v>
      </c>
    </row>
    <row r="6" spans="1:2" x14ac:dyDescent="0.25">
      <c r="B6" s="1" t="s">
        <v>171</v>
      </c>
    </row>
    <row r="7" spans="1:2" x14ac:dyDescent="0.25">
      <c r="B7" s="1" t="s">
        <v>172</v>
      </c>
    </row>
    <row r="9" spans="1:2" x14ac:dyDescent="0.25">
      <c r="A9" s="1" t="s">
        <v>40</v>
      </c>
      <c r="B9" s="1" t="s">
        <v>173</v>
      </c>
    </row>
    <row r="10" spans="1:2" x14ac:dyDescent="0.25">
      <c r="B10" s="1" t="s">
        <v>174</v>
      </c>
    </row>
    <row r="12" spans="1:2" x14ac:dyDescent="0.25">
      <c r="A12" s="1" t="s">
        <v>92</v>
      </c>
      <c r="B12" s="1" t="s">
        <v>175</v>
      </c>
    </row>
    <row r="13" spans="1:2" x14ac:dyDescent="0.25">
      <c r="B13" s="1" t="s">
        <v>176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9.8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Oppgave 9.1</vt:lpstr>
      <vt:lpstr>Oppgave 9.2</vt:lpstr>
      <vt:lpstr>Oppgave 9.3</vt:lpstr>
      <vt:lpstr>Oppgave 9.4</vt:lpstr>
      <vt:lpstr>Oppgave 9.5</vt:lpstr>
      <vt:lpstr>Oppgave 9.6</vt:lpstr>
      <vt:lpstr>Oppgave 9.8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2019-11-27T15:23:00Z</cp:lastPrinted>
  <dcterms:created xsi:type="dcterms:W3CDTF">1997-01-16T18:32:43Z</dcterms:created>
  <dcterms:modified xsi:type="dcterms:W3CDTF">2020-07-30T15:17:53Z</dcterms:modified>
</cp:coreProperties>
</file>