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13_ncr:1_{B39DD88E-0CFE-4125-AE8E-BEE8E1317FB7}" xr6:coauthVersionLast="47" xr6:coauthVersionMax="47" xr10:uidLastSave="{00000000-0000-0000-0000-000000000000}"/>
  <bookViews>
    <workbookView xWindow="19095" yWindow="0" windowWidth="19410" windowHeight="20985" firstSheet="10" activeTab="13" xr2:uid="{00000000-000D-0000-FFFF-FFFF00000000}"/>
  </bookViews>
  <sheets>
    <sheet name="Oppgave 4.1" sheetId="3" r:id="rId1"/>
    <sheet name="Oppgave 4.2" sheetId="23" r:id="rId2"/>
    <sheet name="Oppgave 4.3" sheetId="24" r:id="rId3"/>
    <sheet name="Oppgave 4.4" sheetId="25" r:id="rId4"/>
    <sheet name="Oppgave 4.5" sheetId="28" r:id="rId5"/>
    <sheet name="Oppgave 4.6" sheetId="27" r:id="rId6"/>
    <sheet name="Oppgave 4.7" sheetId="26" r:id="rId7"/>
    <sheet name="Oppgave 4.8" sheetId="29" r:id="rId8"/>
    <sheet name="Oppgave 4.9" sheetId="30" r:id="rId9"/>
    <sheet name="Oppgave 4.10" sheetId="31" r:id="rId10"/>
    <sheet name="Oppgave 4.11" sheetId="32" r:id="rId11"/>
    <sheet name="Oppgave 4.12" sheetId="33" r:id="rId12"/>
    <sheet name="Oppgave 4.13" sheetId="34" r:id="rId13"/>
    <sheet name="Oppgave 4.14" sheetId="35" r:id="rId14"/>
  </sheets>
  <externalReferences>
    <externalReference r:id="rId1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5" l="1"/>
  <c r="D12" i="35"/>
  <c r="C12" i="35"/>
  <c r="B12" i="35"/>
  <c r="F12" i="35" s="1"/>
  <c r="G12" i="35" s="1"/>
  <c r="D11" i="35"/>
  <c r="C11" i="35"/>
  <c r="B11" i="35"/>
  <c r="F11" i="35" s="1"/>
  <c r="G11" i="35" s="1"/>
  <c r="C10" i="35"/>
  <c r="B10" i="35"/>
  <c r="F10" i="35" s="1"/>
  <c r="G10" i="35" s="1"/>
  <c r="C46" i="34"/>
  <c r="B46" i="34"/>
  <c r="A46" i="34"/>
  <c r="B45" i="34"/>
  <c r="A45" i="34"/>
  <c r="E44" i="34"/>
  <c r="D44" i="34"/>
  <c r="C44" i="34"/>
  <c r="B44" i="34"/>
  <c r="B47" i="34" s="1"/>
  <c r="F43" i="34"/>
  <c r="E43" i="34"/>
  <c r="D43" i="34"/>
  <c r="C43" i="34"/>
  <c r="A43" i="34"/>
  <c r="E42" i="34"/>
  <c r="D42" i="34"/>
  <c r="C42" i="34"/>
  <c r="F40" i="34"/>
  <c r="E40" i="34"/>
  <c r="D40" i="34"/>
  <c r="C40" i="34"/>
  <c r="F39" i="34"/>
  <c r="A39" i="34"/>
  <c r="F38" i="34"/>
  <c r="F47" i="34" s="1"/>
  <c r="E38" i="34"/>
  <c r="D38" i="34"/>
  <c r="C38" i="34"/>
  <c r="C47" i="34" s="1"/>
  <c r="A38" i="34"/>
  <c r="D33" i="34"/>
  <c r="C33" i="34"/>
  <c r="B33" i="34"/>
  <c r="E7" i="34"/>
  <c r="D7" i="34"/>
  <c r="C7" i="34"/>
  <c r="B7" i="34"/>
  <c r="E5" i="34"/>
  <c r="F41" i="34" s="1"/>
  <c r="D5" i="34"/>
  <c r="E41" i="34" s="1"/>
  <c r="C5" i="34"/>
  <c r="D41" i="34" s="1"/>
  <c r="B5" i="34"/>
  <c r="C41" i="34" s="1"/>
  <c r="E4" i="34"/>
  <c r="E8" i="34" s="1"/>
  <c r="E12" i="34" s="1"/>
  <c r="D4" i="34"/>
  <c r="E39" i="34" s="1"/>
  <c r="C4" i="34"/>
  <c r="D39" i="34" s="1"/>
  <c r="B4" i="34"/>
  <c r="C39" i="34" s="1"/>
  <c r="B17" i="33"/>
  <c r="B16" i="33"/>
  <c r="C14" i="33"/>
  <c r="D14" i="33"/>
  <c r="E14" i="33"/>
  <c r="F14" i="33"/>
  <c r="G14" i="33"/>
  <c r="B14" i="33"/>
  <c r="B13" i="33"/>
  <c r="A13" i="33"/>
  <c r="D12" i="33"/>
  <c r="E12" i="33"/>
  <c r="F12" i="33"/>
  <c r="G12" i="33"/>
  <c r="C12" i="33"/>
  <c r="D11" i="33"/>
  <c r="E11" i="33"/>
  <c r="F11" i="33"/>
  <c r="G11" i="33"/>
  <c r="C11" i="33"/>
  <c r="A11" i="33"/>
  <c r="D10" i="33"/>
  <c r="E10" i="33"/>
  <c r="F10" i="33"/>
  <c r="G10" i="33"/>
  <c r="C10" i="33"/>
  <c r="E5" i="32"/>
  <c r="E6" i="32" s="1"/>
  <c r="B5" i="32"/>
  <c r="F20" i="31"/>
  <c r="B20" i="31"/>
  <c r="B21" i="31" s="1"/>
  <c r="B23" i="31" s="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F21" i="31" s="1"/>
  <c r="E14" i="31"/>
  <c r="E21" i="31" s="1"/>
  <c r="D14" i="31"/>
  <c r="D21" i="31" s="1"/>
  <c r="C14" i="31"/>
  <c r="C21" i="31" s="1"/>
  <c r="D47" i="34" l="1"/>
  <c r="E47" i="34"/>
  <c r="B49" i="34" s="1"/>
  <c r="B8" i="34"/>
  <c r="B12" i="34" s="1"/>
  <c r="C8" i="34"/>
  <c r="C12" i="34" s="1"/>
  <c r="D8" i="34"/>
  <c r="D12" i="34" s="1"/>
  <c r="J12" i="29" l="1"/>
  <c r="J13" i="29"/>
  <c r="J14" i="29"/>
  <c r="J15" i="29"/>
  <c r="J16" i="29"/>
  <c r="J11" i="29"/>
  <c r="I12" i="29"/>
  <c r="I13" i="29"/>
  <c r="I14" i="29"/>
  <c r="I15" i="29"/>
  <c r="I16" i="29"/>
  <c r="I11" i="29"/>
  <c r="B15" i="30"/>
  <c r="C12" i="30"/>
  <c r="D12" i="30"/>
  <c r="E12" i="30"/>
  <c r="F12" i="30"/>
  <c r="G12" i="30"/>
  <c r="B12" i="30"/>
  <c r="D11" i="30"/>
  <c r="E11" i="30"/>
  <c r="F11" i="30"/>
  <c r="G11" i="30"/>
  <c r="C11" i="30"/>
  <c r="D5" i="30"/>
  <c r="D3" i="30"/>
  <c r="D4" i="30"/>
  <c r="D2" i="30"/>
  <c r="C4" i="30"/>
  <c r="C3" i="30"/>
  <c r="C2" i="30"/>
  <c r="B4" i="30"/>
  <c r="H16" i="29"/>
  <c r="G16" i="29"/>
  <c r="G15" i="29"/>
  <c r="F15" i="29"/>
  <c r="F16" i="29" s="1"/>
  <c r="F14" i="29"/>
  <c r="E15" i="29"/>
  <c r="E16" i="29"/>
  <c r="E14" i="29"/>
  <c r="E13" i="29"/>
  <c r="D14" i="29"/>
  <c r="D15" i="29"/>
  <c r="D16" i="29"/>
  <c r="D13" i="29"/>
  <c r="D12" i="29"/>
  <c r="C13" i="29"/>
  <c r="C14" i="29"/>
  <c r="C15" i="29"/>
  <c r="C16" i="29"/>
  <c r="C12" i="29"/>
  <c r="C11" i="29"/>
  <c r="B14" i="26"/>
  <c r="D12" i="26"/>
  <c r="C12" i="26"/>
  <c r="C11" i="26"/>
  <c r="B20" i="28"/>
  <c r="G18" i="28"/>
  <c r="B18" i="28"/>
  <c r="C7" i="26"/>
  <c r="B7" i="26"/>
  <c r="B65" i="27"/>
  <c r="B64" i="27"/>
  <c r="B63" i="27"/>
  <c r="B62" i="27"/>
  <c r="B56" i="27"/>
  <c r="B55" i="27"/>
  <c r="B54" i="27"/>
  <c r="B53" i="27"/>
  <c r="C44" i="27"/>
  <c r="J42" i="27"/>
  <c r="I42" i="27"/>
  <c r="H42" i="27"/>
  <c r="G42" i="27"/>
  <c r="F42" i="27"/>
  <c r="E42" i="27"/>
  <c r="D42" i="27"/>
  <c r="C42" i="27"/>
  <c r="C35" i="27"/>
  <c r="C34" i="27"/>
  <c r="D27" i="27"/>
  <c r="C27" i="27"/>
  <c r="D26" i="27"/>
  <c r="C26" i="27"/>
  <c r="D25" i="27"/>
  <c r="C25" i="27"/>
  <c r="D24" i="27"/>
  <c r="C24" i="27"/>
  <c r="D23" i="27"/>
  <c r="C23" i="27"/>
  <c r="D22" i="27"/>
  <c r="C22" i="27"/>
  <c r="D21" i="27"/>
  <c r="C21" i="27"/>
  <c r="D20" i="27"/>
  <c r="C20" i="27"/>
  <c r="D19" i="27"/>
  <c r="C19" i="27"/>
  <c r="D18" i="27"/>
  <c r="C18" i="27"/>
  <c r="D17" i="27"/>
  <c r="C17" i="27"/>
  <c r="D16" i="27"/>
  <c r="C16" i="27"/>
  <c r="D15" i="27"/>
  <c r="C15" i="27"/>
  <c r="D14" i="27"/>
  <c r="C14" i="27"/>
  <c r="D13" i="27"/>
  <c r="C13" i="27"/>
  <c r="C10" i="27"/>
  <c r="C9" i="27"/>
  <c r="C6" i="27"/>
  <c r="C5" i="27"/>
  <c r="E11" i="28"/>
  <c r="E9" i="28"/>
  <c r="C9" i="28"/>
  <c r="B9" i="28"/>
  <c r="C7" i="28"/>
  <c r="B7" i="28"/>
  <c r="B8" i="24"/>
  <c r="C4" i="24"/>
  <c r="D4" i="24"/>
  <c r="E4" i="24"/>
  <c r="F4" i="24"/>
  <c r="G4" i="24"/>
  <c r="H4" i="24"/>
  <c r="I4" i="24"/>
  <c r="J4" i="24"/>
  <c r="K4" i="24"/>
  <c r="L4" i="24"/>
  <c r="B4" i="24"/>
  <c r="B9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B8" i="25" s="1"/>
  <c r="B25" i="23" l="1"/>
  <c r="B26" i="23"/>
  <c r="B27" i="23"/>
  <c r="B28" i="23"/>
  <c r="B29" i="23"/>
  <c r="B30" i="23"/>
  <c r="B31" i="23"/>
  <c r="B32" i="23"/>
  <c r="B33" i="23"/>
  <c r="B34" i="23"/>
  <c r="B35" i="23"/>
  <c r="B36" i="23"/>
  <c r="B24" i="23"/>
  <c r="A23" i="23"/>
  <c r="B21" i="23"/>
  <c r="B20" i="23"/>
  <c r="C18" i="23"/>
  <c r="D18" i="23"/>
  <c r="E18" i="23"/>
  <c r="F18" i="23"/>
  <c r="B18" i="23"/>
  <c r="F17" i="23"/>
  <c r="B17" i="23"/>
  <c r="C16" i="23"/>
  <c r="D16" i="23"/>
  <c r="E16" i="23"/>
  <c r="F16" i="23"/>
  <c r="B16" i="23"/>
  <c r="D15" i="23"/>
  <c r="E15" i="23"/>
  <c r="F15" i="23"/>
  <c r="C15" i="23"/>
  <c r="D14" i="23"/>
  <c r="E14" i="23"/>
  <c r="F14" i="23"/>
  <c r="C14" i="23"/>
  <c r="D13" i="23"/>
  <c r="E13" i="23"/>
  <c r="F13" i="23"/>
  <c r="C13" i="23"/>
  <c r="B13" i="3"/>
  <c r="B12" i="3"/>
  <c r="C10" i="3"/>
  <c r="D10" i="3"/>
  <c r="E10" i="3"/>
  <c r="F10" i="3"/>
  <c r="B10" i="3"/>
  <c r="F9" i="3"/>
  <c r="B9" i="3"/>
  <c r="A9" i="3"/>
  <c r="F8" i="3"/>
  <c r="B8" i="3"/>
</calcChain>
</file>

<file path=xl/sharedStrings.xml><?xml version="1.0" encoding="utf-8"?>
<sst xmlns="http://schemas.openxmlformats.org/spreadsheetml/2006/main" count="236" uniqueCount="134">
  <si>
    <t>År</t>
  </si>
  <si>
    <t>Omsetning</t>
  </si>
  <si>
    <t>Variable kostnader</t>
  </si>
  <si>
    <t>Arbeidskapital</t>
  </si>
  <si>
    <t>Anleggsmidler</t>
  </si>
  <si>
    <t>Kontantstrøm</t>
  </si>
  <si>
    <t>Faste kostnader</t>
  </si>
  <si>
    <t>Leie</t>
  </si>
  <si>
    <t>Lønn</t>
  </si>
  <si>
    <t>Salgspris</t>
  </si>
  <si>
    <t>Restverdi</t>
  </si>
  <si>
    <t>Nåverdi</t>
  </si>
  <si>
    <t>Levetid 1 år</t>
  </si>
  <si>
    <t>Levetid 2 år</t>
  </si>
  <si>
    <t>Levetid 3 år</t>
  </si>
  <si>
    <t>Salgsvolum</t>
  </si>
  <si>
    <t>Materialer</t>
  </si>
  <si>
    <t>Avkastningskrav</t>
  </si>
  <si>
    <t>Internrente</t>
  </si>
  <si>
    <t>Beløp</t>
  </si>
  <si>
    <t>Rente</t>
  </si>
  <si>
    <t>Maskiner og utstyr</t>
  </si>
  <si>
    <t>Kontantstrøm drift</t>
  </si>
  <si>
    <t>Levetid</t>
  </si>
  <si>
    <t>Drift</t>
  </si>
  <si>
    <t>Anleggmidler</t>
  </si>
  <si>
    <t>Avk krav</t>
  </si>
  <si>
    <t>Salg</t>
  </si>
  <si>
    <t>Salg nå</t>
  </si>
  <si>
    <t>Praktisk talt likeverdig</t>
  </si>
  <si>
    <t>Maskin A</t>
  </si>
  <si>
    <t>Maskin B</t>
  </si>
  <si>
    <t>Anskaffelse og installasjon</t>
  </si>
  <si>
    <t>NV maskiner</t>
  </si>
  <si>
    <t>Årlig kostnad</t>
  </si>
  <si>
    <t>Differanse</t>
  </si>
  <si>
    <t>Økt kontantstrøm</t>
  </si>
  <si>
    <t>Velg A</t>
  </si>
  <si>
    <t>Prosjekt A</t>
  </si>
  <si>
    <t>Prosjekt B</t>
  </si>
  <si>
    <t>a)</t>
  </si>
  <si>
    <t>NNV A</t>
  </si>
  <si>
    <t>NNV B</t>
  </si>
  <si>
    <t>B)</t>
  </si>
  <si>
    <t>IRR A</t>
  </si>
  <si>
    <t>IRR B</t>
  </si>
  <si>
    <t>C)</t>
  </si>
  <si>
    <t>d)</t>
  </si>
  <si>
    <t>A pga. høyest NNV</t>
  </si>
  <si>
    <t>e)</t>
  </si>
  <si>
    <t>B pga. høyest NNV</t>
  </si>
  <si>
    <t>f)</t>
  </si>
  <si>
    <t>A - B</t>
  </si>
  <si>
    <t>IRR</t>
  </si>
  <si>
    <t>Lik nåverdi ved avkastningskrav 14,53 %</t>
  </si>
  <si>
    <t>B</t>
  </si>
  <si>
    <t>Investor</t>
  </si>
  <si>
    <t>A</t>
  </si>
  <si>
    <t>Bud om ett år</t>
  </si>
  <si>
    <t>Alternativ løsning:</t>
  </si>
  <si>
    <t>Maskin B - A</t>
  </si>
  <si>
    <t>Tilleggsinvestering i B ikke lønnsomt</t>
  </si>
  <si>
    <t>2 til 20</t>
  </si>
  <si>
    <t>Alternativ B</t>
  </si>
  <si>
    <t>Alternativ A</t>
  </si>
  <si>
    <t>B - A</t>
  </si>
  <si>
    <t>Likeverdig ved 14,14 % avkastningskrav. Ved høyere avkastningskrav enn 14,14 % velges A.</t>
  </si>
  <si>
    <t>Utrangering</t>
  </si>
  <si>
    <t>Levetid 4 år</t>
  </si>
  <si>
    <t>Levetid 5 år</t>
  </si>
  <si>
    <t>Levetid 6 år</t>
  </si>
  <si>
    <t>NNV</t>
  </si>
  <si>
    <t>NV-annuitet</t>
  </si>
  <si>
    <t>Egenutvikling</t>
  </si>
  <si>
    <t>Direkte materialer</t>
  </si>
  <si>
    <t>Direkte lønn</t>
  </si>
  <si>
    <t>Indirekte variable kostnader</t>
  </si>
  <si>
    <t>Fordelte faste kostnader</t>
  </si>
  <si>
    <t>Fordelte salg og adm. kostnader</t>
  </si>
  <si>
    <t>irrelevant</t>
  </si>
  <si>
    <t>Ny maskin</t>
  </si>
  <si>
    <t>Besparelse</t>
  </si>
  <si>
    <t>Kjøp ny maskin</t>
  </si>
  <si>
    <t>Selg egenutviklet maskin</t>
  </si>
  <si>
    <t>Sparte kostnader</t>
  </si>
  <si>
    <t>Kilometer pr. år</t>
  </si>
  <si>
    <t>Takst pr. km</t>
  </si>
  <si>
    <t>Lønn pr. ansatt</t>
  </si>
  <si>
    <t>Antall skift pr. døgn</t>
  </si>
  <si>
    <t>Dieselforbruk (l/mil)</t>
  </si>
  <si>
    <t>Dieselpris pr. liter</t>
  </si>
  <si>
    <t>Bil</t>
  </si>
  <si>
    <t>Vedlikehold</t>
  </si>
  <si>
    <t>Forsikringer</t>
  </si>
  <si>
    <t>Avgifter til sentral</t>
  </si>
  <si>
    <t>Inntekter</t>
  </si>
  <si>
    <t>Lønn 3 skift</t>
  </si>
  <si>
    <t>Diesel</t>
  </si>
  <si>
    <t>Avgifter</t>
  </si>
  <si>
    <t>Månedsleie</t>
  </si>
  <si>
    <t>Gjenstående</t>
  </si>
  <si>
    <t>Alternativ</t>
  </si>
  <si>
    <t>Nåverdi år 9</t>
  </si>
  <si>
    <t>Nåverdi år 0</t>
  </si>
  <si>
    <t>Materialkostnader</t>
  </si>
  <si>
    <t>Lønnskostnader</t>
  </si>
  <si>
    <t>Maskiner</t>
  </si>
  <si>
    <t>Lønn selger</t>
  </si>
  <si>
    <t>Salgsinntekter</t>
  </si>
  <si>
    <t>Andre produksjonskostnader</t>
  </si>
  <si>
    <t>Avskrivninger</t>
  </si>
  <si>
    <t>Totale produksjonskostnader</t>
  </si>
  <si>
    <t>Administrasjonskostnader</t>
  </si>
  <si>
    <t>Resultat</t>
  </si>
  <si>
    <t>Lisens</t>
  </si>
  <si>
    <t>Produksjonsutstyr</t>
  </si>
  <si>
    <t>Andel fordelte kostnader</t>
  </si>
  <si>
    <t>Salg gammelt utstyr år 1</t>
  </si>
  <si>
    <t>Sparte produksjonskostnader</t>
  </si>
  <si>
    <t>Kampanje år 1 til 3</t>
  </si>
  <si>
    <t>Kampanje start</t>
  </si>
  <si>
    <t>Opprinnelig anslag</t>
  </si>
  <si>
    <t>Revidert anslag</t>
  </si>
  <si>
    <t>Enheter</t>
  </si>
  <si>
    <t>Pris</t>
  </si>
  <si>
    <t>År 1</t>
  </si>
  <si>
    <t>År 2</t>
  </si>
  <si>
    <t>År 3</t>
  </si>
  <si>
    <t>Totale enhetskostnader</t>
  </si>
  <si>
    <t>Tapt DB eksisterende</t>
  </si>
  <si>
    <t>Kampanje</t>
  </si>
  <si>
    <t>Ankaffelse</t>
  </si>
  <si>
    <t>Driftskostnader</t>
  </si>
  <si>
    <t>Nåverdiannuitet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</si>
</sst>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0.0\ %"/>
    <numFmt numFmtId="167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3" fontId="0" fillId="0" borderId="0" xfId="0" applyNumberFormat="1"/>
    <xf numFmtId="0" fontId="0" fillId="0" borderId="1" xfId="0" applyBorder="1"/>
    <xf numFmtId="9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0" fontId="0" fillId="0" borderId="0" xfId="0" applyNumberFormat="1"/>
    <xf numFmtId="0" fontId="0" fillId="4" borderId="2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0" borderId="1" xfId="0" applyNumberFormat="1" applyBorder="1"/>
    <xf numFmtId="0" fontId="0" fillId="3" borderId="0" xfId="0" applyFill="1"/>
    <xf numFmtId="3" fontId="0" fillId="4" borderId="0" xfId="0" applyNumberFormat="1" applyFill="1"/>
    <xf numFmtId="0" fontId="0" fillId="4" borderId="0" xfId="0" applyFill="1"/>
    <xf numFmtId="165" fontId="0" fillId="4" borderId="0" xfId="1" applyNumberFormat="1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6" fontId="0" fillId="0" borderId="0" xfId="0" applyNumberFormat="1"/>
    <xf numFmtId="165" fontId="0" fillId="0" borderId="1" xfId="0" applyNumberFormat="1" applyBorder="1"/>
    <xf numFmtId="0" fontId="2" fillId="3" borderId="0" xfId="0" applyFont="1" applyFill="1" applyAlignment="1">
      <alignment horizontal="center"/>
    </xf>
    <xf numFmtId="165" fontId="2" fillId="3" borderId="0" xfId="1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8" borderId="2" xfId="0" applyFill="1" applyBorder="1"/>
    <xf numFmtId="165" fontId="0" fillId="4" borderId="0" xfId="1" applyNumberFormat="1" applyFont="1" applyFill="1" applyBorder="1"/>
    <xf numFmtId="0" fontId="0" fillId="9" borderId="0" xfId="0" applyFill="1" applyAlignment="1">
      <alignment horizontal="center"/>
    </xf>
    <xf numFmtId="165" fontId="2" fillId="9" borderId="0" xfId="0" applyNumberFormat="1" applyFont="1" applyFill="1"/>
    <xf numFmtId="167" fontId="0" fillId="0" borderId="0" xfId="1" applyNumberFormat="1" applyFont="1"/>
    <xf numFmtId="3" fontId="2" fillId="0" borderId="0" xfId="0" applyNumberFormat="1" applyFont="1"/>
    <xf numFmtId="0" fontId="0" fillId="9" borderId="0" xfId="0" applyFill="1"/>
    <xf numFmtId="10" fontId="0" fillId="9" borderId="0" xfId="0" applyNumberFormat="1" applyFill="1"/>
    <xf numFmtId="165" fontId="2" fillId="9" borderId="0" xfId="1" applyNumberFormat="1" applyFont="1" applyFill="1"/>
    <xf numFmtId="0" fontId="0" fillId="0" borderId="5" xfId="0" applyBorder="1"/>
    <xf numFmtId="0" fontId="0" fillId="0" borderId="6" xfId="0" applyBorder="1"/>
    <xf numFmtId="165" fontId="0" fillId="0" borderId="5" xfId="1" applyNumberFormat="1" applyFont="1" applyBorder="1"/>
    <xf numFmtId="3" fontId="0" fillId="0" borderId="5" xfId="0" applyNumberFormat="1" applyBorder="1"/>
    <xf numFmtId="0" fontId="0" fillId="2" borderId="3" xfId="0" applyFill="1" applyBorder="1" applyAlignment="1">
      <alignment horizontal="center"/>
    </xf>
    <xf numFmtId="165" fontId="0" fillId="0" borderId="6" xfId="1" applyNumberFormat="1" applyFont="1" applyBorder="1"/>
    <xf numFmtId="165" fontId="0" fillId="7" borderId="3" xfId="1" applyNumberFormat="1" applyFont="1" applyFill="1" applyBorder="1"/>
    <xf numFmtId="0" fontId="0" fillId="3" borderId="4" xfId="0" applyFill="1" applyBorder="1"/>
    <xf numFmtId="0" fontId="0" fillId="3" borderId="6" xfId="0" applyFill="1" applyBorder="1"/>
    <xf numFmtId="0" fontId="0" fillId="2" borderId="3" xfId="0" applyFill="1" applyBorder="1"/>
    <xf numFmtId="0" fontId="0" fillId="7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165" fontId="0" fillId="6" borderId="4" xfId="1" applyNumberFormat="1" applyFont="1" applyFill="1" applyBorder="1"/>
    <xf numFmtId="165" fontId="0" fillId="6" borderId="5" xfId="1" applyNumberFormat="1" applyFont="1" applyFill="1" applyBorder="1"/>
    <xf numFmtId="3" fontId="0" fillId="6" borderId="5" xfId="0" applyNumberFormat="1" applyFill="1" applyBorder="1"/>
    <xf numFmtId="9" fontId="0" fillId="6" borderId="6" xfId="0" applyNumberFormat="1" applyFill="1" applyBorder="1"/>
    <xf numFmtId="164" fontId="0" fillId="5" borderId="4" xfId="0" applyNumberFormat="1" applyFill="1" applyBorder="1"/>
    <xf numFmtId="10" fontId="0" fillId="5" borderId="6" xfId="2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3" fontId="0" fillId="0" borderId="6" xfId="0" applyNumberFormat="1" applyBorder="1"/>
    <xf numFmtId="3" fontId="0" fillId="5" borderId="4" xfId="0" applyNumberFormat="1" applyFill="1" applyBorder="1"/>
    <xf numFmtId="0" fontId="0" fillId="5" borderId="5" xfId="0" applyFill="1" applyBorder="1"/>
    <xf numFmtId="9" fontId="0" fillId="5" borderId="5" xfId="0" applyNumberFormat="1" applyFill="1" applyBorder="1"/>
    <xf numFmtId="3" fontId="0" fillId="5" borderId="5" xfId="0" applyNumberFormat="1" applyFill="1" applyBorder="1"/>
    <xf numFmtId="3" fontId="0" fillId="5" borderId="6" xfId="0" applyNumberFormat="1" applyFill="1" applyBorder="1"/>
    <xf numFmtId="0" fontId="0" fillId="3" borderId="3" xfId="0" applyFill="1" applyBorder="1"/>
    <xf numFmtId="3" fontId="0" fillId="2" borderId="3" xfId="0" applyNumberFormat="1" applyFill="1" applyBorder="1" applyAlignment="1">
      <alignment horizontal="center"/>
    </xf>
    <xf numFmtId="165" fontId="0" fillId="3" borderId="3" xfId="1" applyNumberFormat="1" applyFont="1" applyFill="1" applyBorder="1"/>
    <xf numFmtId="0" fontId="0" fillId="5" borderId="4" xfId="0" applyFill="1" applyBorder="1"/>
    <xf numFmtId="0" fontId="0" fillId="5" borderId="6" xfId="0" applyFill="1" applyBorder="1"/>
    <xf numFmtId="165" fontId="0" fillId="5" borderId="4" xfId="1" applyNumberFormat="1" applyFont="1" applyFill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165" fontId="0" fillId="3" borderId="9" xfId="1" applyNumberFormat="1" applyFont="1" applyFill="1" applyBorder="1"/>
    <xf numFmtId="0" fontId="0" fillId="5" borderId="3" xfId="0" applyFill="1" applyBorder="1"/>
    <xf numFmtId="9" fontId="0" fillId="5" borderId="3" xfId="0" applyNumberFormat="1" applyFill="1" applyBorder="1"/>
    <xf numFmtId="0" fontId="0" fillId="4" borderId="3" xfId="0" applyFill="1" applyBorder="1"/>
    <xf numFmtId="165" fontId="2" fillId="4" borderId="3" xfId="1" applyNumberFormat="1" applyFont="1" applyFill="1" applyBorder="1"/>
    <xf numFmtId="3" fontId="2" fillId="4" borderId="3" xfId="0" applyNumberFormat="1" applyFont="1" applyFill="1" applyBorder="1"/>
    <xf numFmtId="3" fontId="0" fillId="8" borderId="3" xfId="0" applyNumberFormat="1" applyFill="1" applyBorder="1"/>
    <xf numFmtId="9" fontId="0" fillId="9" borderId="4" xfId="0" applyNumberFormat="1" applyFill="1" applyBorder="1"/>
    <xf numFmtId="3" fontId="0" fillId="9" borderId="5" xfId="0" applyNumberFormat="1" applyFill="1" applyBorder="1"/>
    <xf numFmtId="166" fontId="0" fillId="9" borderId="6" xfId="0" applyNumberFormat="1" applyFill="1" applyBorder="1"/>
    <xf numFmtId="9" fontId="0" fillId="0" borderId="5" xfId="0" applyNumberFormat="1" applyBorder="1"/>
    <xf numFmtId="165" fontId="2" fillId="3" borderId="6" xfId="1" applyNumberFormat="1" applyFont="1" applyFill="1" applyBorder="1"/>
    <xf numFmtId="0" fontId="0" fillId="2" borderId="9" xfId="0" applyFill="1" applyBorder="1"/>
    <xf numFmtId="3" fontId="0" fillId="4" borderId="3" xfId="0" applyNumberFormat="1" applyFill="1" applyBorder="1"/>
    <xf numFmtId="3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3" borderId="5" xfId="1" applyNumberFormat="1" applyFont="1" applyFill="1" applyBorder="1"/>
    <xf numFmtId="0" fontId="0" fillId="6" borderId="0" xfId="0" applyFill="1" applyAlignment="1">
      <alignment horizontal="center"/>
    </xf>
    <xf numFmtId="9" fontId="0" fillId="6" borderId="0" xfId="2" applyFont="1" applyFill="1"/>
    <xf numFmtId="165" fontId="0" fillId="3" borderId="5" xfId="1" applyNumberFormat="1" applyFont="1" applyFill="1" applyBorder="1"/>
    <xf numFmtId="165" fontId="0" fillId="0" borderId="4" xfId="1" applyNumberFormat="1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0" borderId="9" xfId="0" applyBorder="1"/>
    <xf numFmtId="165" fontId="0" fillId="0" borderId="10" xfId="0" applyNumberFormat="1" applyBorder="1"/>
    <xf numFmtId="3" fontId="0" fillId="3" borderId="5" xfId="0" applyNumberFormat="1" applyFill="1" applyBorder="1"/>
    <xf numFmtId="3" fontId="2" fillId="6" borderId="6" xfId="0" applyNumberFormat="1" applyFont="1" applyFill="1" applyBorder="1"/>
    <xf numFmtId="0" fontId="0" fillId="3" borderId="5" xfId="0" applyFill="1" applyBorder="1"/>
    <xf numFmtId="165" fontId="0" fillId="0" borderId="6" xfId="0" applyNumberFormat="1" applyBorder="1"/>
    <xf numFmtId="3" fontId="0" fillId="3" borderId="6" xfId="0" applyNumberFormat="1" applyFill="1" applyBorder="1"/>
    <xf numFmtId="9" fontId="2" fillId="6" borderId="4" xfId="0" applyNumberFormat="1" applyFont="1" applyFill="1" applyBorder="1"/>
    <xf numFmtId="3" fontId="0" fillId="0" borderId="4" xfId="0" applyNumberFormat="1" applyBorder="1"/>
    <xf numFmtId="0" fontId="2" fillId="2" borderId="3" xfId="0" applyFont="1" applyFill="1" applyBorder="1"/>
    <xf numFmtId="3" fontId="2" fillId="2" borderId="3" xfId="0" applyNumberFormat="1" applyFont="1" applyFill="1" applyBorder="1" applyAlignment="1">
      <alignment horizontal="center"/>
    </xf>
    <xf numFmtId="165" fontId="0" fillId="3" borderId="4" xfId="1" applyNumberFormat="1" applyFont="1" applyFill="1" applyBorder="1"/>
    <xf numFmtId="9" fontId="0" fillId="3" borderId="6" xfId="0" applyNumberFormat="1" applyFill="1" applyBorder="1"/>
    <xf numFmtId="165" fontId="0" fillId="5" borderId="6" xfId="0" applyNumberFormat="1" applyFill="1" applyBorder="1"/>
    <xf numFmtId="9" fontId="0" fillId="3" borderId="6" xfId="2" applyFont="1" applyFill="1" applyBorder="1"/>
    <xf numFmtId="3" fontId="0" fillId="3" borderId="4" xfId="0" applyNumberFormat="1" applyFill="1" applyBorder="1"/>
    <xf numFmtId="10" fontId="0" fillId="3" borderId="6" xfId="2" applyNumberFormat="1" applyFont="1" applyFill="1" applyBorder="1"/>
    <xf numFmtId="165" fontId="0" fillId="5" borderId="3" xfId="1" applyNumberFormat="1" applyFont="1" applyFill="1" applyBorder="1"/>
    <xf numFmtId="165" fontId="0" fillId="3" borderId="4" xfId="0" applyNumberFormat="1" applyFill="1" applyBorder="1"/>
    <xf numFmtId="0" fontId="0" fillId="3" borderId="2" xfId="0" applyFill="1" applyBorder="1"/>
    <xf numFmtId="3" fontId="0" fillId="3" borderId="3" xfId="0" applyNumberFormat="1" applyFill="1" applyBorder="1"/>
    <xf numFmtId="0" fontId="0" fillId="2" borderId="10" xfId="0" applyFill="1" applyBorder="1" applyAlignment="1">
      <alignment horizontal="center"/>
    </xf>
    <xf numFmtId="0" fontId="0" fillId="4" borderId="9" xfId="0" applyFill="1" applyBorder="1"/>
    <xf numFmtId="3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" xfId="0" applyBorder="1" applyAlignment="1">
      <alignment horizontal="left"/>
    </xf>
    <xf numFmtId="167" fontId="0" fillId="0" borderId="5" xfId="1" applyNumberFormat="1" applyFont="1" applyBorder="1"/>
    <xf numFmtId="167" fontId="0" fillId="0" borderId="6" xfId="1" applyNumberFormat="1" applyFont="1" applyBorder="1"/>
    <xf numFmtId="0" fontId="0" fillId="10" borderId="3" xfId="0" applyFill="1" applyBorder="1"/>
    <xf numFmtId="167" fontId="0" fillId="10" borderId="3" xfId="1" applyNumberFormat="1" applyFont="1" applyFill="1" applyBorder="1"/>
    <xf numFmtId="167" fontId="0" fillId="3" borderId="3" xfId="0" applyNumberFormat="1" applyFill="1" applyBorder="1"/>
    <xf numFmtId="0" fontId="2" fillId="2" borderId="9" xfId="0" applyFont="1" applyFill="1" applyBorder="1"/>
    <xf numFmtId="0" fontId="2" fillId="11" borderId="3" xfId="0" applyFont="1" applyFill="1" applyBorder="1" applyAlignment="1">
      <alignment horizontal="center"/>
    </xf>
    <xf numFmtId="0" fontId="2" fillId="11" borderId="3" xfId="0" applyFont="1" applyFill="1" applyBorder="1"/>
    <xf numFmtId="0" fontId="0" fillId="0" borderId="11" xfId="0" applyBorder="1"/>
    <xf numFmtId="165" fontId="0" fillId="0" borderId="5" xfId="1" applyNumberFormat="1" applyFont="1" applyBorder="1" applyAlignment="1">
      <alignment horizontal="center"/>
    </xf>
    <xf numFmtId="0" fontId="0" fillId="0" borderId="8" xfId="0" applyBorder="1"/>
    <xf numFmtId="165" fontId="0" fillId="0" borderId="6" xfId="1" applyNumberFormat="1" applyFont="1" applyBorder="1" applyAlignment="1">
      <alignment horizontal="center"/>
    </xf>
    <xf numFmtId="3" fontId="0" fillId="6" borderId="4" xfId="0" applyNumberFormat="1" applyFill="1" applyBorder="1"/>
    <xf numFmtId="0" fontId="0" fillId="6" borderId="5" xfId="0" applyFill="1" applyBorder="1"/>
    <xf numFmtId="3" fontId="0" fillId="6" borderId="6" xfId="0" applyNumberFormat="1" applyFill="1" applyBorder="1"/>
    <xf numFmtId="0" fontId="0" fillId="6" borderId="3" xfId="0" applyFill="1" applyBorder="1"/>
    <xf numFmtId="165" fontId="0" fillId="6" borderId="3" xfId="1" applyNumberFormat="1" applyFont="1" applyFill="1" applyBorder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'Oppgave 4.2'!$A$24:$A$36</c:f>
              <c:numCache>
                <c:formatCode>0%</c:formatCode>
                <c:ptCount val="13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</c:numCache>
            </c:numRef>
          </c:cat>
          <c:val>
            <c:numRef>
              <c:f>'Oppgave 4.2'!$B$24:$B$36</c:f>
              <c:numCache>
                <c:formatCode>_ * #\ ##0_ ;_ * \-#\ ##0_ ;_ * "-"??_ ;_ @_ </c:formatCode>
                <c:ptCount val="13"/>
                <c:pt idx="0">
                  <c:v>178816.4117740182</c:v>
                </c:pt>
                <c:pt idx="1">
                  <c:v>152043.58161041274</c:v>
                </c:pt>
                <c:pt idx="2">
                  <c:v>127433.68088079791</c:v>
                </c:pt>
                <c:pt idx="3">
                  <c:v>104768.79653620999</c:v>
                </c:pt>
                <c:pt idx="4">
                  <c:v>83856.823304418998</c:v>
                </c:pt>
                <c:pt idx="5">
                  <c:v>64527.984352222935</c:v>
                </c:pt>
                <c:pt idx="6">
                  <c:v>46631.874869090971</c:v>
                </c:pt>
                <c:pt idx="7">
                  <c:v>30034.942264814163</c:v>
                </c:pt>
                <c:pt idx="8">
                  <c:v>14618.332139316539</c:v>
                </c:pt>
                <c:pt idx="9">
                  <c:v>276.04166666668607</c:v>
                </c:pt>
                <c:pt idx="10">
                  <c:v>-13086.667848489655</c:v>
                </c:pt>
                <c:pt idx="11">
                  <c:v>-25554.639255631424</c:v>
                </c:pt>
                <c:pt idx="12">
                  <c:v>-37204.001980960951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E2-4961-A1FD-D679785E2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8228959"/>
        <c:axId val="1048218975"/>
      </c:lineChart>
      <c:catAx>
        <c:axId val="104822895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8218975"/>
        <c:crosses val="autoZero"/>
        <c:auto val="1"/>
        <c:lblAlgn val="ctr"/>
        <c:lblOffset val="100"/>
        <c:noMultiLvlLbl val="0"/>
      </c:catAx>
      <c:valAx>
        <c:axId val="1048218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822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[1]Ark1!$B$13:$B$27</c:f>
              <c:numCache>
                <c:formatCode>General</c:formatCode>
                <c:ptCount val="15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</c:numCache>
            </c:numRef>
          </c:cat>
          <c:val>
            <c:numRef>
              <c:f>[1]Ark1!$C$13:$C$27</c:f>
              <c:numCache>
                <c:formatCode>General</c:formatCode>
                <c:ptCount val="15"/>
                <c:pt idx="0">
                  <c:v>736671.01128209906</c:v>
                </c:pt>
                <c:pt idx="1">
                  <c:v>601566.54957279679</c:v>
                </c:pt>
                <c:pt idx="2">
                  <c:v>482291.69973553077</c:v>
                </c:pt>
                <c:pt idx="3">
                  <c:v>376800.79184798407</c:v>
                </c:pt>
                <c:pt idx="4">
                  <c:v>283341.45217897394</c:v>
                </c:pt>
                <c:pt idx="5">
                  <c:v>200408.39727973763</c:v>
                </c:pt>
                <c:pt idx="6">
                  <c:v>126705.14368857251</c:v>
                </c:pt>
                <c:pt idx="7">
                  <c:v>61112.172102938115</c:v>
                </c:pt>
                <c:pt idx="8">
                  <c:v>2660.3732478562742</c:v>
                </c:pt>
                <c:pt idx="9">
                  <c:v>-49491.169410150935</c:v>
                </c:pt>
                <c:pt idx="10">
                  <c:v>-96073.824101506034</c:v>
                </c:pt>
                <c:pt idx="11">
                  <c:v>-137725.10228626459</c:v>
                </c:pt>
                <c:pt idx="12">
                  <c:v>-175001.90204984782</c:v>
                </c:pt>
                <c:pt idx="13">
                  <c:v>-208391.71571715278</c:v>
                </c:pt>
                <c:pt idx="14">
                  <c:v>-238322.13962921247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80-435B-9608-095B23F1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1559951"/>
        <c:axId val="2094542495"/>
      </c:lineChart>
      <c:catAx>
        <c:axId val="202155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94542495"/>
        <c:crosses val="autoZero"/>
        <c:auto val="1"/>
        <c:lblAlgn val="ctr"/>
        <c:lblOffset val="100"/>
        <c:noMultiLvlLbl val="0"/>
      </c:catAx>
      <c:valAx>
        <c:axId val="209454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2155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[1]Ark1!$B$13:$B$27</c:f>
              <c:numCache>
                <c:formatCode>General</c:formatCode>
                <c:ptCount val="15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</c:numCache>
            </c:numRef>
          </c:cat>
          <c:val>
            <c:numRef>
              <c:f>[1]Ark1!$D$13:$D$27</c:f>
              <c:numCache>
                <c:formatCode>General</c:formatCode>
                <c:ptCount val="15"/>
                <c:pt idx="0">
                  <c:v>345591.7393525131</c:v>
                </c:pt>
                <c:pt idx="1">
                  <c:v>297446.33880401088</c:v>
                </c:pt>
                <c:pt idx="2">
                  <c:v>253921.45968472224</c:v>
                </c:pt>
                <c:pt idx="3">
                  <c:v>214465.87497079943</c:v>
                </c:pt>
                <c:pt idx="4">
                  <c:v>178604.93372793798</c:v>
                </c:pt>
                <c:pt idx="5">
                  <c:v>145928.58135199151</c:v>
                </c:pt>
                <c:pt idx="6">
                  <c:v>116081.44721669605</c:v>
                </c:pt>
                <c:pt idx="7">
                  <c:v>88754.611716039421</c:v>
                </c:pt>
                <c:pt idx="8">
                  <c:v>63678.743056113773</c:v>
                </c:pt>
                <c:pt idx="9">
                  <c:v>40618.355624142685</c:v>
                </c:pt>
                <c:pt idx="10">
                  <c:v>19366.990202818008</c:v>
                </c:pt>
                <c:pt idx="11">
                  <c:v>-256.84536287578521</c:v>
                </c:pt>
                <c:pt idx="12">
                  <c:v>-18413.105966083996</c:v>
                </c:pt>
                <c:pt idx="13">
                  <c:v>-35243.116104975343</c:v>
                </c:pt>
                <c:pt idx="14">
                  <c:v>-50872.040928074857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B-4CFB-AA33-077C9F45B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1397759"/>
        <c:axId val="2013412831"/>
      </c:lineChart>
      <c:catAx>
        <c:axId val="209139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13412831"/>
        <c:crosses val="autoZero"/>
        <c:auto val="1"/>
        <c:lblAlgn val="ctr"/>
        <c:lblOffset val="100"/>
        <c:noMultiLvlLbl val="0"/>
      </c:catAx>
      <c:valAx>
        <c:axId val="201341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91397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336350</xdr:colOff>
      <xdr:row>19</xdr:row>
      <xdr:rowOff>89297</xdr:rowOff>
    </xdr:from>
    <xdr:to>
      <xdr:col>9</xdr:col>
      <xdr:colOff>607218</xdr:colOff>
      <xdr:row>36</xdr:row>
      <xdr:rowOff>175023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3A0A479-C534-4C24-9FC1-5F7E15B0D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10</xdr:row>
      <xdr:rowOff>163285</xdr:rowOff>
    </xdr:from>
    <xdr:to>
      <xdr:col>10</xdr:col>
      <xdr:colOff>751114</xdr:colOff>
      <xdr:row>29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36F336-DAEF-4BEC-87C6-B6D1904B8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272143</xdr:colOff>
      <xdr:row>10</xdr:row>
      <xdr:rowOff>54429</xdr:rowOff>
    </xdr:from>
    <xdr:to>
      <xdr:col>19</xdr:col>
      <xdr:colOff>217714</xdr:colOff>
      <xdr:row>28</xdr:row>
      <xdr:rowOff>87085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DD2562B-F15E-4CC9-9EBE-F99D11330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Mine%20dokumenter/Investering/Oppgave%204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1"/>
    </sheetNames>
    <sheetDataSet>
      <sheetData sheetId="0">
        <row r="13">
          <cell r="B13">
            <v>0.02</v>
          </cell>
          <cell r="C13">
            <v>736671.01128209906</v>
          </cell>
          <cell r="D13">
            <v>345591.7393525131</v>
          </cell>
        </row>
        <row r="14">
          <cell r="B14">
            <v>0.04</v>
          </cell>
          <cell r="C14">
            <v>601566.54957279679</v>
          </cell>
          <cell r="D14">
            <v>297446.33880401088</v>
          </cell>
        </row>
        <row r="15">
          <cell r="B15">
            <v>0.06</v>
          </cell>
          <cell r="C15">
            <v>482291.69973553077</v>
          </cell>
          <cell r="D15">
            <v>253921.45968472224</v>
          </cell>
        </row>
        <row r="16">
          <cell r="B16">
            <v>0.08</v>
          </cell>
          <cell r="C16">
            <v>376800.79184798407</v>
          </cell>
          <cell r="D16">
            <v>214465.87497079943</v>
          </cell>
        </row>
        <row r="17">
          <cell r="B17">
            <v>0.1</v>
          </cell>
          <cell r="C17">
            <v>283341.45217897394</v>
          </cell>
          <cell r="D17">
            <v>178604.93372793798</v>
          </cell>
        </row>
        <row r="18">
          <cell r="B18">
            <v>0.12</v>
          </cell>
          <cell r="C18">
            <v>200408.39727973763</v>
          </cell>
          <cell r="D18">
            <v>145928.58135199151</v>
          </cell>
        </row>
        <row r="19">
          <cell r="B19">
            <v>0.14000000000000001</v>
          </cell>
          <cell r="C19">
            <v>126705.14368857251</v>
          </cell>
          <cell r="D19">
            <v>116081.44721669605</v>
          </cell>
        </row>
        <row r="20">
          <cell r="B20">
            <v>0.16</v>
          </cell>
          <cell r="C20">
            <v>61112.172102938115</v>
          </cell>
          <cell r="D20">
            <v>88754.611716039421</v>
          </cell>
        </row>
        <row r="21">
          <cell r="B21">
            <v>0.18</v>
          </cell>
          <cell r="C21">
            <v>2660.3732478562742</v>
          </cell>
          <cell r="D21">
            <v>63678.743056113773</v>
          </cell>
        </row>
        <row r="22">
          <cell r="B22">
            <v>0.2</v>
          </cell>
          <cell r="C22">
            <v>-49491.169410150935</v>
          </cell>
          <cell r="D22">
            <v>40618.355624142685</v>
          </cell>
        </row>
        <row r="23">
          <cell r="B23">
            <v>0.22</v>
          </cell>
          <cell r="C23">
            <v>-96073.824101506034</v>
          </cell>
          <cell r="D23">
            <v>19366.990202818008</v>
          </cell>
        </row>
        <row r="24">
          <cell r="B24">
            <v>0.24</v>
          </cell>
          <cell r="C24">
            <v>-137725.10228626459</v>
          </cell>
          <cell r="D24">
            <v>-256.84536287578521</v>
          </cell>
        </row>
        <row r="25">
          <cell r="B25">
            <v>0.26</v>
          </cell>
          <cell r="C25">
            <v>-175001.90204984782</v>
          </cell>
          <cell r="D25">
            <v>-18413.105966083996</v>
          </cell>
        </row>
        <row r="26">
          <cell r="B26">
            <v>0.28000000000000003</v>
          </cell>
          <cell r="C26">
            <v>-208391.71571715278</v>
          </cell>
          <cell r="D26">
            <v>-35243.116104975343</v>
          </cell>
        </row>
        <row r="27">
          <cell r="B27">
            <v>0.3</v>
          </cell>
          <cell r="C27">
            <v>-238322.13962921247</v>
          </cell>
          <cell r="D27">
            <v>-50872.040928074857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topLeftCell="A37" zoomScale="140" zoomScaleNormal="140" workbookViewId="0">
      <selection activeCell="I18" sqref="I18"/>
    </sheetView>
  </sheetViews>
  <sheetFormatPr baseColWidth="10" defaultColWidth="9.140625" defaultRowHeight="15" x14ac:dyDescent="0.25"/>
  <cols>
    <col min="1" max="1" width="19.5703125" bestFit="1" customWidth="1"/>
    <col min="2" max="2" width="14.28515625" bestFit="1" customWidth="1"/>
    <col min="3" max="3" width="12.42578125" bestFit="1" customWidth="1"/>
    <col min="4" max="6" width="12" bestFit="1" customWidth="1"/>
  </cols>
  <sheetData>
    <row r="1" spans="1:6" x14ac:dyDescent="0.25">
      <c r="A1" s="43" t="s">
        <v>21</v>
      </c>
      <c r="B1" s="46">
        <v>820000</v>
      </c>
      <c r="C1" s="4"/>
      <c r="D1" s="4"/>
      <c r="E1" s="4"/>
      <c r="F1" s="4"/>
    </row>
    <row r="2" spans="1:6" x14ac:dyDescent="0.25">
      <c r="A2" s="44" t="s">
        <v>3</v>
      </c>
      <c r="B2" s="47">
        <v>500000</v>
      </c>
      <c r="C2" s="4"/>
      <c r="D2" s="4"/>
      <c r="E2" s="4"/>
      <c r="F2" s="4"/>
    </row>
    <row r="3" spans="1:6" x14ac:dyDescent="0.25">
      <c r="A3" s="44" t="s">
        <v>10</v>
      </c>
      <c r="B3" s="48">
        <v>50000</v>
      </c>
    </row>
    <row r="4" spans="1:6" x14ac:dyDescent="0.25">
      <c r="A4" s="45" t="s">
        <v>17</v>
      </c>
      <c r="B4" s="49">
        <v>0.2</v>
      </c>
    </row>
    <row r="6" spans="1:6" x14ac:dyDescent="0.25">
      <c r="A6" s="41" t="s">
        <v>0</v>
      </c>
      <c r="B6" s="36">
        <v>0</v>
      </c>
      <c r="C6" s="36">
        <v>1</v>
      </c>
      <c r="D6" s="36">
        <v>2</v>
      </c>
      <c r="E6" s="36">
        <v>3</v>
      </c>
      <c r="F6" s="36">
        <v>4</v>
      </c>
    </row>
    <row r="7" spans="1:6" x14ac:dyDescent="0.25">
      <c r="A7" s="32" t="s">
        <v>22</v>
      </c>
      <c r="B7" s="34"/>
      <c r="C7" s="34">
        <v>400000</v>
      </c>
      <c r="D7" s="34">
        <v>414000</v>
      </c>
      <c r="E7" s="34">
        <v>500000</v>
      </c>
      <c r="F7" s="34">
        <v>300000</v>
      </c>
    </row>
    <row r="8" spans="1:6" x14ac:dyDescent="0.25">
      <c r="A8" s="32" t="s">
        <v>3</v>
      </c>
      <c r="B8" s="34">
        <f>-B2</f>
        <v>-500000</v>
      </c>
      <c r="C8" s="34"/>
      <c r="D8" s="34"/>
      <c r="E8" s="34"/>
      <c r="F8" s="34">
        <f>B2</f>
        <v>500000</v>
      </c>
    </row>
    <row r="9" spans="1:6" x14ac:dyDescent="0.25">
      <c r="A9" s="33" t="str">
        <f>A1</f>
        <v>Maskiner og utstyr</v>
      </c>
      <c r="B9" s="37">
        <f>-B1</f>
        <v>-820000</v>
      </c>
      <c r="C9" s="37"/>
      <c r="D9" s="37"/>
      <c r="E9" s="37"/>
      <c r="F9" s="37">
        <f>B3</f>
        <v>50000</v>
      </c>
    </row>
    <row r="10" spans="1:6" x14ac:dyDescent="0.25">
      <c r="A10" s="42" t="s">
        <v>5</v>
      </c>
      <c r="B10" s="38">
        <f>SUM(B7:B9)</f>
        <v>-1320000</v>
      </c>
      <c r="C10" s="38">
        <f t="shared" ref="C10:F10" si="0">SUM(C7:C9)</f>
        <v>400000</v>
      </c>
      <c r="D10" s="38">
        <f t="shared" si="0"/>
        <v>414000</v>
      </c>
      <c r="E10" s="38">
        <f t="shared" si="0"/>
        <v>500000</v>
      </c>
      <c r="F10" s="38">
        <f t="shared" si="0"/>
        <v>850000</v>
      </c>
    </row>
    <row r="12" spans="1:6" x14ac:dyDescent="0.25">
      <c r="A12" s="39" t="s">
        <v>11</v>
      </c>
      <c r="B12" s="50">
        <f>NPV(B4,C10:F10)+B10</f>
        <v>100.3086419752799</v>
      </c>
    </row>
    <row r="13" spans="1:6" x14ac:dyDescent="0.25">
      <c r="A13" s="40" t="s">
        <v>18</v>
      </c>
      <c r="B13" s="51">
        <f>IRR(B10:F10)</f>
        <v>0.20003523884826468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AC58E-55E9-419B-B6D3-1E7EE5F6F18D}">
  <dimension ref="A1:F23"/>
  <sheetViews>
    <sheetView topLeftCell="A16" zoomScale="150" zoomScaleNormal="150" workbookViewId="0">
      <selection activeCell="A23" sqref="A23:B23"/>
    </sheetView>
  </sheetViews>
  <sheetFormatPr baseColWidth="10" defaultRowHeight="15" x14ac:dyDescent="0.25"/>
  <cols>
    <col min="1" max="1" width="19.42578125" bestFit="1" customWidth="1"/>
  </cols>
  <sheetData>
    <row r="1" spans="1:6" x14ac:dyDescent="0.25">
      <c r="A1" s="43" t="s">
        <v>85</v>
      </c>
      <c r="B1" s="133">
        <v>120000</v>
      </c>
    </row>
    <row r="2" spans="1:6" x14ac:dyDescent="0.25">
      <c r="A2" s="44" t="s">
        <v>86</v>
      </c>
      <c r="B2" s="134">
        <v>20</v>
      </c>
    </row>
    <row r="3" spans="1:6" x14ac:dyDescent="0.25">
      <c r="A3" s="44" t="s">
        <v>87</v>
      </c>
      <c r="B3" s="48">
        <v>450000</v>
      </c>
    </row>
    <row r="4" spans="1:6" x14ac:dyDescent="0.25">
      <c r="A4" s="44" t="s">
        <v>88</v>
      </c>
      <c r="B4" s="134">
        <v>3</v>
      </c>
    </row>
    <row r="5" spans="1:6" x14ac:dyDescent="0.25">
      <c r="A5" s="44" t="s">
        <v>89</v>
      </c>
      <c r="B5" s="134">
        <v>0.8</v>
      </c>
    </row>
    <row r="6" spans="1:6" x14ac:dyDescent="0.25">
      <c r="A6" s="44" t="s">
        <v>90</v>
      </c>
      <c r="B6" s="134">
        <v>20</v>
      </c>
    </row>
    <row r="7" spans="1:6" x14ac:dyDescent="0.25">
      <c r="A7" s="44" t="s">
        <v>91</v>
      </c>
      <c r="B7" s="48">
        <v>750000</v>
      </c>
    </row>
    <row r="8" spans="1:6" x14ac:dyDescent="0.25">
      <c r="A8" s="44" t="s">
        <v>10</v>
      </c>
      <c r="B8" s="48">
        <v>200000</v>
      </c>
    </row>
    <row r="9" spans="1:6" x14ac:dyDescent="0.25">
      <c r="A9" s="44" t="s">
        <v>92</v>
      </c>
      <c r="B9" s="48">
        <v>60000</v>
      </c>
    </row>
    <row r="10" spans="1:6" x14ac:dyDescent="0.25">
      <c r="A10" s="44" t="s">
        <v>93</v>
      </c>
      <c r="B10" s="48">
        <v>70000</v>
      </c>
    </row>
    <row r="11" spans="1:6" x14ac:dyDescent="0.25">
      <c r="A11" s="45" t="s">
        <v>94</v>
      </c>
      <c r="B11" s="135">
        <v>200000</v>
      </c>
    </row>
    <row r="13" spans="1:6" x14ac:dyDescent="0.25">
      <c r="A13" s="104" t="s">
        <v>0</v>
      </c>
      <c r="B13" s="85">
        <v>0</v>
      </c>
      <c r="C13" s="105">
        <v>1</v>
      </c>
      <c r="D13" s="85">
        <v>2</v>
      </c>
      <c r="E13" s="85">
        <v>3</v>
      </c>
      <c r="F13" s="85">
        <v>4</v>
      </c>
    </row>
    <row r="14" spans="1:6" x14ac:dyDescent="0.25">
      <c r="A14" s="32" t="s">
        <v>95</v>
      </c>
      <c r="B14" s="34"/>
      <c r="C14" s="34">
        <f>$B$1*$B$2</f>
        <v>2400000</v>
      </c>
      <c r="D14" s="34">
        <f>$B$1*$B$2</f>
        <v>2400000</v>
      </c>
      <c r="E14" s="34">
        <f>$B$1*$B$2</f>
        <v>2400000</v>
      </c>
      <c r="F14" s="34">
        <f>$B$1*$B$2</f>
        <v>2400000</v>
      </c>
    </row>
    <row r="15" spans="1:6" x14ac:dyDescent="0.25">
      <c r="A15" s="32" t="s">
        <v>96</v>
      </c>
      <c r="B15" s="34"/>
      <c r="C15" s="34">
        <f>-$B$3*$B$4</f>
        <v>-1350000</v>
      </c>
      <c r="D15" s="34">
        <f>-$B$3*$B$4</f>
        <v>-1350000</v>
      </c>
      <c r="E15" s="34">
        <f>-$B$3*$B$4</f>
        <v>-1350000</v>
      </c>
      <c r="F15" s="34">
        <f>-$B$3*$B$4</f>
        <v>-1350000</v>
      </c>
    </row>
    <row r="16" spans="1:6" x14ac:dyDescent="0.25">
      <c r="A16" s="32" t="s">
        <v>97</v>
      </c>
      <c r="B16" s="34"/>
      <c r="C16" s="34">
        <f>-$B$1/10*$B$5*$B$6</f>
        <v>-192000</v>
      </c>
      <c r="D16" s="34">
        <f>-$B$1/10*$B$5*$B$6</f>
        <v>-192000</v>
      </c>
      <c r="E16" s="34">
        <f>-$B$1/10*$B$5*$B$6</f>
        <v>-192000</v>
      </c>
      <c r="F16" s="34">
        <f>-$B$1/10*$B$5*$B$6</f>
        <v>-192000</v>
      </c>
    </row>
    <row r="17" spans="1:6" x14ac:dyDescent="0.25">
      <c r="A17" s="32" t="s">
        <v>92</v>
      </c>
      <c r="B17" s="34"/>
      <c r="C17" s="34">
        <f>-$B$9</f>
        <v>-60000</v>
      </c>
      <c r="D17" s="34">
        <f>-$B$9</f>
        <v>-60000</v>
      </c>
      <c r="E17" s="34">
        <f>-$B$9</f>
        <v>-60000</v>
      </c>
      <c r="F17" s="34">
        <f>-$B$9</f>
        <v>-60000</v>
      </c>
    </row>
    <row r="18" spans="1:6" x14ac:dyDescent="0.25">
      <c r="A18" s="32" t="s">
        <v>93</v>
      </c>
      <c r="B18" s="34"/>
      <c r="C18" s="34">
        <f>-$B$10</f>
        <v>-70000</v>
      </c>
      <c r="D18" s="34">
        <f>-$B$10</f>
        <v>-70000</v>
      </c>
      <c r="E18" s="34">
        <f>-$B$10</f>
        <v>-70000</v>
      </c>
      <c r="F18" s="34">
        <f>-$B$10</f>
        <v>-70000</v>
      </c>
    </row>
    <row r="19" spans="1:6" x14ac:dyDescent="0.25">
      <c r="A19" s="32" t="s">
        <v>98</v>
      </c>
      <c r="B19" s="34"/>
      <c r="C19" s="34">
        <f>-$B$11</f>
        <v>-200000</v>
      </c>
      <c r="D19" s="34">
        <f>-$B$11</f>
        <v>-200000</v>
      </c>
      <c r="E19" s="34">
        <f>-$B$11</f>
        <v>-200000</v>
      </c>
      <c r="F19" s="34">
        <f>-$B$11</f>
        <v>-200000</v>
      </c>
    </row>
    <row r="20" spans="1:6" x14ac:dyDescent="0.25">
      <c r="A20" s="33" t="s">
        <v>91</v>
      </c>
      <c r="B20" s="37">
        <f>-B7</f>
        <v>-750000</v>
      </c>
      <c r="C20" s="37"/>
      <c r="D20" s="37"/>
      <c r="E20" s="37"/>
      <c r="F20" s="37">
        <f>B8</f>
        <v>200000</v>
      </c>
    </row>
    <row r="21" spans="1:6" x14ac:dyDescent="0.25">
      <c r="A21" s="33" t="s">
        <v>5</v>
      </c>
      <c r="B21" s="37">
        <f>SUM(B14:B20)</f>
        <v>-750000</v>
      </c>
      <c r="C21" s="37">
        <f t="shared" ref="C21:F21" si="0">SUM(C14:C20)</f>
        <v>528000</v>
      </c>
      <c r="D21" s="37">
        <f t="shared" si="0"/>
        <v>528000</v>
      </c>
      <c r="E21" s="37">
        <f t="shared" si="0"/>
        <v>528000</v>
      </c>
      <c r="F21" s="37">
        <f t="shared" si="0"/>
        <v>728000</v>
      </c>
    </row>
    <row r="22" spans="1:6" x14ac:dyDescent="0.25">
      <c r="B22" s="4"/>
      <c r="C22" s="4"/>
      <c r="D22" s="4"/>
      <c r="E22" s="4"/>
      <c r="F22" s="4"/>
    </row>
    <row r="23" spans="1:6" x14ac:dyDescent="0.25">
      <c r="A23" s="136" t="s">
        <v>11</v>
      </c>
      <c r="B23" s="137">
        <f>NPV(15%,C21:F21)+B21</f>
        <v>871779.22463113</v>
      </c>
      <c r="C23" s="4"/>
      <c r="D23" s="4"/>
      <c r="E23" s="4"/>
      <c r="F23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AC30-0390-4D07-8FDC-C1885803DE2B}">
  <dimension ref="A1:E9"/>
  <sheetViews>
    <sheetView topLeftCell="A16" zoomScale="150" zoomScaleNormal="150" workbookViewId="0">
      <selection activeCell="D22" sqref="D22"/>
    </sheetView>
  </sheetViews>
  <sheetFormatPr baseColWidth="10" defaultRowHeight="15" x14ac:dyDescent="0.25"/>
  <cols>
    <col min="1" max="1" width="15.28515625" bestFit="1" customWidth="1"/>
    <col min="2" max="2" width="14" bestFit="1" customWidth="1"/>
    <col min="3" max="3" width="6.7109375" customWidth="1"/>
    <col min="4" max="4" width="15.28515625" bestFit="1" customWidth="1"/>
  </cols>
  <sheetData>
    <row r="1" spans="1:5" x14ac:dyDescent="0.25">
      <c r="A1" s="64" t="s">
        <v>99</v>
      </c>
      <c r="B1" s="106">
        <v>30000</v>
      </c>
      <c r="D1" s="64" t="s">
        <v>101</v>
      </c>
      <c r="E1" s="106">
        <v>39000</v>
      </c>
    </row>
    <row r="2" spans="1:5" x14ac:dyDescent="0.25">
      <c r="A2" s="57" t="s">
        <v>100</v>
      </c>
      <c r="B2" s="89">
        <v>60</v>
      </c>
      <c r="D2" s="57" t="s">
        <v>100</v>
      </c>
      <c r="E2" s="89">
        <v>51</v>
      </c>
    </row>
    <row r="3" spans="1:5" x14ac:dyDescent="0.25">
      <c r="A3" s="65" t="s">
        <v>17</v>
      </c>
      <c r="B3" s="109">
        <v>0.01</v>
      </c>
      <c r="D3" s="65" t="s">
        <v>17</v>
      </c>
      <c r="E3" s="107">
        <v>0.01</v>
      </c>
    </row>
    <row r="5" spans="1:5" x14ac:dyDescent="0.25">
      <c r="A5" s="70" t="s">
        <v>11</v>
      </c>
      <c r="B5" s="63">
        <f>PV(B3,B2,-B1)</f>
        <v>1348651.1521867209</v>
      </c>
      <c r="D5" s="64" t="s">
        <v>102</v>
      </c>
      <c r="E5" s="66">
        <f>PV(E3,E2,-E1)</f>
        <v>1552127.3106070273</v>
      </c>
    </row>
    <row r="6" spans="1:5" x14ac:dyDescent="0.25">
      <c r="D6" s="65" t="s">
        <v>103</v>
      </c>
      <c r="E6" s="108">
        <f>E5/(1+E3)^9</f>
        <v>1419171.8123783981</v>
      </c>
    </row>
    <row r="7" spans="1:5" x14ac:dyDescent="0.25">
      <c r="B7" s="4"/>
    </row>
    <row r="8" spans="1:5" x14ac:dyDescent="0.25">
      <c r="B8" s="4"/>
    </row>
    <row r="9" spans="1:5" x14ac:dyDescent="0.25">
      <c r="B9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E4FB-5768-4E18-9CA1-53067D809220}">
  <dimension ref="A1:G17"/>
  <sheetViews>
    <sheetView zoomScale="150" zoomScaleNormal="150" workbookViewId="0">
      <selection activeCell="G22" sqref="G22"/>
    </sheetView>
  </sheetViews>
  <sheetFormatPr baseColWidth="10" defaultRowHeight="15" x14ac:dyDescent="0.25"/>
  <cols>
    <col min="1" max="1" width="17.42578125" bestFit="1" customWidth="1"/>
    <col min="2" max="2" width="11.85546875" bestFit="1" customWidth="1"/>
    <col min="3" max="3" width="12.85546875" bestFit="1" customWidth="1"/>
    <col min="4" max="7" width="12.7109375" bestFit="1" customWidth="1"/>
  </cols>
  <sheetData>
    <row r="1" spans="1:7" x14ac:dyDescent="0.25">
      <c r="A1" s="64" t="s">
        <v>15</v>
      </c>
      <c r="B1" s="110">
        <v>8200</v>
      </c>
    </row>
    <row r="2" spans="1:7" x14ac:dyDescent="0.25">
      <c r="A2" s="57" t="s">
        <v>9</v>
      </c>
      <c r="B2" s="97">
        <v>150</v>
      </c>
    </row>
    <row r="3" spans="1:7" x14ac:dyDescent="0.25">
      <c r="A3" s="57" t="s">
        <v>104</v>
      </c>
      <c r="B3" s="97">
        <v>120</v>
      </c>
    </row>
    <row r="4" spans="1:7" x14ac:dyDescent="0.25">
      <c r="A4" s="65" t="s">
        <v>107</v>
      </c>
      <c r="B4" s="101">
        <v>90000</v>
      </c>
    </row>
    <row r="6" spans="1:7" x14ac:dyDescent="0.25">
      <c r="A6" s="64" t="s">
        <v>106</v>
      </c>
      <c r="B6" s="110">
        <v>500000</v>
      </c>
    </row>
    <row r="7" spans="1:7" x14ac:dyDescent="0.25">
      <c r="A7" s="65" t="s">
        <v>17</v>
      </c>
      <c r="B7" s="107">
        <v>0.12</v>
      </c>
    </row>
    <row r="8" spans="1:7" x14ac:dyDescent="0.25">
      <c r="A8" s="91"/>
    </row>
    <row r="9" spans="1:7" x14ac:dyDescent="0.25">
      <c r="A9" s="41" t="s">
        <v>0</v>
      </c>
      <c r="B9" s="36">
        <v>0</v>
      </c>
      <c r="C9" s="36">
        <v>1</v>
      </c>
      <c r="D9" s="36">
        <v>2</v>
      </c>
      <c r="E9" s="36">
        <v>3</v>
      </c>
      <c r="F9" s="36">
        <v>4</v>
      </c>
      <c r="G9" s="36">
        <v>5</v>
      </c>
    </row>
    <row r="10" spans="1:7" x14ac:dyDescent="0.25">
      <c r="A10" s="32" t="s">
        <v>1</v>
      </c>
      <c r="B10" s="34"/>
      <c r="C10" s="34">
        <f>$B$1*$B$2</f>
        <v>1230000</v>
      </c>
      <c r="D10" s="34">
        <f t="shared" ref="D10:G10" si="0">$B$1*$B$2</f>
        <v>1230000</v>
      </c>
      <c r="E10" s="34">
        <f t="shared" si="0"/>
        <v>1230000</v>
      </c>
      <c r="F10" s="34">
        <f t="shared" si="0"/>
        <v>1230000</v>
      </c>
      <c r="G10" s="34">
        <f t="shared" si="0"/>
        <v>1230000</v>
      </c>
    </row>
    <row r="11" spans="1:7" x14ac:dyDescent="0.25">
      <c r="A11" s="32" t="str">
        <f>A3</f>
        <v>Materialkostnader</v>
      </c>
      <c r="B11" s="34"/>
      <c r="C11" s="34">
        <f>-$B$3*$B$1</f>
        <v>-984000</v>
      </c>
      <c r="D11" s="34">
        <f t="shared" ref="D11:G11" si="1">-$B$3*$B$1</f>
        <v>-984000</v>
      </c>
      <c r="E11" s="34">
        <f t="shared" si="1"/>
        <v>-984000</v>
      </c>
      <c r="F11" s="34">
        <f t="shared" si="1"/>
        <v>-984000</v>
      </c>
      <c r="G11" s="34">
        <f t="shared" si="1"/>
        <v>-984000</v>
      </c>
    </row>
    <row r="12" spans="1:7" x14ac:dyDescent="0.25">
      <c r="A12" s="32" t="s">
        <v>8</v>
      </c>
      <c r="B12" s="34"/>
      <c r="C12" s="34">
        <f>-$B$4</f>
        <v>-90000</v>
      </c>
      <c r="D12" s="34">
        <f t="shared" ref="D12:G12" si="2">-$B$4</f>
        <v>-90000</v>
      </c>
      <c r="E12" s="34">
        <f t="shared" si="2"/>
        <v>-90000</v>
      </c>
      <c r="F12" s="34">
        <f t="shared" si="2"/>
        <v>-90000</v>
      </c>
      <c r="G12" s="34">
        <f t="shared" si="2"/>
        <v>-90000</v>
      </c>
    </row>
    <row r="13" spans="1:7" x14ac:dyDescent="0.25">
      <c r="A13" s="33" t="str">
        <f>A6</f>
        <v>Maskiner</v>
      </c>
      <c r="B13" s="37">
        <f>-B6</f>
        <v>-500000</v>
      </c>
      <c r="C13" s="37"/>
      <c r="D13" s="37"/>
      <c r="E13" s="37"/>
      <c r="F13" s="37"/>
      <c r="G13" s="37"/>
    </row>
    <row r="14" spans="1:7" x14ac:dyDescent="0.25">
      <c r="A14" s="70" t="s">
        <v>5</v>
      </c>
      <c r="B14" s="112">
        <f>SUM(B10:B13)</f>
        <v>-500000</v>
      </c>
      <c r="C14" s="112">
        <f t="shared" ref="C14:G14" si="3">SUM(C10:C13)</f>
        <v>156000</v>
      </c>
      <c r="D14" s="112">
        <f t="shared" si="3"/>
        <v>156000</v>
      </c>
      <c r="E14" s="112">
        <f t="shared" si="3"/>
        <v>156000</v>
      </c>
      <c r="F14" s="112">
        <f t="shared" si="3"/>
        <v>156000</v>
      </c>
      <c r="G14" s="112">
        <f t="shared" si="3"/>
        <v>156000</v>
      </c>
    </row>
    <row r="16" spans="1:7" x14ac:dyDescent="0.25">
      <c r="A16" s="64" t="s">
        <v>11</v>
      </c>
      <c r="B16" s="113">
        <f>NPV(B7,C14:G14)+B14</f>
        <v>62345.087565820664</v>
      </c>
    </row>
    <row r="17" spans="1:2" x14ac:dyDescent="0.25">
      <c r="A17" s="65" t="s">
        <v>18</v>
      </c>
      <c r="B17" s="111">
        <f>IRR(B14:G14)</f>
        <v>0.1692149016743294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FDE6-7F70-45EF-BD34-A85F6AD9DF51}">
  <dimension ref="A1:F49"/>
  <sheetViews>
    <sheetView topLeftCell="A46" workbookViewId="0">
      <selection activeCell="J35" sqref="J35"/>
    </sheetView>
  </sheetViews>
  <sheetFormatPr baseColWidth="10" defaultRowHeight="15" x14ac:dyDescent="0.25"/>
  <cols>
    <col min="1" max="1" width="27.28515625" bestFit="1" customWidth="1"/>
  </cols>
  <sheetData>
    <row r="1" spans="1:5" x14ac:dyDescent="0.25">
      <c r="A1" s="8" t="s">
        <v>0</v>
      </c>
      <c r="B1" s="36">
        <v>1</v>
      </c>
      <c r="C1" s="36">
        <v>2</v>
      </c>
      <c r="D1" s="36">
        <v>3</v>
      </c>
      <c r="E1" s="36">
        <v>4</v>
      </c>
    </row>
    <row r="2" spans="1:5" x14ac:dyDescent="0.25">
      <c r="A2" t="s">
        <v>108</v>
      </c>
      <c r="B2" s="35">
        <v>12000000</v>
      </c>
      <c r="C2" s="35">
        <v>17000000</v>
      </c>
      <c r="D2" s="35">
        <v>23000000</v>
      </c>
      <c r="E2" s="35">
        <v>20000000</v>
      </c>
    </row>
    <row r="3" spans="1:5" x14ac:dyDescent="0.25">
      <c r="B3" s="35"/>
      <c r="C3" s="35"/>
      <c r="D3" s="35"/>
      <c r="E3" s="35"/>
    </row>
    <row r="4" spans="1:5" x14ac:dyDescent="0.25">
      <c r="A4" t="s">
        <v>104</v>
      </c>
      <c r="B4" s="35">
        <f>-B2*0.5</f>
        <v>-6000000</v>
      </c>
      <c r="C4" s="35">
        <f t="shared" ref="C4:E4" si="0">-C2*0.5</f>
        <v>-8500000</v>
      </c>
      <c r="D4" s="35">
        <f t="shared" si="0"/>
        <v>-11500000</v>
      </c>
      <c r="E4" s="35">
        <f t="shared" si="0"/>
        <v>-10000000</v>
      </c>
    </row>
    <row r="5" spans="1:5" x14ac:dyDescent="0.25">
      <c r="A5" t="s">
        <v>105</v>
      </c>
      <c r="B5" s="35">
        <f>-B2*0.2</f>
        <v>-2400000</v>
      </c>
      <c r="C5" s="35">
        <f t="shared" ref="C5:E5" si="1">-C2*0.2</f>
        <v>-3400000</v>
      </c>
      <c r="D5" s="35">
        <f t="shared" si="1"/>
        <v>-4600000</v>
      </c>
      <c r="E5" s="35">
        <f t="shared" si="1"/>
        <v>-4000000</v>
      </c>
    </row>
    <row r="6" spans="1:5" x14ac:dyDescent="0.25">
      <c r="A6" t="s">
        <v>109</v>
      </c>
      <c r="B6" s="35">
        <v>-2000000</v>
      </c>
      <c r="C6" s="35">
        <v>-1800000</v>
      </c>
      <c r="D6" s="35">
        <v>-2000000</v>
      </c>
      <c r="E6" s="35">
        <v>-1500000</v>
      </c>
    </row>
    <row r="7" spans="1:5" x14ac:dyDescent="0.25">
      <c r="A7" s="2" t="s">
        <v>110</v>
      </c>
      <c r="B7" s="55">
        <f>-$B$15/4</f>
        <v>-1250000</v>
      </c>
      <c r="C7" s="55">
        <f t="shared" ref="C7:E7" si="2">-$B$15/4</f>
        <v>-1250000</v>
      </c>
      <c r="D7" s="55">
        <f t="shared" si="2"/>
        <v>-1250000</v>
      </c>
      <c r="E7" s="55">
        <f t="shared" si="2"/>
        <v>-1250000</v>
      </c>
    </row>
    <row r="8" spans="1:5" x14ac:dyDescent="0.25">
      <c r="A8" t="s">
        <v>111</v>
      </c>
      <c r="B8" s="35">
        <f>SUM(B4:B7)</f>
        <v>-11650000</v>
      </c>
      <c r="C8" s="35">
        <f t="shared" ref="C8:E8" si="3">SUM(C4:C7)</f>
        <v>-14950000</v>
      </c>
      <c r="D8" s="35">
        <f t="shared" si="3"/>
        <v>-19350000</v>
      </c>
      <c r="E8" s="35">
        <f t="shared" si="3"/>
        <v>-16750000</v>
      </c>
    </row>
    <row r="9" spans="1:5" x14ac:dyDescent="0.25">
      <c r="B9" s="32"/>
      <c r="C9" s="32"/>
      <c r="D9" s="32"/>
      <c r="E9" s="32"/>
    </row>
    <row r="10" spans="1:5" x14ac:dyDescent="0.25">
      <c r="A10" t="s">
        <v>112</v>
      </c>
      <c r="B10" s="35">
        <v>-1500000</v>
      </c>
      <c r="C10" s="35">
        <v>-1500000</v>
      </c>
      <c r="D10" s="35">
        <v>-1500000</v>
      </c>
      <c r="E10" s="35">
        <v>-1500000</v>
      </c>
    </row>
    <row r="11" spans="1:5" x14ac:dyDescent="0.25">
      <c r="A11" s="2"/>
      <c r="B11" s="33"/>
      <c r="C11" s="33"/>
      <c r="D11" s="33"/>
      <c r="E11" s="33"/>
    </row>
    <row r="12" spans="1:5" x14ac:dyDescent="0.25">
      <c r="A12" s="114" t="s">
        <v>113</v>
      </c>
      <c r="B12" s="115">
        <f>B2+B8+B10</f>
        <v>-1150000</v>
      </c>
      <c r="C12" s="115">
        <f t="shared" ref="C12:E12" si="4">C2+C8+C10</f>
        <v>550000</v>
      </c>
      <c r="D12" s="115">
        <f t="shared" si="4"/>
        <v>2150000</v>
      </c>
      <c r="E12" s="115">
        <f t="shared" si="4"/>
        <v>1750000</v>
      </c>
    </row>
    <row r="14" spans="1:5" x14ac:dyDescent="0.25">
      <c r="A14" t="s">
        <v>114</v>
      </c>
      <c r="B14" s="1">
        <v>1500000</v>
      </c>
    </row>
    <row r="15" spans="1:5" x14ac:dyDescent="0.25">
      <c r="A15" t="s">
        <v>115</v>
      </c>
      <c r="B15" s="1">
        <v>5000000</v>
      </c>
    </row>
    <row r="17" spans="1:5" x14ac:dyDescent="0.25">
      <c r="A17" t="s">
        <v>116</v>
      </c>
      <c r="B17" s="3">
        <v>0.25</v>
      </c>
    </row>
    <row r="19" spans="1:5" x14ac:dyDescent="0.25">
      <c r="A19" t="s">
        <v>117</v>
      </c>
      <c r="B19" s="1">
        <v>500000</v>
      </c>
    </row>
    <row r="20" spans="1:5" x14ac:dyDescent="0.25">
      <c r="A20" t="s">
        <v>118</v>
      </c>
      <c r="B20" s="1">
        <v>150000</v>
      </c>
    </row>
    <row r="21" spans="1:5" x14ac:dyDescent="0.25">
      <c r="A21" t="s">
        <v>119</v>
      </c>
      <c r="B21" s="1">
        <v>400000</v>
      </c>
    </row>
    <row r="22" spans="1:5" x14ac:dyDescent="0.25">
      <c r="A22" t="s">
        <v>120</v>
      </c>
      <c r="B22" s="1">
        <v>500000</v>
      </c>
    </row>
    <row r="24" spans="1:5" x14ac:dyDescent="0.25">
      <c r="B24" s="138" t="s">
        <v>121</v>
      </c>
      <c r="C24" s="139"/>
      <c r="D24" s="138" t="s">
        <v>122</v>
      </c>
      <c r="E24" s="139"/>
    </row>
    <row r="25" spans="1:5" x14ac:dyDescent="0.25">
      <c r="B25" s="36" t="s">
        <v>123</v>
      </c>
      <c r="C25" s="36" t="s">
        <v>124</v>
      </c>
      <c r="D25" s="36" t="s">
        <v>123</v>
      </c>
      <c r="E25" s="116" t="s">
        <v>124</v>
      </c>
    </row>
    <row r="26" spans="1:5" x14ac:dyDescent="0.25">
      <c r="A26" s="91" t="s">
        <v>125</v>
      </c>
      <c r="B26" s="35">
        <v>10000</v>
      </c>
      <c r="C26" s="35">
        <v>2000</v>
      </c>
      <c r="D26" s="35">
        <v>8000</v>
      </c>
      <c r="E26" s="103">
        <v>1800</v>
      </c>
    </row>
    <row r="27" spans="1:5" x14ac:dyDescent="0.25">
      <c r="A27" s="32" t="s">
        <v>126</v>
      </c>
      <c r="B27" s="35">
        <v>6000</v>
      </c>
      <c r="C27" s="35">
        <v>1800</v>
      </c>
      <c r="D27" s="35">
        <v>3000</v>
      </c>
      <c r="E27" s="35">
        <v>1700</v>
      </c>
    </row>
    <row r="28" spans="1:5" x14ac:dyDescent="0.25">
      <c r="A28" s="33" t="s">
        <v>127</v>
      </c>
      <c r="B28" s="55">
        <v>2000</v>
      </c>
      <c r="C28" s="55">
        <v>1700</v>
      </c>
      <c r="D28" s="33">
        <v>0</v>
      </c>
      <c r="E28" s="33"/>
    </row>
    <row r="30" spans="1:5" x14ac:dyDescent="0.25">
      <c r="A30" s="117" t="s">
        <v>0</v>
      </c>
      <c r="B30" s="118">
        <v>1</v>
      </c>
      <c r="C30" s="119">
        <v>2</v>
      </c>
      <c r="D30" s="119">
        <v>3</v>
      </c>
    </row>
    <row r="31" spans="1:5" x14ac:dyDescent="0.25">
      <c r="A31" t="s">
        <v>2</v>
      </c>
      <c r="B31" s="35">
        <v>1200</v>
      </c>
      <c r="C31" s="35">
        <v>1200</v>
      </c>
      <c r="D31" s="35">
        <v>1200</v>
      </c>
    </row>
    <row r="32" spans="1:5" x14ac:dyDescent="0.25">
      <c r="A32" s="120" t="s">
        <v>77</v>
      </c>
      <c r="B32" s="55">
        <v>300</v>
      </c>
      <c r="C32" s="33">
        <v>300</v>
      </c>
      <c r="D32" s="33">
        <v>300</v>
      </c>
    </row>
    <row r="33" spans="1:6" x14ac:dyDescent="0.25">
      <c r="A33" s="7" t="s">
        <v>128</v>
      </c>
      <c r="B33" s="82">
        <f>SUM(B31:B32)</f>
        <v>1500</v>
      </c>
      <c r="C33" s="82">
        <f t="shared" ref="C33:D33" si="5">SUM(C31:C32)</f>
        <v>1500</v>
      </c>
      <c r="D33" s="82">
        <f t="shared" si="5"/>
        <v>1500</v>
      </c>
    </row>
    <row r="35" spans="1:6" x14ac:dyDescent="0.25">
      <c r="A35" t="s">
        <v>17</v>
      </c>
      <c r="B35" s="3">
        <v>0.14000000000000001</v>
      </c>
    </row>
    <row r="37" spans="1:6" x14ac:dyDescent="0.25">
      <c r="A37" s="41" t="s">
        <v>0</v>
      </c>
      <c r="B37" s="36">
        <v>0</v>
      </c>
      <c r="C37" s="36">
        <v>1</v>
      </c>
      <c r="D37" s="36">
        <v>2</v>
      </c>
      <c r="E37" s="36">
        <v>3</v>
      </c>
      <c r="F37" s="36">
        <v>4</v>
      </c>
    </row>
    <row r="38" spans="1:6" x14ac:dyDescent="0.25">
      <c r="A38" s="32" t="str">
        <f>A2</f>
        <v>Salgsinntekter</v>
      </c>
      <c r="B38" s="121"/>
      <c r="C38" s="121">
        <f>B2</f>
        <v>12000000</v>
      </c>
      <c r="D38" s="121">
        <f t="shared" ref="D38:F38" si="6">C2</f>
        <v>17000000</v>
      </c>
      <c r="E38" s="121">
        <f t="shared" si="6"/>
        <v>23000000</v>
      </c>
      <c r="F38" s="121">
        <f t="shared" si="6"/>
        <v>20000000</v>
      </c>
    </row>
    <row r="39" spans="1:6" x14ac:dyDescent="0.25">
      <c r="A39" s="32" t="str">
        <f>A4</f>
        <v>Materialkostnader</v>
      </c>
      <c r="B39" s="121"/>
      <c r="C39" s="121">
        <f>B4</f>
        <v>-6000000</v>
      </c>
      <c r="D39" s="121">
        <f t="shared" ref="D39:F40" si="7">C4</f>
        <v>-8500000</v>
      </c>
      <c r="E39" s="121">
        <f t="shared" si="7"/>
        <v>-11500000</v>
      </c>
      <c r="F39" s="121">
        <f t="shared" si="7"/>
        <v>-10000000</v>
      </c>
    </row>
    <row r="40" spans="1:6" x14ac:dyDescent="0.25">
      <c r="A40" s="32" t="s">
        <v>105</v>
      </c>
      <c r="B40" s="121"/>
      <c r="C40" s="121">
        <f>B5</f>
        <v>-2400000</v>
      </c>
      <c r="D40" s="121">
        <f t="shared" si="7"/>
        <v>-3400000</v>
      </c>
      <c r="E40" s="121">
        <f t="shared" si="7"/>
        <v>-4600000</v>
      </c>
      <c r="F40" s="121">
        <f t="shared" si="7"/>
        <v>-4000000</v>
      </c>
    </row>
    <row r="41" spans="1:6" x14ac:dyDescent="0.25">
      <c r="A41" s="32" t="s">
        <v>109</v>
      </c>
      <c r="B41" s="121"/>
      <c r="C41" s="121">
        <f>B6-$B$17*B5</f>
        <v>-1400000</v>
      </c>
      <c r="D41" s="121">
        <f t="shared" ref="D41:F41" si="8">C6-$B$17*C5</f>
        <v>-950000</v>
      </c>
      <c r="E41" s="121">
        <f t="shared" si="8"/>
        <v>-850000</v>
      </c>
      <c r="F41" s="121">
        <f t="shared" si="8"/>
        <v>-500000</v>
      </c>
    </row>
    <row r="42" spans="1:6" x14ac:dyDescent="0.25">
      <c r="A42" s="32" t="s">
        <v>129</v>
      </c>
      <c r="B42" s="121"/>
      <c r="C42" s="121">
        <f>-B26*(C26-B31)+D26*(E26-B31)</f>
        <v>-3200000</v>
      </c>
      <c r="D42" s="121">
        <f>-B27*(C27-C31)+D27*(E27-C31)</f>
        <v>-2100000</v>
      </c>
      <c r="E42" s="121">
        <f>-B28*(C28-D31)</f>
        <v>-1000000</v>
      </c>
      <c r="F42" s="121"/>
    </row>
    <row r="43" spans="1:6" x14ac:dyDescent="0.25">
      <c r="A43" s="32" t="str">
        <f>A20</f>
        <v>Sparte produksjonskostnader</v>
      </c>
      <c r="B43" s="121"/>
      <c r="C43" s="121">
        <f>$B$20</f>
        <v>150000</v>
      </c>
      <c r="D43" s="121">
        <f t="shared" ref="D43:F43" si="9">$B$20</f>
        <v>150000</v>
      </c>
      <c r="E43" s="121">
        <f t="shared" si="9"/>
        <v>150000</v>
      </c>
      <c r="F43" s="121">
        <f t="shared" si="9"/>
        <v>150000</v>
      </c>
    </row>
    <row r="44" spans="1:6" x14ac:dyDescent="0.25">
      <c r="A44" s="32" t="s">
        <v>130</v>
      </c>
      <c r="B44" s="121">
        <f>-B22</f>
        <v>-500000</v>
      </c>
      <c r="C44" s="121">
        <f>-$B$21</f>
        <v>-400000</v>
      </c>
      <c r="D44" s="121">
        <f t="shared" ref="D44:E44" si="10">-$B$21</f>
        <v>-400000</v>
      </c>
      <c r="E44" s="121">
        <f t="shared" si="10"/>
        <v>-400000</v>
      </c>
      <c r="F44" s="121"/>
    </row>
    <row r="45" spans="1:6" x14ac:dyDescent="0.25">
      <c r="A45" s="32" t="str">
        <f>A14</f>
        <v>Lisens</v>
      </c>
      <c r="B45" s="121">
        <f>-B14</f>
        <v>-1500000</v>
      </c>
      <c r="C45" s="121"/>
      <c r="D45" s="121"/>
      <c r="E45" s="121"/>
      <c r="F45" s="121"/>
    </row>
    <row r="46" spans="1:6" x14ac:dyDescent="0.25">
      <c r="A46" s="33" t="str">
        <f>A15</f>
        <v>Produksjonsutstyr</v>
      </c>
      <c r="B46" s="122">
        <f>-B15</f>
        <v>-5000000</v>
      </c>
      <c r="C46" s="122">
        <f>B19</f>
        <v>500000</v>
      </c>
      <c r="D46" s="122"/>
      <c r="E46" s="122"/>
      <c r="F46" s="122"/>
    </row>
    <row r="47" spans="1:6" x14ac:dyDescent="0.25">
      <c r="A47" s="123" t="s">
        <v>5</v>
      </c>
      <c r="B47" s="124">
        <f>SUM(B38:B46)</f>
        <v>-7000000</v>
      </c>
      <c r="C47" s="124">
        <f t="shared" ref="C47:F47" si="11">SUM(C38:C46)</f>
        <v>-750000</v>
      </c>
      <c r="D47" s="124">
        <f t="shared" si="11"/>
        <v>1800000</v>
      </c>
      <c r="E47" s="124">
        <f t="shared" si="11"/>
        <v>4800000</v>
      </c>
      <c r="F47" s="124">
        <f t="shared" si="11"/>
        <v>5650000</v>
      </c>
    </row>
    <row r="49" spans="1:2" x14ac:dyDescent="0.25">
      <c r="A49" s="61" t="s">
        <v>11</v>
      </c>
      <c r="B49" s="125">
        <f>NPV(B35,C47:F47)+B47</f>
        <v>312263.65931567922</v>
      </c>
    </row>
  </sheetData>
  <mergeCells count="2">
    <mergeCell ref="B24:C24"/>
    <mergeCell ref="D24:E2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8E8FB-1EE5-4B8D-A0FB-CED25E097675}">
  <dimension ref="A1:G12"/>
  <sheetViews>
    <sheetView tabSelected="1" workbookViewId="0">
      <selection activeCell="G23" sqref="G23"/>
    </sheetView>
  </sheetViews>
  <sheetFormatPr baseColWidth="10" defaultRowHeight="15" x14ac:dyDescent="0.25"/>
  <cols>
    <col min="1" max="1" width="15.28515625" bestFit="1" customWidth="1"/>
    <col min="7" max="7" width="15.5703125" bestFit="1" customWidth="1"/>
  </cols>
  <sheetData>
    <row r="1" spans="1:7" x14ac:dyDescent="0.25">
      <c r="A1" s="52" t="s">
        <v>131</v>
      </c>
      <c r="B1" s="110">
        <v>1000000</v>
      </c>
    </row>
    <row r="2" spans="1:7" x14ac:dyDescent="0.25">
      <c r="A2" s="54" t="s">
        <v>17</v>
      </c>
      <c r="B2" s="107">
        <v>0.1</v>
      </c>
    </row>
    <row r="4" spans="1:7" x14ac:dyDescent="0.25">
      <c r="A4" s="104" t="s">
        <v>0</v>
      </c>
      <c r="B4" s="85">
        <v>0</v>
      </c>
      <c r="C4" s="85">
        <v>1</v>
      </c>
      <c r="D4" s="85">
        <v>2</v>
      </c>
      <c r="E4" s="85">
        <v>3</v>
      </c>
    </row>
    <row r="5" spans="1:7" x14ac:dyDescent="0.25">
      <c r="A5" s="32" t="s">
        <v>132</v>
      </c>
      <c r="B5" s="32"/>
      <c r="C5" s="35">
        <v>-1200000</v>
      </c>
      <c r="D5" s="35">
        <v>-1300000</v>
      </c>
      <c r="E5" s="35">
        <v>-1400000</v>
      </c>
    </row>
    <row r="6" spans="1:7" x14ac:dyDescent="0.25">
      <c r="A6" s="33" t="s">
        <v>10</v>
      </c>
      <c r="B6" s="33"/>
      <c r="C6" s="55">
        <v>800000</v>
      </c>
      <c r="D6" s="55">
        <v>650000</v>
      </c>
      <c r="E6" s="55">
        <v>350000</v>
      </c>
    </row>
    <row r="9" spans="1:7" x14ac:dyDescent="0.25">
      <c r="A9" s="126" t="s">
        <v>0</v>
      </c>
      <c r="B9" s="85">
        <v>0</v>
      </c>
      <c r="C9" s="85">
        <v>1</v>
      </c>
      <c r="D9" s="85">
        <v>2</v>
      </c>
      <c r="E9" s="85">
        <v>3</v>
      </c>
      <c r="F9" s="127" t="s">
        <v>11</v>
      </c>
      <c r="G9" s="128" t="s">
        <v>133</v>
      </c>
    </row>
    <row r="10" spans="1:7" x14ac:dyDescent="0.25">
      <c r="A10" s="129" t="s">
        <v>12</v>
      </c>
      <c r="B10" s="35">
        <f>-$B$1</f>
        <v>-1000000</v>
      </c>
      <c r="C10" s="35">
        <f>C5+C6</f>
        <v>-400000</v>
      </c>
      <c r="D10" s="32"/>
      <c r="E10" s="32"/>
      <c r="F10" s="35">
        <f>NPV($B$2,C10:E10)+B10</f>
        <v>-1363636.3636363635</v>
      </c>
      <c r="G10" s="130">
        <f>PMT(B2,1,-F10)</f>
        <v>-1500000</v>
      </c>
    </row>
    <row r="11" spans="1:7" x14ac:dyDescent="0.25">
      <c r="A11" s="129" t="s">
        <v>13</v>
      </c>
      <c r="B11" s="35">
        <f t="shared" ref="B11:B12" si="0">-$B$1</f>
        <v>-1000000</v>
      </c>
      <c r="C11" s="35">
        <f>C5</f>
        <v>-1200000</v>
      </c>
      <c r="D11" s="35">
        <f>D5+D6</f>
        <v>-650000</v>
      </c>
      <c r="E11" s="32"/>
      <c r="F11" s="35">
        <f t="shared" ref="F11:F12" si="1">NPV($B$2,C11:E11)+B11</f>
        <v>-2628099.1735537187</v>
      </c>
      <c r="G11" s="130">
        <f>PMT(B2,2,-F11)</f>
        <v>-1514285.7142857146</v>
      </c>
    </row>
    <row r="12" spans="1:7" x14ac:dyDescent="0.25">
      <c r="A12" s="131" t="s">
        <v>14</v>
      </c>
      <c r="B12" s="55">
        <f t="shared" si="0"/>
        <v>-1000000</v>
      </c>
      <c r="C12" s="55">
        <f>C5</f>
        <v>-1200000</v>
      </c>
      <c r="D12" s="55">
        <f>D5</f>
        <v>-1300000</v>
      </c>
      <c r="E12" s="55">
        <f>E5+E6</f>
        <v>-1050000</v>
      </c>
      <c r="F12" s="55">
        <f t="shared" si="1"/>
        <v>-3954169.797145003</v>
      </c>
      <c r="G12" s="132">
        <f>PMT(B2,3,-F12)</f>
        <v>-1590030.2114803626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CB0C-3233-4468-8B3E-772CBCDD0143}">
  <dimension ref="A1:F36"/>
  <sheetViews>
    <sheetView zoomScale="160" zoomScaleNormal="160" workbookViewId="0">
      <selection activeCell="B20" sqref="B20:B21"/>
    </sheetView>
  </sheetViews>
  <sheetFormatPr baseColWidth="10" defaultRowHeight="15" x14ac:dyDescent="0.25"/>
  <cols>
    <col min="1" max="1" width="19.140625" customWidth="1"/>
  </cols>
  <sheetData>
    <row r="1" spans="1:6" x14ac:dyDescent="0.25">
      <c r="A1" s="52" t="s">
        <v>9</v>
      </c>
      <c r="B1" s="56">
        <v>1145</v>
      </c>
    </row>
    <row r="2" spans="1:6" x14ac:dyDescent="0.25">
      <c r="A2" s="53" t="s">
        <v>16</v>
      </c>
      <c r="B2" s="57">
        <v>310</v>
      </c>
    </row>
    <row r="3" spans="1:6" x14ac:dyDescent="0.25">
      <c r="A3" s="53" t="s">
        <v>8</v>
      </c>
      <c r="B3" s="57">
        <v>156</v>
      </c>
    </row>
    <row r="4" spans="1:6" x14ac:dyDescent="0.25">
      <c r="A4" s="53" t="s">
        <v>15</v>
      </c>
      <c r="B4" s="57">
        <v>500</v>
      </c>
    </row>
    <row r="5" spans="1:6" x14ac:dyDescent="0.25">
      <c r="A5" s="53" t="s">
        <v>3</v>
      </c>
      <c r="B5" s="58">
        <v>0.1</v>
      </c>
    </row>
    <row r="6" spans="1:6" x14ac:dyDescent="0.25">
      <c r="A6" s="53" t="s">
        <v>4</v>
      </c>
      <c r="B6" s="59">
        <v>250000</v>
      </c>
    </row>
    <row r="7" spans="1:6" x14ac:dyDescent="0.25">
      <c r="A7" s="53" t="s">
        <v>10</v>
      </c>
      <c r="B7" s="59">
        <v>100000</v>
      </c>
    </row>
    <row r="8" spans="1:6" x14ac:dyDescent="0.25">
      <c r="A8" s="53" t="s">
        <v>6</v>
      </c>
      <c r="B8" s="59">
        <v>250000</v>
      </c>
    </row>
    <row r="9" spans="1:6" x14ac:dyDescent="0.25">
      <c r="A9" s="53" t="s">
        <v>17</v>
      </c>
      <c r="B9" s="58">
        <v>0.15</v>
      </c>
    </row>
    <row r="10" spans="1:6" x14ac:dyDescent="0.25">
      <c r="A10" s="54" t="s">
        <v>23</v>
      </c>
      <c r="B10" s="60">
        <v>4</v>
      </c>
    </row>
    <row r="12" spans="1:6" x14ac:dyDescent="0.25">
      <c r="A12" s="41" t="s">
        <v>0</v>
      </c>
      <c r="B12" s="62">
        <v>0</v>
      </c>
      <c r="C12" s="36">
        <v>1</v>
      </c>
      <c r="D12" s="36">
        <v>2</v>
      </c>
      <c r="E12" s="36">
        <v>3</v>
      </c>
      <c r="F12" s="36">
        <v>4</v>
      </c>
    </row>
    <row r="13" spans="1:6" x14ac:dyDescent="0.25">
      <c r="A13" s="32" t="s">
        <v>1</v>
      </c>
      <c r="B13" s="34"/>
      <c r="C13" s="34">
        <f>$B$1*$B$4</f>
        <v>572500</v>
      </c>
      <c r="D13" s="34">
        <f t="shared" ref="D13:F13" si="0">$B$1*$B$4</f>
        <v>572500</v>
      </c>
      <c r="E13" s="34">
        <f t="shared" si="0"/>
        <v>572500</v>
      </c>
      <c r="F13" s="34">
        <f t="shared" si="0"/>
        <v>572500</v>
      </c>
    </row>
    <row r="14" spans="1:6" x14ac:dyDescent="0.25">
      <c r="A14" s="32" t="s">
        <v>2</v>
      </c>
      <c r="B14" s="34"/>
      <c r="C14" s="34">
        <f>-($B$2+$B$3)*$B$4</f>
        <v>-233000</v>
      </c>
      <c r="D14" s="34">
        <f t="shared" ref="D14:F14" si="1">-($B$2+$B$3)*$B$4</f>
        <v>-233000</v>
      </c>
      <c r="E14" s="34">
        <f t="shared" si="1"/>
        <v>-233000</v>
      </c>
      <c r="F14" s="34">
        <f t="shared" si="1"/>
        <v>-233000</v>
      </c>
    </row>
    <row r="15" spans="1:6" x14ac:dyDescent="0.25">
      <c r="A15" s="32" t="s">
        <v>6</v>
      </c>
      <c r="B15" s="34"/>
      <c r="C15" s="34">
        <f>-$B$8</f>
        <v>-250000</v>
      </c>
      <c r="D15" s="34">
        <f t="shared" ref="D15:F15" si="2">-$B$8</f>
        <v>-250000</v>
      </c>
      <c r="E15" s="34">
        <f t="shared" si="2"/>
        <v>-250000</v>
      </c>
      <c r="F15" s="34">
        <f t="shared" si="2"/>
        <v>-250000</v>
      </c>
    </row>
    <row r="16" spans="1:6" x14ac:dyDescent="0.25">
      <c r="A16" s="32" t="s">
        <v>3</v>
      </c>
      <c r="B16" s="34">
        <f>$B$5*(B13-C13)</f>
        <v>-57250</v>
      </c>
      <c r="C16" s="34">
        <f t="shared" ref="C16:F16" si="3">$B$5*(C13-D13)</f>
        <v>0</v>
      </c>
      <c r="D16" s="34">
        <f t="shared" si="3"/>
        <v>0</v>
      </c>
      <c r="E16" s="34">
        <f t="shared" si="3"/>
        <v>0</v>
      </c>
      <c r="F16" s="34">
        <f t="shared" si="3"/>
        <v>57250</v>
      </c>
    </row>
    <row r="17" spans="1:6" x14ac:dyDescent="0.25">
      <c r="A17" s="33" t="s">
        <v>4</v>
      </c>
      <c r="B17" s="37">
        <f>-B6</f>
        <v>-250000</v>
      </c>
      <c r="C17" s="37"/>
      <c r="D17" s="37"/>
      <c r="E17" s="37"/>
      <c r="F17" s="37">
        <f>B7</f>
        <v>100000</v>
      </c>
    </row>
    <row r="18" spans="1:6" x14ac:dyDescent="0.25">
      <c r="A18" s="61" t="s">
        <v>5</v>
      </c>
      <c r="B18" s="63">
        <f>SUM(B13:B17)</f>
        <v>-307250</v>
      </c>
      <c r="C18" s="63">
        <f t="shared" ref="C18:F18" si="4">SUM(C13:C17)</f>
        <v>89500</v>
      </c>
      <c r="D18" s="63">
        <f t="shared" si="4"/>
        <v>89500</v>
      </c>
      <c r="E18" s="63">
        <f t="shared" si="4"/>
        <v>89500</v>
      </c>
      <c r="F18" s="63">
        <f t="shared" si="4"/>
        <v>246750</v>
      </c>
    </row>
    <row r="19" spans="1:6" x14ac:dyDescent="0.25">
      <c r="B19" s="4"/>
      <c r="C19" s="4"/>
      <c r="D19" s="4"/>
      <c r="E19" s="4"/>
      <c r="F19" s="4"/>
    </row>
    <row r="20" spans="1:6" x14ac:dyDescent="0.25">
      <c r="A20" s="64" t="s">
        <v>11</v>
      </c>
      <c r="B20" s="66">
        <f>NPV(B9,C18:F18)+B18</f>
        <v>38178.761332328082</v>
      </c>
      <c r="C20" s="4"/>
      <c r="D20" s="4"/>
      <c r="E20" s="4"/>
      <c r="F20" s="4"/>
    </row>
    <row r="21" spans="1:6" x14ac:dyDescent="0.25">
      <c r="A21" s="65" t="s">
        <v>18</v>
      </c>
      <c r="B21" s="51">
        <f>IRR(B18:F18)</f>
        <v>0.2003992556914973</v>
      </c>
      <c r="C21" s="4"/>
      <c r="D21" s="4"/>
      <c r="E21" s="4"/>
      <c r="F21" s="4"/>
    </row>
    <row r="22" spans="1:6" x14ac:dyDescent="0.25">
      <c r="B22" s="4"/>
      <c r="C22" s="4"/>
      <c r="D22" s="4"/>
      <c r="E22" s="4"/>
      <c r="F22" s="4"/>
    </row>
    <row r="23" spans="1:6" x14ac:dyDescent="0.25">
      <c r="A23" s="20" t="str">
        <f>A9</f>
        <v>Avkastningskrav</v>
      </c>
      <c r="B23" s="21" t="s">
        <v>11</v>
      </c>
      <c r="C23" s="4"/>
      <c r="D23" s="4"/>
      <c r="E23" s="4"/>
      <c r="F23" s="4"/>
    </row>
    <row r="24" spans="1:6" x14ac:dyDescent="0.25">
      <c r="A24" s="22">
        <v>0.02</v>
      </c>
      <c r="B24" s="4">
        <f>NPV(A24,$C$18:$F$18)+$B$18</f>
        <v>178816.4117740182</v>
      </c>
      <c r="C24" s="4"/>
      <c r="D24" s="4"/>
      <c r="E24" s="4"/>
      <c r="F24" s="4"/>
    </row>
    <row r="25" spans="1:6" x14ac:dyDescent="0.25">
      <c r="A25" s="22">
        <v>0.04</v>
      </c>
      <c r="B25" s="4">
        <f t="shared" ref="B25:B36" si="5">NPV(A25,$C$18:$F$18)+$B$18</f>
        <v>152043.58161041274</v>
      </c>
      <c r="C25" s="4"/>
      <c r="D25" s="4"/>
      <c r="E25" s="4"/>
      <c r="F25" s="4"/>
    </row>
    <row r="26" spans="1:6" x14ac:dyDescent="0.25">
      <c r="A26" s="22">
        <v>0.06</v>
      </c>
      <c r="B26" s="4">
        <f t="shared" si="5"/>
        <v>127433.68088079791</v>
      </c>
      <c r="C26" s="4"/>
      <c r="D26" s="4"/>
      <c r="E26" s="4"/>
      <c r="F26" s="4"/>
    </row>
    <row r="27" spans="1:6" x14ac:dyDescent="0.25">
      <c r="A27" s="22">
        <v>0.08</v>
      </c>
      <c r="B27" s="4">
        <f t="shared" si="5"/>
        <v>104768.79653620999</v>
      </c>
      <c r="C27" s="4"/>
      <c r="D27" s="4"/>
      <c r="E27" s="4"/>
      <c r="F27" s="4"/>
    </row>
    <row r="28" spans="1:6" x14ac:dyDescent="0.25">
      <c r="A28" s="22">
        <v>0.1</v>
      </c>
      <c r="B28" s="4">
        <f t="shared" si="5"/>
        <v>83856.823304418998</v>
      </c>
      <c r="C28" s="4"/>
      <c r="D28" s="4"/>
      <c r="E28" s="4"/>
      <c r="F28" s="4"/>
    </row>
    <row r="29" spans="1:6" x14ac:dyDescent="0.25">
      <c r="A29" s="22">
        <v>0.12</v>
      </c>
      <c r="B29" s="4">
        <f t="shared" si="5"/>
        <v>64527.984352222935</v>
      </c>
      <c r="C29" s="4"/>
      <c r="D29" s="4"/>
      <c r="E29" s="4"/>
      <c r="F29" s="4"/>
    </row>
    <row r="30" spans="1:6" x14ac:dyDescent="0.25">
      <c r="A30" s="22">
        <v>0.14000000000000001</v>
      </c>
      <c r="B30" s="4">
        <f t="shared" si="5"/>
        <v>46631.874869090971</v>
      </c>
    </row>
    <row r="31" spans="1:6" x14ac:dyDescent="0.25">
      <c r="A31" s="22">
        <v>0.16</v>
      </c>
      <c r="B31" s="4">
        <f t="shared" si="5"/>
        <v>30034.942264814163</v>
      </c>
    </row>
    <row r="32" spans="1:6" x14ac:dyDescent="0.25">
      <c r="A32" s="22">
        <v>0.18</v>
      </c>
      <c r="B32" s="4">
        <f t="shared" si="5"/>
        <v>14618.332139316539</v>
      </c>
    </row>
    <row r="33" spans="1:2" x14ac:dyDescent="0.25">
      <c r="A33" s="22">
        <v>0.2</v>
      </c>
      <c r="B33" s="4">
        <f t="shared" si="5"/>
        <v>276.04166666668607</v>
      </c>
    </row>
    <row r="34" spans="1:2" x14ac:dyDescent="0.25">
      <c r="A34" s="22">
        <v>0.22</v>
      </c>
      <c r="B34" s="4">
        <f t="shared" si="5"/>
        <v>-13086.667848489655</v>
      </c>
    </row>
    <row r="35" spans="1:2" x14ac:dyDescent="0.25">
      <c r="A35" s="22">
        <v>0.24</v>
      </c>
      <c r="B35" s="4">
        <f t="shared" si="5"/>
        <v>-25554.639255631424</v>
      </c>
    </row>
    <row r="36" spans="1:2" x14ac:dyDescent="0.25">
      <c r="A36" s="22">
        <v>0.26</v>
      </c>
      <c r="B36" s="4">
        <f t="shared" si="5"/>
        <v>-37204.001980960951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5324-6002-4EE3-9F07-37B831CAE204}">
  <dimension ref="A1:L12"/>
  <sheetViews>
    <sheetView zoomScale="120" zoomScaleNormal="120" workbookViewId="0">
      <selection sqref="A1:L10"/>
    </sheetView>
  </sheetViews>
  <sheetFormatPr baseColWidth="10" defaultRowHeight="15" x14ac:dyDescent="0.25"/>
  <cols>
    <col min="1" max="1" width="15.28515625" bestFit="1" customWidth="1"/>
    <col min="2" max="2" width="10.5703125" bestFit="1" customWidth="1"/>
    <col min="3" max="11" width="9.28515625" customWidth="1"/>
    <col min="12" max="12" width="10.28515625" customWidth="1"/>
  </cols>
  <sheetData>
    <row r="1" spans="1:12" x14ac:dyDescent="0.25">
      <c r="A1" s="41" t="s">
        <v>0</v>
      </c>
      <c r="B1" s="36">
        <v>0</v>
      </c>
      <c r="C1" s="36">
        <v>1</v>
      </c>
      <c r="D1" s="36">
        <v>2</v>
      </c>
      <c r="E1" s="36">
        <v>3</v>
      </c>
      <c r="F1" s="9">
        <v>4</v>
      </c>
      <c r="G1" s="36">
        <v>5</v>
      </c>
      <c r="H1" s="36">
        <v>6</v>
      </c>
      <c r="I1" s="36">
        <v>7</v>
      </c>
      <c r="J1" s="36">
        <v>8</v>
      </c>
      <c r="K1" s="36">
        <v>9</v>
      </c>
      <c r="L1" s="36">
        <v>10</v>
      </c>
    </row>
    <row r="2" spans="1:12" x14ac:dyDescent="0.25">
      <c r="A2" s="32" t="s">
        <v>7</v>
      </c>
      <c r="B2" s="34"/>
      <c r="C2" s="34">
        <v>360000</v>
      </c>
      <c r="D2" s="34">
        <v>360000</v>
      </c>
      <c r="E2" s="34">
        <v>360000</v>
      </c>
      <c r="F2" s="67">
        <v>360000</v>
      </c>
      <c r="G2" s="34">
        <v>360000</v>
      </c>
      <c r="H2" s="34">
        <v>360000</v>
      </c>
      <c r="I2" s="34">
        <v>360000</v>
      </c>
      <c r="J2" s="34">
        <v>360000</v>
      </c>
      <c r="K2" s="34">
        <v>360000</v>
      </c>
      <c r="L2" s="34">
        <v>360000</v>
      </c>
    </row>
    <row r="3" spans="1:12" x14ac:dyDescent="0.25">
      <c r="A3" s="33" t="s">
        <v>27</v>
      </c>
      <c r="B3" s="37"/>
      <c r="C3" s="37"/>
      <c r="D3" s="37"/>
      <c r="E3" s="37"/>
      <c r="F3" s="68"/>
      <c r="G3" s="37"/>
      <c r="H3" s="37"/>
      <c r="I3" s="37"/>
      <c r="J3" s="37"/>
      <c r="K3" s="37"/>
      <c r="L3" s="37">
        <v>2000000</v>
      </c>
    </row>
    <row r="4" spans="1:12" x14ac:dyDescent="0.25">
      <c r="A4" s="61" t="s">
        <v>5</v>
      </c>
      <c r="B4" s="63">
        <f>SUM(B2:B3)</f>
        <v>0</v>
      </c>
      <c r="C4" s="63">
        <f t="shared" ref="C4:L4" si="0">SUM(C2:C3)</f>
        <v>360000</v>
      </c>
      <c r="D4" s="63">
        <f t="shared" si="0"/>
        <v>360000</v>
      </c>
      <c r="E4" s="63">
        <f t="shared" si="0"/>
        <v>360000</v>
      </c>
      <c r="F4" s="69">
        <f t="shared" si="0"/>
        <v>360000</v>
      </c>
      <c r="G4" s="63">
        <f t="shared" si="0"/>
        <v>360000</v>
      </c>
      <c r="H4" s="63">
        <f t="shared" si="0"/>
        <v>360000</v>
      </c>
      <c r="I4" s="63">
        <f t="shared" si="0"/>
        <v>360000</v>
      </c>
      <c r="J4" s="63">
        <f t="shared" si="0"/>
        <v>360000</v>
      </c>
      <c r="K4" s="63">
        <f t="shared" si="0"/>
        <v>360000</v>
      </c>
      <c r="L4" s="63">
        <f t="shared" si="0"/>
        <v>2360000</v>
      </c>
    </row>
    <row r="6" spans="1:12" x14ac:dyDescent="0.25">
      <c r="A6" s="70" t="s">
        <v>17</v>
      </c>
      <c r="B6" s="71">
        <v>0.15</v>
      </c>
    </row>
    <row r="8" spans="1:12" x14ac:dyDescent="0.25">
      <c r="A8" s="72" t="s">
        <v>11</v>
      </c>
      <c r="B8" s="73">
        <f>NPV(B6,C4:L4)</f>
        <v>2301126.117551255</v>
      </c>
    </row>
    <row r="10" spans="1:12" x14ac:dyDescent="0.25">
      <c r="A10" s="72" t="s">
        <v>28</v>
      </c>
      <c r="B10" s="74">
        <v>2300000</v>
      </c>
    </row>
    <row r="12" spans="1:12" x14ac:dyDescent="0.25">
      <c r="A1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C541-AB42-4379-8BD5-424E0020D834}">
  <dimension ref="A1:N9"/>
  <sheetViews>
    <sheetView zoomScale="130" zoomScaleNormal="130" workbookViewId="0">
      <selection activeCell="B1" sqref="B1:B5"/>
    </sheetView>
  </sheetViews>
  <sheetFormatPr baseColWidth="10" defaultRowHeight="15" x14ac:dyDescent="0.25"/>
  <cols>
    <col min="1" max="1" width="12.85546875" customWidth="1"/>
    <col min="3" max="14" width="10.7109375" customWidth="1"/>
  </cols>
  <sheetData>
    <row r="1" spans="1:14" x14ac:dyDescent="0.25">
      <c r="A1" s="8" t="s">
        <v>0</v>
      </c>
      <c r="B1" s="36">
        <v>0</v>
      </c>
      <c r="C1" s="36">
        <v>1</v>
      </c>
      <c r="D1" s="36">
        <v>2</v>
      </c>
      <c r="E1" s="36">
        <v>3</v>
      </c>
      <c r="F1" s="36">
        <v>4</v>
      </c>
      <c r="G1" s="36">
        <v>5</v>
      </c>
      <c r="H1" s="36">
        <v>6</v>
      </c>
      <c r="I1" s="36">
        <v>7</v>
      </c>
      <c r="J1" s="36">
        <v>8</v>
      </c>
      <c r="K1" s="36">
        <v>9</v>
      </c>
      <c r="L1" s="36">
        <v>10</v>
      </c>
      <c r="M1" s="36">
        <v>11</v>
      </c>
      <c r="N1" s="36">
        <v>12</v>
      </c>
    </row>
    <row r="2" spans="1:14" x14ac:dyDescent="0.25">
      <c r="A2" t="s">
        <v>24</v>
      </c>
      <c r="B2" s="32"/>
      <c r="C2" s="35">
        <v>3200000</v>
      </c>
      <c r="D2" s="35">
        <v>3200000</v>
      </c>
      <c r="E2" s="35">
        <v>3200000</v>
      </c>
      <c r="F2" s="35">
        <v>3200000</v>
      </c>
      <c r="G2" s="35">
        <v>3200000</v>
      </c>
      <c r="H2" s="35">
        <v>3200000</v>
      </c>
      <c r="I2" s="35">
        <v>3200000</v>
      </c>
      <c r="J2" s="35">
        <v>3200000</v>
      </c>
      <c r="K2" s="35">
        <v>3200000</v>
      </c>
      <c r="L2" s="35">
        <v>3200000</v>
      </c>
      <c r="M2" s="35">
        <v>3200000</v>
      </c>
      <c r="N2" s="35">
        <v>3200000</v>
      </c>
    </row>
    <row r="3" spans="1:14" x14ac:dyDescent="0.25">
      <c r="A3" t="s">
        <v>3</v>
      </c>
      <c r="B3" s="35">
        <v>-10000000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5">
        <v>10000000</v>
      </c>
    </row>
    <row r="4" spans="1:14" x14ac:dyDescent="0.25">
      <c r="A4" s="2" t="s">
        <v>25</v>
      </c>
      <c r="B4" s="55">
        <v>-17000000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55">
        <v>2000000</v>
      </c>
    </row>
    <row r="5" spans="1:14" x14ac:dyDescent="0.25">
      <c r="A5" s="23" t="s">
        <v>5</v>
      </c>
      <c r="B5" s="75">
        <f t="shared" ref="B5:N5" si="0">SUM(B2:B4)</f>
        <v>-27000000</v>
      </c>
      <c r="C5" s="75">
        <f t="shared" si="0"/>
        <v>3200000</v>
      </c>
      <c r="D5" s="75">
        <f t="shared" si="0"/>
        <v>3200000</v>
      </c>
      <c r="E5" s="75">
        <f t="shared" si="0"/>
        <v>3200000</v>
      </c>
      <c r="F5" s="75">
        <f t="shared" si="0"/>
        <v>3200000</v>
      </c>
      <c r="G5" s="75">
        <f t="shared" si="0"/>
        <v>3200000</v>
      </c>
      <c r="H5" s="75">
        <f t="shared" si="0"/>
        <v>3200000</v>
      </c>
      <c r="I5" s="75">
        <f t="shared" si="0"/>
        <v>3200000</v>
      </c>
      <c r="J5" s="75">
        <f t="shared" si="0"/>
        <v>3200000</v>
      </c>
      <c r="K5" s="75">
        <f t="shared" si="0"/>
        <v>3200000</v>
      </c>
      <c r="L5" s="75">
        <f t="shared" si="0"/>
        <v>3200000</v>
      </c>
      <c r="M5" s="75">
        <f t="shared" si="0"/>
        <v>3200000</v>
      </c>
      <c r="N5" s="75">
        <f t="shared" si="0"/>
        <v>15200000</v>
      </c>
    </row>
    <row r="7" spans="1:14" x14ac:dyDescent="0.25">
      <c r="A7" s="64" t="s">
        <v>26</v>
      </c>
      <c r="B7" s="76">
        <v>0.12</v>
      </c>
    </row>
    <row r="8" spans="1:14" x14ac:dyDescent="0.25">
      <c r="A8" s="57" t="s">
        <v>11</v>
      </c>
      <c r="B8" s="77">
        <f>NPV(B7,C5:N5)+B5</f>
        <v>-4097901.3631990552</v>
      </c>
    </row>
    <row r="9" spans="1:14" x14ac:dyDescent="0.25">
      <c r="A9" s="65" t="s">
        <v>18</v>
      </c>
      <c r="B9" s="78">
        <f>IRR(B5:N5)</f>
        <v>9.1118512579174693E-2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E493B-48A1-46B2-9ABB-D414AE13E77F}">
  <dimension ref="A1:G22"/>
  <sheetViews>
    <sheetView zoomScale="140" zoomScaleNormal="140" workbookViewId="0">
      <selection activeCell="I10" sqref="I10"/>
    </sheetView>
  </sheetViews>
  <sheetFormatPr baseColWidth="10" defaultRowHeight="15" x14ac:dyDescent="0.25"/>
  <cols>
    <col min="1" max="1" width="27" customWidth="1"/>
    <col min="2" max="2" width="13.5703125" bestFit="1" customWidth="1"/>
    <col min="4" max="4" width="11.5703125" customWidth="1"/>
  </cols>
  <sheetData>
    <row r="1" spans="1:5" x14ac:dyDescent="0.25">
      <c r="B1" s="15" t="s">
        <v>30</v>
      </c>
      <c r="C1" s="15" t="s">
        <v>31</v>
      </c>
      <c r="E1" s="25" t="s">
        <v>35</v>
      </c>
    </row>
    <row r="2" spans="1:5" x14ac:dyDescent="0.25">
      <c r="A2" t="s">
        <v>32</v>
      </c>
      <c r="B2" s="1">
        <v>6700000</v>
      </c>
      <c r="C2" s="1">
        <v>9500000</v>
      </c>
    </row>
    <row r="3" spans="1:5" x14ac:dyDescent="0.25">
      <c r="A3" t="s">
        <v>23</v>
      </c>
      <c r="B3">
        <v>5</v>
      </c>
      <c r="C3">
        <v>5</v>
      </c>
    </row>
    <row r="4" spans="1:5" x14ac:dyDescent="0.25">
      <c r="A4" t="s">
        <v>10</v>
      </c>
      <c r="B4" s="1">
        <v>500000</v>
      </c>
      <c r="C4" s="1">
        <v>800000</v>
      </c>
    </row>
    <row r="5" spans="1:5" x14ac:dyDescent="0.25">
      <c r="A5" t="s">
        <v>20</v>
      </c>
      <c r="B5" s="3">
        <v>0.15</v>
      </c>
      <c r="C5" s="3">
        <v>0.15</v>
      </c>
    </row>
    <row r="7" spans="1:5" x14ac:dyDescent="0.25">
      <c r="A7" t="s">
        <v>33</v>
      </c>
      <c r="B7" s="24">
        <f>B2-B4*(1+B5)^B3</f>
        <v>5694321.40625</v>
      </c>
      <c r="C7" s="24">
        <f>C2-C4*(1+C5)^C3</f>
        <v>7890914.25</v>
      </c>
    </row>
    <row r="9" spans="1:5" x14ac:dyDescent="0.25">
      <c r="A9" t="s">
        <v>34</v>
      </c>
      <c r="B9" s="14">
        <f>-PMT(B5,B3,B7)</f>
        <v>1698704.6361989758</v>
      </c>
      <c r="C9" s="14">
        <f>-PMT(C5,C3,C7)</f>
        <v>2353982.4439152963</v>
      </c>
      <c r="E9" s="5">
        <f>B9-C9</f>
        <v>-655277.8077163205</v>
      </c>
    </row>
    <row r="10" spans="1:5" x14ac:dyDescent="0.25">
      <c r="A10" t="s">
        <v>36</v>
      </c>
      <c r="E10" s="10">
        <v>600000</v>
      </c>
    </row>
    <row r="11" spans="1:5" x14ac:dyDescent="0.25">
      <c r="E11" s="26">
        <f>SUM(E9:E10)</f>
        <v>-55277.807716320502</v>
      </c>
    </row>
    <row r="13" spans="1:5" x14ac:dyDescent="0.25">
      <c r="A13" s="11" t="s">
        <v>37</v>
      </c>
      <c r="B13" s="11"/>
      <c r="C13" s="11"/>
    </row>
    <row r="15" spans="1:5" x14ac:dyDescent="0.25">
      <c r="A15" t="s">
        <v>59</v>
      </c>
    </row>
    <row r="17" spans="1:7" x14ac:dyDescent="0.25">
      <c r="B17" s="17">
        <v>0</v>
      </c>
      <c r="C17" s="17">
        <v>1</v>
      </c>
      <c r="D17" s="17">
        <v>2</v>
      </c>
      <c r="E17" s="17">
        <v>3</v>
      </c>
      <c r="F17" s="17">
        <v>4</v>
      </c>
      <c r="G17" s="17">
        <v>5</v>
      </c>
    </row>
    <row r="18" spans="1:7" x14ac:dyDescent="0.25">
      <c r="A18" s="13" t="s">
        <v>60</v>
      </c>
      <c r="B18" s="12">
        <f>B2-C2</f>
        <v>-2800000</v>
      </c>
      <c r="C18" s="12">
        <v>600000</v>
      </c>
      <c r="D18" s="12">
        <v>600000</v>
      </c>
      <c r="E18" s="12">
        <v>600000</v>
      </c>
      <c r="F18" s="12">
        <v>600000</v>
      </c>
      <c r="G18" s="12">
        <f>600000+C4-B4</f>
        <v>900000</v>
      </c>
    </row>
    <row r="20" spans="1:7" x14ac:dyDescent="0.25">
      <c r="A20" s="29" t="s">
        <v>11</v>
      </c>
      <c r="B20" s="31">
        <f>NPV(B5,C18:G18)+B18</f>
        <v>-639553.92060367111</v>
      </c>
    </row>
    <row r="22" spans="1:7" x14ac:dyDescent="0.25">
      <c r="A22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7F54-2979-4325-B5D0-5978BC63ED03}">
  <dimension ref="A1:J65"/>
  <sheetViews>
    <sheetView topLeftCell="A34" workbookViewId="0">
      <selection activeCell="H7" sqref="H7"/>
    </sheetView>
  </sheetViews>
  <sheetFormatPr baseColWidth="10" defaultRowHeight="15" x14ac:dyDescent="0.25"/>
  <sheetData>
    <row r="1" spans="1:9" x14ac:dyDescent="0.25">
      <c r="A1" s="16" t="s">
        <v>0</v>
      </c>
      <c r="B1" s="17">
        <v>0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</row>
    <row r="2" spans="1:9" x14ac:dyDescent="0.25">
      <c r="A2" t="s">
        <v>38</v>
      </c>
      <c r="B2" s="1">
        <v>-300000</v>
      </c>
      <c r="C2" s="1">
        <v>-387000</v>
      </c>
      <c r="D2" s="1">
        <v>-193000</v>
      </c>
      <c r="E2" s="1">
        <v>-100000</v>
      </c>
      <c r="F2" s="1">
        <v>600000</v>
      </c>
      <c r="G2" s="1">
        <v>600000</v>
      </c>
      <c r="H2" s="1">
        <v>850000</v>
      </c>
      <c r="I2" s="1">
        <v>-180000</v>
      </c>
    </row>
    <row r="3" spans="1:9" x14ac:dyDescent="0.25">
      <c r="A3" t="s">
        <v>39</v>
      </c>
      <c r="B3" s="1">
        <v>-405000</v>
      </c>
      <c r="C3" s="1">
        <v>134000</v>
      </c>
      <c r="D3" s="1">
        <v>134000</v>
      </c>
      <c r="E3" s="1">
        <v>134000</v>
      </c>
      <c r="F3" s="1">
        <v>134000</v>
      </c>
      <c r="G3" s="1">
        <v>134000</v>
      </c>
      <c r="H3" s="1">
        <v>134000</v>
      </c>
    </row>
    <row r="5" spans="1:9" x14ac:dyDescent="0.25">
      <c r="A5" t="s">
        <v>40</v>
      </c>
      <c r="B5" t="s">
        <v>41</v>
      </c>
      <c r="C5" s="1">
        <f>NPV(10%,C2:I2)+B2</f>
        <v>283341.45217897394</v>
      </c>
    </row>
    <row r="6" spans="1:9" x14ac:dyDescent="0.25">
      <c r="B6" t="s">
        <v>42</v>
      </c>
      <c r="C6" s="1">
        <f>NPV(10%,C3:I3)+B3</f>
        <v>178604.93372793798</v>
      </c>
    </row>
    <row r="9" spans="1:9" x14ac:dyDescent="0.25">
      <c r="A9" t="s">
        <v>43</v>
      </c>
      <c r="B9" t="s">
        <v>44</v>
      </c>
      <c r="C9" s="6">
        <f>IRR(B2:I2)</f>
        <v>0.18096706698840315</v>
      </c>
    </row>
    <row r="10" spans="1:9" x14ac:dyDescent="0.25">
      <c r="B10" t="s">
        <v>45</v>
      </c>
      <c r="C10" s="6">
        <f>IRR(B3:I3)</f>
        <v>0.23972784611434439</v>
      </c>
    </row>
    <row r="12" spans="1:9" x14ac:dyDescent="0.25">
      <c r="A12" t="s">
        <v>46</v>
      </c>
      <c r="B12" s="15" t="s">
        <v>26</v>
      </c>
      <c r="C12" s="15" t="s">
        <v>41</v>
      </c>
      <c r="D12" s="15" t="s">
        <v>42</v>
      </c>
    </row>
    <row r="13" spans="1:9" x14ac:dyDescent="0.25">
      <c r="B13" s="22">
        <v>0.02</v>
      </c>
      <c r="C13" s="1">
        <f>NPV(B13,$C$2:$I$2)+$B$2</f>
        <v>736671.01128209906</v>
      </c>
      <c r="D13" s="27">
        <f>NPV(B13,$C$3:$H$3)+$B$3</f>
        <v>345591.7393525131</v>
      </c>
    </row>
    <row r="14" spans="1:9" x14ac:dyDescent="0.25">
      <c r="B14" s="22">
        <v>0.04</v>
      </c>
      <c r="C14" s="1">
        <f t="shared" ref="C14:C27" si="0">NPV(B14,$C$2:$I$2)+$B$2</f>
        <v>601566.54957279679</v>
      </c>
      <c r="D14" s="27">
        <f t="shared" ref="D14:D27" si="1">NPV(B14,$C$3:$H$3)+$B$3</f>
        <v>297446.33880401088</v>
      </c>
    </row>
    <row r="15" spans="1:9" x14ac:dyDescent="0.25">
      <c r="B15" s="22">
        <v>0.06</v>
      </c>
      <c r="C15" s="1">
        <f t="shared" si="0"/>
        <v>482291.69973553077</v>
      </c>
      <c r="D15" s="27">
        <f t="shared" si="1"/>
        <v>253921.45968472224</v>
      </c>
    </row>
    <row r="16" spans="1:9" x14ac:dyDescent="0.25">
      <c r="B16" s="22">
        <v>0.08</v>
      </c>
      <c r="C16" s="1">
        <f t="shared" si="0"/>
        <v>376800.79184798407</v>
      </c>
      <c r="D16" s="27">
        <f t="shared" si="1"/>
        <v>214465.87497079943</v>
      </c>
    </row>
    <row r="17" spans="1:4" x14ac:dyDescent="0.25">
      <c r="B17" s="22">
        <v>0.1</v>
      </c>
      <c r="C17" s="1">
        <f t="shared" si="0"/>
        <v>283341.45217897394</v>
      </c>
      <c r="D17" s="27">
        <f t="shared" si="1"/>
        <v>178604.93372793798</v>
      </c>
    </row>
    <row r="18" spans="1:4" x14ac:dyDescent="0.25">
      <c r="B18" s="22">
        <v>0.12</v>
      </c>
      <c r="C18" s="1">
        <f t="shared" si="0"/>
        <v>200408.39727973763</v>
      </c>
      <c r="D18" s="27">
        <f t="shared" si="1"/>
        <v>145928.58135199151</v>
      </c>
    </row>
    <row r="19" spans="1:4" x14ac:dyDescent="0.25">
      <c r="B19" s="22">
        <v>0.14000000000000001</v>
      </c>
      <c r="C19" s="1">
        <f t="shared" si="0"/>
        <v>126705.14368857251</v>
      </c>
      <c r="D19" s="27">
        <f t="shared" si="1"/>
        <v>116081.44721669605</v>
      </c>
    </row>
    <row r="20" spans="1:4" x14ac:dyDescent="0.25">
      <c r="B20" s="22">
        <v>0.16</v>
      </c>
      <c r="C20" s="1">
        <f t="shared" si="0"/>
        <v>61112.172102938115</v>
      </c>
      <c r="D20" s="27">
        <f t="shared" si="1"/>
        <v>88754.611716039421</v>
      </c>
    </row>
    <row r="21" spans="1:4" x14ac:dyDescent="0.25">
      <c r="B21" s="22">
        <v>0.18</v>
      </c>
      <c r="C21" s="1">
        <f t="shared" si="0"/>
        <v>2660.3732478562742</v>
      </c>
      <c r="D21" s="27">
        <f t="shared" si="1"/>
        <v>63678.743056113773</v>
      </c>
    </row>
    <row r="22" spans="1:4" x14ac:dyDescent="0.25">
      <c r="B22" s="22">
        <v>0.2</v>
      </c>
      <c r="C22" s="1">
        <f t="shared" si="0"/>
        <v>-49491.169410150935</v>
      </c>
      <c r="D22" s="27">
        <f t="shared" si="1"/>
        <v>40618.355624142685</v>
      </c>
    </row>
    <row r="23" spans="1:4" x14ac:dyDescent="0.25">
      <c r="B23" s="22">
        <v>0.22</v>
      </c>
      <c r="C23" s="1">
        <f t="shared" si="0"/>
        <v>-96073.824101506034</v>
      </c>
      <c r="D23" s="27">
        <f t="shared" si="1"/>
        <v>19366.990202818008</v>
      </c>
    </row>
    <row r="24" spans="1:4" x14ac:dyDescent="0.25">
      <c r="B24" s="22">
        <v>0.24</v>
      </c>
      <c r="C24" s="1">
        <f t="shared" si="0"/>
        <v>-137725.10228626459</v>
      </c>
      <c r="D24" s="27">
        <f t="shared" si="1"/>
        <v>-256.84536287578521</v>
      </c>
    </row>
    <row r="25" spans="1:4" x14ac:dyDescent="0.25">
      <c r="B25" s="22">
        <v>0.26</v>
      </c>
      <c r="C25" s="1">
        <f t="shared" si="0"/>
        <v>-175001.90204984782</v>
      </c>
      <c r="D25" s="27">
        <f t="shared" si="1"/>
        <v>-18413.105966083996</v>
      </c>
    </row>
    <row r="26" spans="1:4" x14ac:dyDescent="0.25">
      <c r="B26" s="22">
        <v>0.28000000000000003</v>
      </c>
      <c r="C26" s="1">
        <f t="shared" si="0"/>
        <v>-208391.71571715278</v>
      </c>
      <c r="D26" s="27">
        <f t="shared" si="1"/>
        <v>-35243.116104975343</v>
      </c>
    </row>
    <row r="27" spans="1:4" x14ac:dyDescent="0.25">
      <c r="B27" s="22">
        <v>0.3</v>
      </c>
      <c r="C27" s="1">
        <f t="shared" si="0"/>
        <v>-238322.13962921247</v>
      </c>
      <c r="D27" s="27">
        <f t="shared" si="1"/>
        <v>-50872.040928074857</v>
      </c>
    </row>
    <row r="32" spans="1:4" x14ac:dyDescent="0.25">
      <c r="A32" t="s">
        <v>47</v>
      </c>
      <c r="B32" t="s">
        <v>48</v>
      </c>
    </row>
    <row r="34" spans="1:10" x14ac:dyDescent="0.25">
      <c r="A34" t="s">
        <v>49</v>
      </c>
      <c r="B34" t="s">
        <v>41</v>
      </c>
      <c r="C34" s="1">
        <f>NPV(17%,C2:I2)+B2</f>
        <v>31048.953600054549</v>
      </c>
    </row>
    <row r="35" spans="1:10" x14ac:dyDescent="0.25">
      <c r="B35" t="s">
        <v>42</v>
      </c>
      <c r="C35" s="1">
        <f>NPV(17%,C3:I3)+B3</f>
        <v>75950.757098901609</v>
      </c>
    </row>
    <row r="37" spans="1:10" x14ac:dyDescent="0.25">
      <c r="B37" t="s">
        <v>50</v>
      </c>
    </row>
    <row r="39" spans="1:10" x14ac:dyDescent="0.25">
      <c r="A39" t="s">
        <v>51</v>
      </c>
      <c r="B39" s="16" t="s">
        <v>0</v>
      </c>
      <c r="C39" s="17">
        <v>0</v>
      </c>
      <c r="D39" s="17">
        <v>1</v>
      </c>
      <c r="E39" s="17">
        <v>2</v>
      </c>
      <c r="F39" s="17">
        <v>3</v>
      </c>
      <c r="G39" s="17">
        <v>4</v>
      </c>
      <c r="H39" s="17">
        <v>5</v>
      </c>
      <c r="I39" s="17">
        <v>6</v>
      </c>
      <c r="J39" s="17">
        <v>7</v>
      </c>
    </row>
    <row r="40" spans="1:10" x14ac:dyDescent="0.25">
      <c r="B40" t="s">
        <v>38</v>
      </c>
      <c r="C40" s="1">
        <v>-300000</v>
      </c>
      <c r="D40" s="1">
        <v>-387000</v>
      </c>
      <c r="E40" s="1">
        <v>-193000</v>
      </c>
      <c r="F40" s="1">
        <v>-100000</v>
      </c>
      <c r="G40" s="1">
        <v>600000</v>
      </c>
      <c r="H40" s="1">
        <v>600000</v>
      </c>
      <c r="I40" s="1">
        <v>850000</v>
      </c>
      <c r="J40" s="1">
        <v>-180000</v>
      </c>
    </row>
    <row r="41" spans="1:10" x14ac:dyDescent="0.25">
      <c r="B41" s="2" t="s">
        <v>39</v>
      </c>
      <c r="C41" s="10">
        <v>-405000</v>
      </c>
      <c r="D41" s="10">
        <v>134000</v>
      </c>
      <c r="E41" s="10">
        <v>134000</v>
      </c>
      <c r="F41" s="10">
        <v>134000</v>
      </c>
      <c r="G41" s="10">
        <v>134000</v>
      </c>
      <c r="H41" s="10">
        <v>134000</v>
      </c>
      <c r="I41" s="10">
        <v>134000</v>
      </c>
      <c r="J41" s="2"/>
    </row>
    <row r="42" spans="1:10" x14ac:dyDescent="0.25">
      <c r="B42" t="s">
        <v>52</v>
      </c>
      <c r="C42" s="1">
        <f>C40-C41</f>
        <v>105000</v>
      </c>
      <c r="D42" s="1">
        <f t="shared" ref="D42:J42" si="2">D40-D41</f>
        <v>-521000</v>
      </c>
      <c r="E42" s="1">
        <f t="shared" si="2"/>
        <v>-327000</v>
      </c>
      <c r="F42" s="1">
        <f t="shared" si="2"/>
        <v>-234000</v>
      </c>
      <c r="G42" s="1">
        <f t="shared" si="2"/>
        <v>466000</v>
      </c>
      <c r="H42" s="1">
        <f t="shared" si="2"/>
        <v>466000</v>
      </c>
      <c r="I42" s="1">
        <f t="shared" si="2"/>
        <v>716000</v>
      </c>
      <c r="J42" s="1">
        <f t="shared" si="2"/>
        <v>-180000</v>
      </c>
    </row>
    <row r="44" spans="1:10" x14ac:dyDescent="0.25">
      <c r="B44" t="s">
        <v>53</v>
      </c>
      <c r="C44" s="6">
        <f>IRR(C42:J42)</f>
        <v>0.14528447137914124</v>
      </c>
    </row>
    <row r="46" spans="1:10" x14ac:dyDescent="0.25">
      <c r="B46" t="s">
        <v>54</v>
      </c>
    </row>
    <row r="49" spans="1:9" x14ac:dyDescent="0.25">
      <c r="A49" s="16" t="s">
        <v>0</v>
      </c>
      <c r="B49" s="17">
        <v>0</v>
      </c>
      <c r="C49" s="17">
        <v>1</v>
      </c>
      <c r="D49" s="17">
        <v>2</v>
      </c>
      <c r="E49" s="17">
        <v>3</v>
      </c>
      <c r="F49" s="17">
        <v>4</v>
      </c>
      <c r="G49" s="17">
        <v>5</v>
      </c>
      <c r="H49" s="17">
        <v>6</v>
      </c>
      <c r="I49" s="17">
        <v>7</v>
      </c>
    </row>
    <row r="50" spans="1:9" x14ac:dyDescent="0.25">
      <c r="A50" t="s">
        <v>38</v>
      </c>
      <c r="B50" s="1">
        <v>-300000</v>
      </c>
      <c r="C50" s="1">
        <v>-387000</v>
      </c>
      <c r="D50" s="1">
        <v>-193000</v>
      </c>
      <c r="E50" s="1">
        <v>-100000</v>
      </c>
      <c r="F50" s="1">
        <v>600000</v>
      </c>
      <c r="G50" s="1">
        <v>600000</v>
      </c>
      <c r="H50" s="1">
        <v>850000</v>
      </c>
      <c r="I50" s="1">
        <v>-300000</v>
      </c>
    </row>
    <row r="51" spans="1:9" x14ac:dyDescent="0.25">
      <c r="A51" t="s">
        <v>39</v>
      </c>
      <c r="B51" s="1">
        <v>-405000</v>
      </c>
      <c r="C51" s="1">
        <v>134000</v>
      </c>
      <c r="D51" s="1">
        <v>134000</v>
      </c>
      <c r="E51" s="1">
        <v>134000</v>
      </c>
      <c r="F51" s="1">
        <v>134000</v>
      </c>
      <c r="G51" s="1">
        <v>134000</v>
      </c>
      <c r="H51" s="1">
        <v>134000</v>
      </c>
      <c r="I51" s="1">
        <v>-50000</v>
      </c>
    </row>
    <row r="53" spans="1:9" x14ac:dyDescent="0.25">
      <c r="A53" t="s">
        <v>41</v>
      </c>
      <c r="B53" s="28">
        <f>NPV(10%,C50:I50)+B50</f>
        <v>221762.47799128923</v>
      </c>
    </row>
    <row r="54" spans="1:9" x14ac:dyDescent="0.25">
      <c r="A54" t="s">
        <v>42</v>
      </c>
      <c r="B54" s="1">
        <f>NPV(10%,C51:I51)+B51</f>
        <v>152947.02781640273</v>
      </c>
    </row>
    <row r="55" spans="1:9" x14ac:dyDescent="0.25">
      <c r="A55" t="s">
        <v>44</v>
      </c>
      <c r="B55" s="18">
        <f>IRR(B50:I50)</f>
        <v>0.16669914764526883</v>
      </c>
    </row>
    <row r="56" spans="1:9" x14ac:dyDescent="0.25">
      <c r="A56" t="s">
        <v>45</v>
      </c>
      <c r="B56" s="18">
        <f>IRR(B51:I51)</f>
        <v>0.22741210018412694</v>
      </c>
    </row>
    <row r="58" spans="1:9" x14ac:dyDescent="0.25">
      <c r="A58" s="16" t="s">
        <v>0</v>
      </c>
      <c r="B58" s="17">
        <v>0</v>
      </c>
      <c r="C58" s="17">
        <v>1</v>
      </c>
      <c r="D58" s="17">
        <v>2</v>
      </c>
      <c r="E58" s="17">
        <v>3</v>
      </c>
      <c r="F58" s="17">
        <v>4</v>
      </c>
      <c r="G58" s="17">
        <v>5</v>
      </c>
      <c r="H58" s="17">
        <v>6</v>
      </c>
      <c r="I58" s="17">
        <v>7</v>
      </c>
    </row>
    <row r="59" spans="1:9" x14ac:dyDescent="0.25">
      <c r="A59" t="s">
        <v>38</v>
      </c>
      <c r="B59" s="1">
        <v>-300000</v>
      </c>
      <c r="C59" s="1">
        <v>-387000</v>
      </c>
      <c r="D59" s="1">
        <v>-193000</v>
      </c>
      <c r="E59" s="1">
        <v>-100000</v>
      </c>
      <c r="F59" s="1">
        <v>600000</v>
      </c>
      <c r="G59" s="1">
        <v>600000</v>
      </c>
      <c r="H59" s="1">
        <v>850000</v>
      </c>
      <c r="I59" s="1">
        <v>-70000</v>
      </c>
    </row>
    <row r="60" spans="1:9" x14ac:dyDescent="0.25">
      <c r="A60" t="s">
        <v>39</v>
      </c>
      <c r="B60" s="1">
        <v>-405000</v>
      </c>
      <c r="C60" s="1">
        <v>134000</v>
      </c>
      <c r="D60" s="1">
        <v>134000</v>
      </c>
      <c r="E60" s="1">
        <v>134000</v>
      </c>
      <c r="F60" s="1">
        <v>134000</v>
      </c>
      <c r="G60" s="1">
        <v>134000</v>
      </c>
      <c r="H60" s="1">
        <v>134000</v>
      </c>
      <c r="I60" s="1">
        <v>120000</v>
      </c>
    </row>
    <row r="62" spans="1:9" x14ac:dyDescent="0.25">
      <c r="A62" t="s">
        <v>41</v>
      </c>
      <c r="B62" s="28">
        <f>NPV(10%,C59:I59)+B59</f>
        <v>339788.84518435167</v>
      </c>
    </row>
    <row r="63" spans="1:9" x14ac:dyDescent="0.25">
      <c r="A63" t="s">
        <v>42</v>
      </c>
      <c r="B63" s="1">
        <f>NPV(10%,C60:I60)+B60</f>
        <v>240183.90791562269</v>
      </c>
    </row>
    <row r="64" spans="1:9" x14ac:dyDescent="0.25">
      <c r="A64" t="s">
        <v>44</v>
      </c>
      <c r="B64" s="18">
        <f>IRR(B59:I59)</f>
        <v>0.19302741900432174</v>
      </c>
    </row>
    <row r="65" spans="1:2" x14ac:dyDescent="0.25">
      <c r="A65" t="s">
        <v>45</v>
      </c>
      <c r="B65" s="18">
        <f>IRR(B60:I60)</f>
        <v>0.26541649526516808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B6D64-4B5D-4B67-870E-FADC3F808120}">
  <dimension ref="A1:F16"/>
  <sheetViews>
    <sheetView zoomScale="150" zoomScaleNormal="150" workbookViewId="0">
      <selection activeCell="F26" sqref="F26"/>
    </sheetView>
  </sheetViews>
  <sheetFormatPr baseColWidth="10" defaultRowHeight="15" x14ac:dyDescent="0.25"/>
  <cols>
    <col min="1" max="1" width="15.28515625" bestFit="1" customWidth="1"/>
    <col min="2" max="2" width="13.7109375" bestFit="1" customWidth="1"/>
    <col min="3" max="3" width="15" bestFit="1" customWidth="1"/>
    <col min="4" max="4" width="14.42578125" customWidth="1"/>
  </cols>
  <sheetData>
    <row r="1" spans="1:6" x14ac:dyDescent="0.25">
      <c r="A1" s="81" t="s">
        <v>56</v>
      </c>
      <c r="B1" s="36" t="s">
        <v>57</v>
      </c>
      <c r="C1" s="36" t="s">
        <v>55</v>
      </c>
    </row>
    <row r="2" spans="1:6" x14ac:dyDescent="0.25">
      <c r="A2" t="s">
        <v>58</v>
      </c>
      <c r="B2" s="35">
        <v>12000000</v>
      </c>
      <c r="C2" s="32"/>
    </row>
    <row r="3" spans="1:6" x14ac:dyDescent="0.25">
      <c r="A3" t="s">
        <v>19</v>
      </c>
      <c r="B3" s="32"/>
      <c r="C3" s="35">
        <v>1600000</v>
      </c>
    </row>
    <row r="4" spans="1:6" x14ac:dyDescent="0.25">
      <c r="A4" t="s">
        <v>0</v>
      </c>
      <c r="B4" s="32">
        <v>1</v>
      </c>
      <c r="C4" s="32">
        <v>20</v>
      </c>
    </row>
    <row r="5" spans="1:6" x14ac:dyDescent="0.25">
      <c r="A5" t="s">
        <v>17</v>
      </c>
      <c r="B5" s="79">
        <v>0.1</v>
      </c>
      <c r="C5" s="79">
        <v>0.1</v>
      </c>
    </row>
    <row r="6" spans="1:6" x14ac:dyDescent="0.25">
      <c r="B6" s="32"/>
      <c r="C6" s="32"/>
    </row>
    <row r="7" spans="1:6" x14ac:dyDescent="0.25">
      <c r="A7" s="61" t="s">
        <v>11</v>
      </c>
      <c r="B7" s="63">
        <f>B2/(1+B5)</f>
        <v>10909090.909090908</v>
      </c>
      <c r="C7" s="80">
        <f>PV(C5,C4,-C3)</f>
        <v>13621701.951613704</v>
      </c>
    </row>
    <row r="9" spans="1:6" x14ac:dyDescent="0.25">
      <c r="A9" s="8" t="s">
        <v>0</v>
      </c>
      <c r="B9" s="36">
        <v>0</v>
      </c>
      <c r="C9" s="36">
        <v>1</v>
      </c>
      <c r="D9" s="36" t="s">
        <v>62</v>
      </c>
    </row>
    <row r="10" spans="1:6" x14ac:dyDescent="0.25">
      <c r="A10" t="s">
        <v>63</v>
      </c>
      <c r="B10" s="32"/>
      <c r="C10" s="35">
        <v>1600000</v>
      </c>
      <c r="D10" s="35">
        <v>1600000</v>
      </c>
    </row>
    <row r="11" spans="1:6" x14ac:dyDescent="0.25">
      <c r="A11" s="2" t="s">
        <v>64</v>
      </c>
      <c r="B11" s="33"/>
      <c r="C11" s="55">
        <f>B2</f>
        <v>12000000</v>
      </c>
      <c r="D11" s="33"/>
    </row>
    <row r="12" spans="1:6" x14ac:dyDescent="0.25">
      <c r="A12" s="7" t="s">
        <v>65</v>
      </c>
      <c r="B12" s="72"/>
      <c r="C12" s="82">
        <f>C10-C11</f>
        <v>-10400000</v>
      </c>
      <c r="D12" s="82">
        <f>D10-D11</f>
        <v>1600000</v>
      </c>
    </row>
    <row r="14" spans="1:6" x14ac:dyDescent="0.25">
      <c r="A14" s="29" t="s">
        <v>18</v>
      </c>
      <c r="B14" s="30">
        <f>RATE(19,D12,C12)</f>
        <v>0.14137350514190558</v>
      </c>
    </row>
    <row r="16" spans="1:6" x14ac:dyDescent="0.25">
      <c r="A16" s="13" t="s">
        <v>66</v>
      </c>
      <c r="B16" s="13"/>
      <c r="C16" s="13"/>
      <c r="D16" s="13"/>
      <c r="E16" s="13"/>
      <c r="F16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2EDB7-3ADA-4664-9AFA-38A6D4F13601}">
  <dimension ref="A1:J16"/>
  <sheetViews>
    <sheetView zoomScale="140" zoomScaleNormal="140" workbookViewId="0">
      <selection activeCell="L13" sqref="L13"/>
    </sheetView>
  </sheetViews>
  <sheetFormatPr baseColWidth="10" defaultRowHeight="15" x14ac:dyDescent="0.25"/>
  <cols>
    <col min="2" max="2" width="13.140625" bestFit="1" customWidth="1"/>
    <col min="3" max="3" width="12.28515625" customWidth="1"/>
    <col min="4" max="8" width="8.7109375" customWidth="1"/>
    <col min="9" max="9" width="10.7109375" customWidth="1"/>
  </cols>
  <sheetData>
    <row r="1" spans="1:10" x14ac:dyDescent="0.25">
      <c r="A1" s="85" t="s">
        <v>0</v>
      </c>
      <c r="B1" s="104" t="s">
        <v>5</v>
      </c>
      <c r="C1" s="104" t="s">
        <v>67</v>
      </c>
    </row>
    <row r="2" spans="1:10" x14ac:dyDescent="0.25">
      <c r="A2" s="92">
        <v>1</v>
      </c>
      <c r="B2" s="35">
        <v>150000</v>
      </c>
      <c r="C2" s="35">
        <v>180000</v>
      </c>
      <c r="F2" s="3"/>
    </row>
    <row r="3" spans="1:10" x14ac:dyDescent="0.25">
      <c r="A3" s="92">
        <v>2</v>
      </c>
      <c r="B3" s="35">
        <v>150000</v>
      </c>
      <c r="C3" s="35">
        <v>130000</v>
      </c>
    </row>
    <row r="4" spans="1:10" x14ac:dyDescent="0.25">
      <c r="A4" s="92">
        <v>3</v>
      </c>
      <c r="B4" s="35">
        <v>100000</v>
      </c>
      <c r="C4" s="35">
        <v>120000</v>
      </c>
    </row>
    <row r="5" spans="1:10" x14ac:dyDescent="0.25">
      <c r="A5" s="92">
        <v>4</v>
      </c>
      <c r="B5" s="35">
        <v>85000</v>
      </c>
      <c r="C5" s="35">
        <v>70000</v>
      </c>
    </row>
    <row r="6" spans="1:10" x14ac:dyDescent="0.25">
      <c r="A6" s="92">
        <v>5</v>
      </c>
      <c r="B6" s="35">
        <v>45000</v>
      </c>
      <c r="C6" s="35">
        <v>50000</v>
      </c>
    </row>
    <row r="7" spans="1:10" x14ac:dyDescent="0.25">
      <c r="A7" s="93">
        <v>6</v>
      </c>
      <c r="B7" s="55">
        <v>35000</v>
      </c>
      <c r="C7" s="55">
        <v>10000</v>
      </c>
    </row>
    <row r="8" spans="1:10" x14ac:dyDescent="0.25">
      <c r="A8" s="87" t="s">
        <v>26</v>
      </c>
      <c r="B8" s="88">
        <v>0.2</v>
      </c>
      <c r="C8" s="1"/>
    </row>
    <row r="10" spans="1:10" x14ac:dyDescent="0.25">
      <c r="A10" s="61" t="s">
        <v>0</v>
      </c>
      <c r="B10" s="83">
        <v>0</v>
      </c>
      <c r="C10" s="83">
        <v>1</v>
      </c>
      <c r="D10" s="84">
        <v>2</v>
      </c>
      <c r="E10" s="84">
        <v>3</v>
      </c>
      <c r="F10" s="84">
        <v>4</v>
      </c>
      <c r="G10" s="84">
        <v>5</v>
      </c>
      <c r="H10" s="84">
        <v>6</v>
      </c>
      <c r="I10" s="85" t="s">
        <v>71</v>
      </c>
      <c r="J10" s="85" t="s">
        <v>72</v>
      </c>
    </row>
    <row r="11" spans="1:10" x14ac:dyDescent="0.25">
      <c r="A11" s="32" t="s">
        <v>12</v>
      </c>
      <c r="B11" s="35">
        <v>-250000</v>
      </c>
      <c r="C11" s="35">
        <f>B2+C2</f>
        <v>330000</v>
      </c>
      <c r="D11" s="32"/>
      <c r="E11" s="32"/>
      <c r="F11" s="32"/>
      <c r="G11" s="32"/>
      <c r="H11" s="32"/>
      <c r="I11" s="90">
        <f>NPV($B$8,C11:H11)+B11</f>
        <v>25000</v>
      </c>
      <c r="J11" s="90">
        <f>PMT($B$8,A2,-I11)</f>
        <v>30000</v>
      </c>
    </row>
    <row r="12" spans="1:10" x14ac:dyDescent="0.25">
      <c r="A12" s="32" t="s">
        <v>13</v>
      </c>
      <c r="B12" s="35">
        <v>-250000</v>
      </c>
      <c r="C12" s="35">
        <f>$B$2</f>
        <v>150000</v>
      </c>
      <c r="D12" s="35">
        <f>B3+C3</f>
        <v>280000</v>
      </c>
      <c r="E12" s="32"/>
      <c r="F12" s="32"/>
      <c r="G12" s="32"/>
      <c r="H12" s="32"/>
      <c r="I12" s="34">
        <f t="shared" ref="I12:I16" si="0">NPV($B$8,C12:H12)+B12</f>
        <v>69444.444444444496</v>
      </c>
      <c r="J12" s="34">
        <f t="shared" ref="J12:J16" si="1">PMT($B$8,A3,-I12)</f>
        <v>45454.5454545455</v>
      </c>
    </row>
    <row r="13" spans="1:10" x14ac:dyDescent="0.25">
      <c r="A13" s="32" t="s">
        <v>14</v>
      </c>
      <c r="B13" s="35">
        <v>-250000</v>
      </c>
      <c r="C13" s="35">
        <f t="shared" ref="C13:C16" si="2">$B$2</f>
        <v>150000</v>
      </c>
      <c r="D13" s="35">
        <f>$B$3</f>
        <v>150000</v>
      </c>
      <c r="E13" s="35">
        <f>B4+C4</f>
        <v>220000</v>
      </c>
      <c r="F13" s="32"/>
      <c r="G13" s="32"/>
      <c r="H13" s="32"/>
      <c r="I13" s="34">
        <f t="shared" si="0"/>
        <v>106481.48148148146</v>
      </c>
      <c r="J13" s="86">
        <f t="shared" si="1"/>
        <v>50549.450549450543</v>
      </c>
    </row>
    <row r="14" spans="1:10" x14ac:dyDescent="0.25">
      <c r="A14" s="32" t="s">
        <v>68</v>
      </c>
      <c r="B14" s="35">
        <v>-250000</v>
      </c>
      <c r="C14" s="35">
        <f t="shared" si="2"/>
        <v>150000</v>
      </c>
      <c r="D14" s="35">
        <f t="shared" ref="D14:D16" si="3">$B$3</f>
        <v>150000</v>
      </c>
      <c r="E14" s="35">
        <f>$B$4</f>
        <v>100000</v>
      </c>
      <c r="F14" s="35">
        <f>B5+C5</f>
        <v>155000</v>
      </c>
      <c r="G14" s="32"/>
      <c r="H14" s="32"/>
      <c r="I14" s="34">
        <f t="shared" si="0"/>
        <v>111786.26543209882</v>
      </c>
      <c r="J14" s="34">
        <f t="shared" si="1"/>
        <v>43181.818181818213</v>
      </c>
    </row>
    <row r="15" spans="1:10" x14ac:dyDescent="0.25">
      <c r="A15" s="32" t="s">
        <v>69</v>
      </c>
      <c r="B15" s="35">
        <v>-250000</v>
      </c>
      <c r="C15" s="35">
        <f t="shared" si="2"/>
        <v>150000</v>
      </c>
      <c r="D15" s="35">
        <f t="shared" si="3"/>
        <v>150000</v>
      </c>
      <c r="E15" s="35">
        <f t="shared" ref="E15:E16" si="4">$B$4</f>
        <v>100000</v>
      </c>
      <c r="F15" s="35">
        <f>B5</f>
        <v>85000</v>
      </c>
      <c r="G15" s="35">
        <f>B6+C6</f>
        <v>95000</v>
      </c>
      <c r="H15" s="32"/>
      <c r="I15" s="86">
        <f t="shared" si="0"/>
        <v>116206.91872427991</v>
      </c>
      <c r="J15" s="34">
        <f t="shared" si="1"/>
        <v>38857.235003225142</v>
      </c>
    </row>
    <row r="16" spans="1:10" x14ac:dyDescent="0.25">
      <c r="A16" s="33" t="s">
        <v>70</v>
      </c>
      <c r="B16" s="55">
        <v>-250000</v>
      </c>
      <c r="C16" s="55">
        <f t="shared" si="2"/>
        <v>150000</v>
      </c>
      <c r="D16" s="55">
        <f t="shared" si="3"/>
        <v>150000</v>
      </c>
      <c r="E16" s="55">
        <f t="shared" si="4"/>
        <v>100000</v>
      </c>
      <c r="F16" s="55">
        <f>F15</f>
        <v>85000</v>
      </c>
      <c r="G16" s="55">
        <f>B6</f>
        <v>45000</v>
      </c>
      <c r="H16" s="55">
        <f>B7+C7</f>
        <v>45000</v>
      </c>
      <c r="I16" s="37">
        <f t="shared" si="0"/>
        <v>111183.4490740741</v>
      </c>
      <c r="J16" s="37">
        <f t="shared" si="1"/>
        <v>33433.501981889094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E983A-07A3-4F01-AB3B-5516E21B0D19}">
  <dimension ref="A1:G15"/>
  <sheetViews>
    <sheetView zoomScale="140" zoomScaleNormal="140" workbookViewId="0">
      <selection activeCell="A2" sqref="A2:A6"/>
    </sheetView>
  </sheetViews>
  <sheetFormatPr baseColWidth="10" defaultRowHeight="15" x14ac:dyDescent="0.25"/>
  <cols>
    <col min="1" max="1" width="29.7109375" bestFit="1" customWidth="1"/>
    <col min="2" max="2" width="13" bestFit="1" customWidth="1"/>
  </cols>
  <sheetData>
    <row r="1" spans="1:7" x14ac:dyDescent="0.25">
      <c r="A1" s="91"/>
      <c r="B1" s="85" t="s">
        <v>73</v>
      </c>
      <c r="C1" s="85" t="s">
        <v>80</v>
      </c>
      <c r="D1" s="94" t="s">
        <v>81</v>
      </c>
    </row>
    <row r="2" spans="1:7" x14ac:dyDescent="0.25">
      <c r="A2" s="91" t="s">
        <v>74</v>
      </c>
      <c r="B2" s="35">
        <v>200000</v>
      </c>
      <c r="C2" s="34">
        <f>B2*0.9</f>
        <v>180000</v>
      </c>
      <c r="D2" s="5">
        <f>B2-C2</f>
        <v>20000</v>
      </c>
    </row>
    <row r="3" spans="1:7" x14ac:dyDescent="0.25">
      <c r="A3" s="32" t="s">
        <v>75</v>
      </c>
      <c r="B3" s="35">
        <v>400000</v>
      </c>
      <c r="C3" s="34">
        <f>B3/2</f>
        <v>200000</v>
      </c>
      <c r="D3" s="5">
        <f t="shared" ref="D3:D4" si="0">B3-C3</f>
        <v>200000</v>
      </c>
    </row>
    <row r="4" spans="1:7" x14ac:dyDescent="0.25">
      <c r="A4" s="32" t="s">
        <v>76</v>
      </c>
      <c r="B4" s="34">
        <f>B3*0.75</f>
        <v>300000</v>
      </c>
      <c r="C4" s="37">
        <f>C3*0.75</f>
        <v>150000</v>
      </c>
      <c r="D4" s="19">
        <f t="shared" si="0"/>
        <v>150000</v>
      </c>
    </row>
    <row r="5" spans="1:7" x14ac:dyDescent="0.25">
      <c r="A5" s="32" t="s">
        <v>77</v>
      </c>
      <c r="B5" s="92" t="s">
        <v>79</v>
      </c>
      <c r="C5" s="95"/>
      <c r="D5" s="96">
        <f>SUM(D2:D4)</f>
        <v>370000</v>
      </c>
    </row>
    <row r="6" spans="1:7" x14ac:dyDescent="0.25">
      <c r="A6" s="33" t="s">
        <v>78</v>
      </c>
      <c r="B6" s="93" t="s">
        <v>79</v>
      </c>
    </row>
    <row r="8" spans="1:7" x14ac:dyDescent="0.25">
      <c r="A8" s="41" t="s">
        <v>0</v>
      </c>
      <c r="B8" s="36">
        <v>0</v>
      </c>
      <c r="C8" s="36">
        <v>1</v>
      </c>
      <c r="D8" s="36">
        <v>2</v>
      </c>
      <c r="E8" s="36">
        <v>3</v>
      </c>
      <c r="F8" s="36">
        <v>4</v>
      </c>
      <c r="G8" s="36">
        <v>5</v>
      </c>
    </row>
    <row r="9" spans="1:7" x14ac:dyDescent="0.25">
      <c r="A9" s="32" t="s">
        <v>82</v>
      </c>
      <c r="B9" s="35">
        <v>-880000</v>
      </c>
      <c r="C9" s="32"/>
      <c r="D9" s="32"/>
      <c r="E9" s="32"/>
      <c r="F9" s="32"/>
      <c r="G9" s="32"/>
    </row>
    <row r="10" spans="1:7" x14ac:dyDescent="0.25">
      <c r="A10" s="32" t="s">
        <v>83</v>
      </c>
      <c r="B10" s="35">
        <v>100000</v>
      </c>
      <c r="C10" s="32"/>
      <c r="D10" s="32"/>
      <c r="E10" s="32"/>
      <c r="F10" s="32"/>
      <c r="G10" s="32"/>
    </row>
    <row r="11" spans="1:7" x14ac:dyDescent="0.25">
      <c r="A11" s="33" t="s">
        <v>84</v>
      </c>
      <c r="B11" s="33"/>
      <c r="C11" s="100">
        <f>$D$5</f>
        <v>370000</v>
      </c>
      <c r="D11" s="100">
        <f t="shared" ref="D11:G11" si="1">$D$5</f>
        <v>370000</v>
      </c>
      <c r="E11" s="100">
        <f t="shared" si="1"/>
        <v>370000</v>
      </c>
      <c r="F11" s="100">
        <f t="shared" si="1"/>
        <v>370000</v>
      </c>
      <c r="G11" s="100">
        <f t="shared" si="1"/>
        <v>370000</v>
      </c>
    </row>
    <row r="12" spans="1:7" x14ac:dyDescent="0.25">
      <c r="A12" s="99" t="s">
        <v>5</v>
      </c>
      <c r="B12" s="97">
        <f>SUM(B9:B11)</f>
        <v>-780000</v>
      </c>
      <c r="C12" s="101">
        <f t="shared" ref="C12:G12" si="2">SUM(C9:C11)</f>
        <v>370000</v>
      </c>
      <c r="D12" s="101">
        <f t="shared" si="2"/>
        <v>370000</v>
      </c>
      <c r="E12" s="101">
        <f t="shared" si="2"/>
        <v>370000</v>
      </c>
      <c r="F12" s="101">
        <f t="shared" si="2"/>
        <v>370000</v>
      </c>
      <c r="G12" s="101">
        <f t="shared" si="2"/>
        <v>370000</v>
      </c>
    </row>
    <row r="13" spans="1:7" x14ac:dyDescent="0.25">
      <c r="A13" s="32"/>
      <c r="B13" s="32"/>
    </row>
    <row r="14" spans="1:7" x14ac:dyDescent="0.25">
      <c r="A14" s="43" t="s">
        <v>17</v>
      </c>
      <c r="B14" s="102">
        <v>0.2</v>
      </c>
    </row>
    <row r="15" spans="1:7" x14ac:dyDescent="0.25">
      <c r="A15" s="45" t="s">
        <v>11</v>
      </c>
      <c r="B15" s="98">
        <f>NPV(B14,C12:G12)+B12</f>
        <v>326526.49176954757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Oppgave 4.1</vt:lpstr>
      <vt:lpstr>Oppgave 4.2</vt:lpstr>
      <vt:lpstr>Oppgave 4.3</vt:lpstr>
      <vt:lpstr>Oppgave 4.4</vt:lpstr>
      <vt:lpstr>Oppgave 4.5</vt:lpstr>
      <vt:lpstr>Oppgave 4.6</vt:lpstr>
      <vt:lpstr>Oppgave 4.7</vt:lpstr>
      <vt:lpstr>Oppgave 4.8</vt:lpstr>
      <vt:lpstr>Oppgave 4.9</vt:lpstr>
      <vt:lpstr>Oppgave 4.10</vt:lpstr>
      <vt:lpstr>Oppgave 4.11</vt:lpstr>
      <vt:lpstr>Oppgave 4.12</vt:lpstr>
      <vt:lpstr>Oppgave 4.13</vt:lpstr>
      <vt:lpstr>Oppgave 4.14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2015-04-23T07:41:55Z</dcterms:created>
  <dcterms:modified xsi:type="dcterms:W3CDTF">2023-06-29T09:36:56Z</dcterms:modified>
  <cp:category/>
  <cp:contentStatus/>
</cp:coreProperties>
</file>