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Løsninger\"/>
    </mc:Choice>
  </mc:AlternateContent>
  <bookViews>
    <workbookView xWindow="480" yWindow="330" windowWidth="8940" windowHeight="4305" tabRatio="877" activeTab="4"/>
  </bookViews>
  <sheets>
    <sheet name="Oppgave 13.18" sheetId="10" r:id="rId1"/>
    <sheet name="Oppgave 13.19" sheetId="11" r:id="rId2"/>
    <sheet name="Oppgave 13.21 og 13.22" sheetId="15" r:id="rId3"/>
    <sheet name="Oppgave 13.24" sheetId="18" r:id="rId4"/>
    <sheet name="Oppgave 13.25" sheetId="19" r:id="rId5"/>
  </sheets>
  <definedNames>
    <definedName name="_xlnm.Print_Area" localSheetId="4">'Oppgave 13.25'!$A$1:$K$132,'Oppgave 13.25'!$L$1:$W$32</definedName>
  </definedNames>
  <calcPr calcId="152511"/>
</workbook>
</file>

<file path=xl/calcChain.xml><?xml version="1.0" encoding="utf-8"?>
<calcChain xmlns="http://schemas.openxmlformats.org/spreadsheetml/2006/main">
  <c r="C21" i="15" l="1"/>
  <c r="C18" i="15"/>
  <c r="D14" i="11" l="1"/>
  <c r="G18" i="10"/>
  <c r="E16" i="10"/>
  <c r="D67" i="19" l="1"/>
  <c r="D69" i="19" s="1"/>
  <c r="C64" i="19"/>
  <c r="D51" i="19"/>
  <c r="Q26" i="19"/>
  <c r="C47" i="19"/>
  <c r="F45" i="19"/>
  <c r="E44" i="19"/>
  <c r="G44" i="19" s="1"/>
  <c r="D50" i="19" s="1"/>
  <c r="D52" i="19" s="1"/>
  <c r="G43" i="19"/>
  <c r="G42" i="19"/>
  <c r="H41" i="19"/>
  <c r="G40" i="19"/>
  <c r="F39" i="19"/>
  <c r="G39" i="19" s="1"/>
  <c r="G38" i="19"/>
  <c r="F37" i="19"/>
  <c r="G37" i="19" s="1"/>
  <c r="G36" i="19"/>
  <c r="Q8" i="19" s="1"/>
  <c r="G34" i="19"/>
  <c r="G33" i="19"/>
  <c r="G32" i="19"/>
  <c r="E31" i="19"/>
  <c r="G31" i="19" s="1"/>
  <c r="Q5" i="19" s="1"/>
  <c r="H30" i="19"/>
  <c r="H29" i="19"/>
  <c r="C87" i="19" s="1"/>
  <c r="J28" i="19"/>
  <c r="J27" i="19"/>
  <c r="J26" i="19"/>
  <c r="J25" i="19"/>
  <c r="J24" i="19"/>
  <c r="J23" i="19"/>
  <c r="J22" i="19"/>
  <c r="J21" i="19"/>
  <c r="J20" i="19"/>
  <c r="J19" i="19"/>
  <c r="D18" i="19"/>
  <c r="D47" i="19" s="1"/>
  <c r="J17" i="19"/>
  <c r="J15" i="19"/>
  <c r="I14" i="19"/>
  <c r="I13" i="19"/>
  <c r="J12" i="19"/>
  <c r="I11" i="19"/>
  <c r="I10" i="19"/>
  <c r="C63" i="19" s="1"/>
  <c r="I9" i="19"/>
  <c r="I8" i="19"/>
  <c r="I6" i="19"/>
  <c r="F5" i="19"/>
  <c r="E35" i="19" s="1"/>
  <c r="C65" i="19" l="1"/>
  <c r="C88" i="19"/>
  <c r="C89" i="19"/>
  <c r="E91" i="19" s="1"/>
  <c r="Q9" i="19"/>
  <c r="Q14" i="19"/>
  <c r="Q19" i="19"/>
  <c r="H47" i="19"/>
  <c r="Q6" i="19"/>
  <c r="Q13" i="19"/>
  <c r="Q15" i="19" s="1"/>
  <c r="Q2" i="19"/>
  <c r="Q3" i="19" s="1"/>
  <c r="I5" i="19"/>
  <c r="I47" i="19" s="1"/>
  <c r="G35" i="19"/>
  <c r="J18" i="19"/>
  <c r="E57" i="18"/>
  <c r="H26" i="18"/>
  <c r="H44" i="18" s="1"/>
  <c r="I7" i="18"/>
  <c r="I8" i="18"/>
  <c r="C84" i="18" s="1"/>
  <c r="C86" i="18" s="1"/>
  <c r="I10" i="18"/>
  <c r="I11" i="18"/>
  <c r="I12" i="18"/>
  <c r="I6" i="18"/>
  <c r="G39" i="18"/>
  <c r="G40" i="18"/>
  <c r="G41" i="18"/>
  <c r="C60" i="18" s="1"/>
  <c r="C62" i="18" s="1"/>
  <c r="G36" i="18"/>
  <c r="G37" i="18"/>
  <c r="G38" i="18"/>
  <c r="G29" i="18"/>
  <c r="G30" i="18"/>
  <c r="G31" i="18"/>
  <c r="G32" i="18"/>
  <c r="G33" i="18"/>
  <c r="C52" i="18" s="1"/>
  <c r="G34" i="18"/>
  <c r="G35" i="18"/>
  <c r="G28" i="18"/>
  <c r="D44" i="18"/>
  <c r="C44" i="18"/>
  <c r="C90" i="18"/>
  <c r="C85" i="18"/>
  <c r="D80" i="18"/>
  <c r="C74" i="18"/>
  <c r="C73" i="18"/>
  <c r="C72" i="18"/>
  <c r="C71" i="18"/>
  <c r="C68" i="18"/>
  <c r="C67" i="18"/>
  <c r="C66" i="18"/>
  <c r="C65" i="18"/>
  <c r="C61" i="18"/>
  <c r="C50" i="18"/>
  <c r="C47" i="18"/>
  <c r="Q7" i="19" l="1"/>
  <c r="Q10" i="19" s="1"/>
  <c r="Q11" i="19" s="1"/>
  <c r="Q17" i="19" s="1"/>
  <c r="Q22" i="19" s="1"/>
  <c r="E46" i="19"/>
  <c r="C51" i="18"/>
  <c r="C46" i="18"/>
  <c r="C48" i="18" s="1"/>
  <c r="E43" i="18"/>
  <c r="I44" i="18"/>
  <c r="C53" i="18"/>
  <c r="C54" i="18" s="1"/>
  <c r="C55" i="18" s="1"/>
  <c r="F16" i="19" l="1"/>
  <c r="Q27" i="19" s="1"/>
  <c r="Q28" i="19" s="1"/>
  <c r="G46" i="19"/>
  <c r="E47" i="19"/>
  <c r="F14" i="18"/>
  <c r="E44" i="18"/>
  <c r="G43" i="18"/>
  <c r="J16" i="19" l="1"/>
  <c r="J47" i="19" s="1"/>
  <c r="F47" i="19"/>
  <c r="G47" i="19"/>
  <c r="G44" i="18"/>
  <c r="F44" i="18"/>
  <c r="J14" i="18"/>
  <c r="J44" i="18" s="1"/>
  <c r="D37" i="15" l="1"/>
  <c r="G12" i="11" l="1"/>
  <c r="J11" i="11"/>
  <c r="I10" i="11"/>
  <c r="C18" i="11" s="1"/>
  <c r="G13" i="10"/>
  <c r="J12" i="10"/>
  <c r="I11" i="10"/>
</calcChain>
</file>

<file path=xl/sharedStrings.xml><?xml version="1.0" encoding="utf-8"?>
<sst xmlns="http://schemas.openxmlformats.org/spreadsheetml/2006/main" count="341" uniqueCount="202">
  <si>
    <t>Saldobalanse</t>
  </si>
  <si>
    <t>Posteringer</t>
  </si>
  <si>
    <t>Resultat</t>
  </si>
  <si>
    <t>Balanse</t>
  </si>
  <si>
    <t>Nr.</t>
  </si>
  <si>
    <t>Konto</t>
  </si>
  <si>
    <t>Debet</t>
  </si>
  <si>
    <t>Kredit</t>
  </si>
  <si>
    <t>Aksjer</t>
  </si>
  <si>
    <t>b)</t>
  </si>
  <si>
    <t>Nedskrivning</t>
  </si>
  <si>
    <t>Avskrivninger</t>
  </si>
  <si>
    <t>Inventar</t>
  </si>
  <si>
    <t>Biler</t>
  </si>
  <si>
    <t>Salg av bil</t>
  </si>
  <si>
    <t>Tap ved salg av bil</t>
  </si>
  <si>
    <t>a)</t>
  </si>
  <si>
    <t>Varebeholdning</t>
  </si>
  <si>
    <t>Varekjøp</t>
  </si>
  <si>
    <t>Kundefordringer</t>
  </si>
  <si>
    <t>Avsetning til tap på fordringer</t>
  </si>
  <si>
    <t>Tap på fordringer</t>
  </si>
  <si>
    <t>Salgsinntekt</t>
  </si>
  <si>
    <t>Annen driftsinntekt</t>
  </si>
  <si>
    <t>Sum driftsinntekter</t>
  </si>
  <si>
    <t>Avskrivning</t>
  </si>
  <si>
    <t>Annen driftskostnad</t>
  </si>
  <si>
    <t>Sum driftskostnader</t>
  </si>
  <si>
    <t>Driftsresultat</t>
  </si>
  <si>
    <t>Annen finansinntekt</t>
  </si>
  <si>
    <t>Nedskrivning aksjer</t>
  </si>
  <si>
    <t>Rentekostnader</t>
  </si>
  <si>
    <t>Netto finansposter</t>
  </si>
  <si>
    <t>Ordinært resultat før skattekostnad</t>
  </si>
  <si>
    <t xml:space="preserve">Skattekostnad </t>
  </si>
  <si>
    <t>Årsresultat</t>
  </si>
  <si>
    <t xml:space="preserve">Styrets forslag til disponering av </t>
  </si>
  <si>
    <t>årsresultatet:</t>
  </si>
  <si>
    <t>Avsatt utbytte</t>
  </si>
  <si>
    <t>Overføres til/fra annen egenkapital</t>
  </si>
  <si>
    <t>SUM</t>
  </si>
  <si>
    <t>Bygning</t>
  </si>
  <si>
    <t>Salg av biler</t>
  </si>
  <si>
    <t>Avsetning tap på fordr.</t>
  </si>
  <si>
    <t>Bankinnskudd, trekk</t>
  </si>
  <si>
    <t>Aksjekapital</t>
  </si>
  <si>
    <t>Annen egenkapital</t>
  </si>
  <si>
    <t>Utsatt skatt</t>
  </si>
  <si>
    <t>Pantelån</t>
  </si>
  <si>
    <t>Kassekreditt</t>
  </si>
  <si>
    <t>Leverandørgjeld</t>
  </si>
  <si>
    <t>Betalbar skatt</t>
  </si>
  <si>
    <t>Skattetrekk</t>
  </si>
  <si>
    <t>Oppgjørskonto mva.</t>
  </si>
  <si>
    <t>Skyldig arbeidsgiveravgift</t>
  </si>
  <si>
    <t>Påløpt arbeidsgiveravgift</t>
  </si>
  <si>
    <t>Avg. pl. varesalg</t>
  </si>
  <si>
    <t>Gevinst ved salg av bil</t>
  </si>
  <si>
    <t>Arbeidsgiveravgift</t>
  </si>
  <si>
    <t>Obligatorisk tjenestepensjon</t>
  </si>
  <si>
    <t>Driftskostn. bygning</t>
  </si>
  <si>
    <t>Andre driftskostnader</t>
  </si>
  <si>
    <t>Renteinntekter</t>
  </si>
  <si>
    <t>Verdifall aksjer</t>
  </si>
  <si>
    <t>Endring utsatt skatt</t>
  </si>
  <si>
    <t>Sum kortsiktig gjeld</t>
  </si>
  <si>
    <t>c)</t>
  </si>
  <si>
    <t>–</t>
  </si>
  <si>
    <t>=</t>
  </si>
  <si>
    <t>Resultatregnskap for 20x1:</t>
  </si>
  <si>
    <t>§ 6-1 nr. 16</t>
  </si>
  <si>
    <t>Balanse per 31.12.20x1:</t>
  </si>
  <si>
    <t>Avskrivning biler:</t>
  </si>
  <si>
    <t>Bankinnskudd</t>
  </si>
  <si>
    <t>Bilkostnader</t>
  </si>
  <si>
    <t>Varekostnad</t>
  </si>
  <si>
    <t>Løsning oppgave 13.18</t>
  </si>
  <si>
    <t>Kr 300 000 er kundefordringene per 31.12. vurdert til det krav bedriften formelt har. Vi kaller dette beløpet gjerne</t>
  </si>
  <si>
    <t>pålydende verdi av kundefordringene. Kr 20 000 er avsetningen for fremtidig tap per 1.1., altså den avsetningen vi</t>
  </si>
  <si>
    <t>foretok ved årsoppgjøret for 20x0 (i fjor).</t>
  </si>
  <si>
    <t>Kr 30 000 er det faktiske tapet bedriften har hatt i 20x1.</t>
  </si>
  <si>
    <t>Avsetning tap på fordringer</t>
  </si>
  <si>
    <t>Løsning oppgave 13.19</t>
  </si>
  <si>
    <r>
      <t xml:space="preserve">Debetbeløpet på konto </t>
    </r>
    <r>
      <rPr>
        <i/>
        <sz val="12"/>
        <rFont val="Times New Roman"/>
        <family val="1"/>
      </rPr>
      <t xml:space="preserve">1500 Kundefordringer: </t>
    </r>
    <r>
      <rPr>
        <sz val="12"/>
        <rFont val="Times New Roman"/>
        <family val="1"/>
      </rPr>
      <t>kr 2 460 000. Pålydende verdi av kundefordringene ("anskaffelseskost")</t>
    </r>
  </si>
  <si>
    <r>
      <t xml:space="preserve">Kreditbeløpet på konto </t>
    </r>
    <r>
      <rPr>
        <i/>
        <sz val="12"/>
        <rFont val="Times New Roman"/>
        <family val="1"/>
      </rPr>
      <t xml:space="preserve">1580 Avsetning tap på fordringer: </t>
    </r>
    <r>
      <rPr>
        <sz val="12"/>
        <rFont val="Times New Roman"/>
        <family val="1"/>
      </rPr>
      <t>kr 50 000. Avsatt beløp per 31.12. i fjor</t>
    </r>
  </si>
  <si>
    <r>
      <t xml:space="preserve">Debetbeløpet på konto 7830 </t>
    </r>
    <r>
      <rPr>
        <i/>
        <sz val="12"/>
        <rFont val="Times New Roman"/>
        <family val="1"/>
      </rPr>
      <t xml:space="preserve">Tap på fordringer: </t>
    </r>
    <r>
      <rPr>
        <sz val="12"/>
        <rFont val="Times New Roman"/>
        <family val="1"/>
      </rPr>
      <t>kr 56 000. Det virkelige tapet i år (ekskl. mva.)</t>
    </r>
  </si>
  <si>
    <t>Avsetning tap på fordringer er ført kredit balansen ekskl. merverdiavgift.</t>
  </si>
  <si>
    <t>Ref. til regnskapsloven</t>
  </si>
  <si>
    <t>§ 6-2 B II 1</t>
  </si>
  <si>
    <t>Den regnskapsmessige verdien av kundefordringene er pålydende verdi – avsetning tap på fordringer</t>
  </si>
  <si>
    <t>Påløpte feriepenger</t>
  </si>
  <si>
    <t>Lønn og feriepenger</t>
  </si>
  <si>
    <t>Lønn og sosiale kostnader</t>
  </si>
  <si>
    <t>Løsning oppgave 13.21</t>
  </si>
  <si>
    <t>Anskaffelseskost er lavest. Balanseverdi: kr 120 000</t>
  </si>
  <si>
    <t>Virkelig verdi (kursverdi) er lavest. Balanseverdi: kr 80 000</t>
  </si>
  <si>
    <t>§ 6-2  B III 2</t>
  </si>
  <si>
    <t>Det betyr at vi for punkt 1 ovenfor kan vurdere aksjene til kr 150 000 dersom disse betingelsene er oppfylt.</t>
  </si>
  <si>
    <t>Løsning oppgave 13.22</t>
  </si>
  <si>
    <t>Dette er en liten bedrift, og aksjene kan da vurderes til laveste verdi av anskaffelseskost og virkelig verdi (kursverdi).</t>
  </si>
  <si>
    <t>Aksjepostene vurderes hver for seg.</t>
  </si>
  <si>
    <t>Aksjene i AS Beta</t>
  </si>
  <si>
    <t xml:space="preserve">Aksjene i AS Alfa </t>
  </si>
  <si>
    <t>Balanseverdi 31.12.x1</t>
  </si>
  <si>
    <t>Aksjeposten i AS Beta nedskrives med kr 40 000.</t>
  </si>
  <si>
    <t>Oppgjørsposteringer</t>
  </si>
  <si>
    <t>Kontanter</t>
  </si>
  <si>
    <t>Trekkinnskudd</t>
  </si>
  <si>
    <t>Banklån</t>
  </si>
  <si>
    <t>Skyldig merverdiavgift</t>
  </si>
  <si>
    <t>Påløpt ferielønn</t>
  </si>
  <si>
    <t>Ubetalte kostnader</t>
  </si>
  <si>
    <t>Avgiftspliktig omsetning</t>
  </si>
  <si>
    <t>Lønn</t>
  </si>
  <si>
    <t>Husleie</t>
  </si>
  <si>
    <t>Kontorkostnader</t>
  </si>
  <si>
    <t>Endring i utsatt skatt</t>
  </si>
  <si>
    <t>Feriepenger</t>
  </si>
  <si>
    <t>Nedgang i utsatt skatt</t>
  </si>
  <si>
    <t>Skattekostnad</t>
  </si>
  <si>
    <t>Bil A: 240 000 ∙ 0,15 ∙ 1/12 =</t>
  </si>
  <si>
    <t>Bil B: 300 000 ∙ 0,15 =</t>
  </si>
  <si>
    <t>Bil C: 280 000 ∙ 0,15 =</t>
  </si>
  <si>
    <t>d)</t>
  </si>
  <si>
    <t>Avskrivning biler endres til 12,5 %</t>
  </si>
  <si>
    <t>Bil A: 240 000 ∙ 0,125 ∙ 1/12 =</t>
  </si>
  <si>
    <t>Bil B: 300 000 ∙ 0,125 =</t>
  </si>
  <si>
    <t>Bil C: 280 000 ∙ 0,125 =</t>
  </si>
  <si>
    <t>Sum avskrivninger</t>
  </si>
  <si>
    <t>Avskrivningene vil bli redusert med kr 15 000.</t>
  </si>
  <si>
    <t>e)</t>
  </si>
  <si>
    <t>Salgsum bil A</t>
  </si>
  <si>
    <t>Bokført verdi: 30 000 – 2 500 =</t>
  </si>
  <si>
    <t>Gevinsten vil bli kr 500 lavere</t>
  </si>
  <si>
    <t>f)</t>
  </si>
  <si>
    <t>Kundefordringer pålydende</t>
  </si>
  <si>
    <t xml:space="preserve">Bokført verdi </t>
  </si>
  <si>
    <t>g)</t>
  </si>
  <si>
    <t>Kortsiktig gjeld er summen av kontoene 2400 til og med konto 2960</t>
  </si>
  <si>
    <t>h)</t>
  </si>
  <si>
    <t>Hvis L. Uring hadde betalt sin gjeld på kr 5 000, ville Leifs Handleri AS ikke foretatt noen avsetning. Avsetning tap på fordringer</t>
  </si>
  <si>
    <t>ville bli 0. Da ville det kostnadsførte beløpet på kr 15 800 bli redusert til kr 11 800, altså med kr 4 000.</t>
  </si>
  <si>
    <t>Overskuddet før skatt ville øke med kr 4 000.</t>
  </si>
  <si>
    <t>i)</t>
  </si>
  <si>
    <t>Regnskapsloven § 5-2 omhandler omløpsmidler og sier at slike eiendeler skal vurderes til den laveste verdien av</t>
  </si>
  <si>
    <t>anskaffelseskost og virkelig verdi. Det betyr at kurante varer skal vurderes til anskaffelseskost, mens ukurante varer vurderes</t>
  </si>
  <si>
    <t>til virkelig verdi. Virkelig verdi vil være netto salgsverdi, her kr 6 000 – kr 1 000 = kr 5 000.</t>
  </si>
  <si>
    <t>j)</t>
  </si>
  <si>
    <t>Arbeidsgiveravgift med forfall 15. januar 20x2 =</t>
  </si>
  <si>
    <t>k)</t>
  </si>
  <si>
    <t>Løsning oppgave 13.24</t>
  </si>
  <si>
    <t>Forsk.betalte kostnader</t>
  </si>
  <si>
    <t>Skyldig renter</t>
  </si>
  <si>
    <t>Nedskrivning inventar</t>
  </si>
  <si>
    <t>Salgsinntekter</t>
  </si>
  <si>
    <t>Varekostnader</t>
  </si>
  <si>
    <t>Løsning oppgave 13.25</t>
  </si>
  <si>
    <t>Resultatregnskap 20x1</t>
  </si>
  <si>
    <t>Ved årsoppgjøret for 20x0, altså i fjor, førte vi opp beregnet betalbar skatt på kreditsiden. La oss si kr 20 000.</t>
  </si>
  <si>
    <t>Skatteoppgjøret kom en gang på høsten 20x1, trolig i oktober. Da får vi vite hvor mye skatten faktisk ble. Her</t>
  </si>
  <si>
    <t>må skatten ha blitt kr 19 750, altså kr 250 mindre enn beregnet per 1.1.</t>
  </si>
  <si>
    <t>2500 Betalbar skatt</t>
  </si>
  <si>
    <t>IB 20 000</t>
  </si>
  <si>
    <t>Betalbar skatt ifølge resultatregnskap</t>
  </si>
  <si>
    <t>Nedgang utsatt skatt</t>
  </si>
  <si>
    <t>Bokført verdi varebeholdning</t>
  </si>
  <si>
    <t xml:space="preserve"> (850 000 – 140 000)</t>
  </si>
  <si>
    <t>Virkelig verdi ukurante varer</t>
  </si>
  <si>
    <r>
      <t xml:space="preserve">Avskrivning solgt bil: 100 000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0,12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9/12 =</t>
    </r>
  </si>
  <si>
    <t>Bokført verdi ved salg</t>
  </si>
  <si>
    <t>Bokført verdi Totyota per 1.1.20x1</t>
  </si>
  <si>
    <t>En økning i avskrivningen med kr 5 000 vil redusere driftsresultatet med samme beløp. Samtidig vil den bokførte verdien</t>
  </si>
  <si>
    <t>av den solgte bilen bli redusert til 26 000 – 5 000 = 21 000. Da vil tapet bli kr 5 000 lavere. Samlet sett vil driftsresultatet</t>
  </si>
  <si>
    <t>for 20x1 ikke bli påvirket.</t>
  </si>
  <si>
    <t>redusert til 130 760 – 10 000 = 120 760. Driftsresultatet vil derfor øke med kr 10 000.</t>
  </si>
  <si>
    <t>En økning i avskrivningene på kr 50 000 vil redusere driftsresultatet med samme beløp. Avskrivningene påvirker</t>
  </si>
  <si>
    <r>
      <t xml:space="preserve">skatten. Økte kostnader vil redusere skattekostnaden, i dette tilfellet med kr 50 000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0,22 = kr 11 000. Derfor vil</t>
    </r>
  </si>
  <si>
    <t>årsresultatet gå ned med kr (50 000 – 11 000) = kr 39 000.</t>
  </si>
  <si>
    <t>En nedskrivning av aksjer er en finanskostnad. Driftsresultatet påvirkes ikke av finanskostnader. Se resultatregnskapet i</t>
  </si>
  <si>
    <t>oppgave c).</t>
  </si>
  <si>
    <t>Balanseverdi kundefordringer 31.12.x1: kr (593 400 – 30 000) = kr 593 400</t>
  </si>
  <si>
    <r>
      <t xml:space="preserve">Bruttofortjeneste i prosent: 4 088 200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100 / 9 145 000 =</t>
    </r>
  </si>
  <si>
    <t>l)</t>
  </si>
  <si>
    <t>Utsatt skatt skyldes at de regnskapsmessige verdiene er forskjellig fra de tilsvarende skattemessige verdiene.</t>
  </si>
  <si>
    <t>Dersom bilen selges for kr 100 000, vil det oppstå en skattemessig gevinst på kr 20 000. Skatten på denne gevinsten vil bli</t>
  </si>
  <si>
    <r>
      <t xml:space="preserve">kr 20 000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0,22 = kr 4 400. Siden vi velger å beholde bilen, velger vi samtidig å utsette denne skatten. Men for at ikke egenkapitalen</t>
    </r>
  </si>
  <si>
    <t>skal bli overvurdert, fører vi opp kr 4 400 som gjeld i balansen.</t>
  </si>
  <si>
    <t>m)</t>
  </si>
  <si>
    <r>
      <t xml:space="preserve">Vi regner med å betale kr 99 000 i skatt i 20x2. Se balansetall på konto </t>
    </r>
    <r>
      <rPr>
        <i/>
        <sz val="11"/>
        <rFont val="Times New Roman"/>
        <family val="1"/>
      </rPr>
      <t>2500 Betalbar skatt.</t>
    </r>
  </si>
  <si>
    <t>Økning i avsetning til tap på fordringer: 24 000 – 20 000 =</t>
  </si>
  <si>
    <t>Bokført verdi kundefordringer per 31.12.x1: 300 000 – 24 000 =</t>
  </si>
  <si>
    <t>Usikre fordringer ekskl. mva.: 40 000 : 1,25 =</t>
  </si>
  <si>
    <t>Ifølge rskl. § 5-8 første ledd kan kortsiktige aksjer vurderes til virkelig verdi dersom angitte betingelser er oppfylt.</t>
  </si>
  <si>
    <t>Betalingstidspunktet når det gjelder husleie har ingen betydning for kostnaden. Husleiekostnaden vil uansett blir kr 180 000, dvs.</t>
  </si>
  <si>
    <t>12 måneder à kr 15 000.</t>
  </si>
  <si>
    <t>En kreditsaldo på kr 250 betyr altså at den fastsatte skatten ble kr 250 lavere enn beregnet.</t>
  </si>
  <si>
    <t>Hvis de forskuddsbetalte driftskostnadene på bygningen øker med kr 10 000, vil driftskostnadene på bygningen bli</t>
  </si>
  <si>
    <t>Bruttofortjeneste</t>
  </si>
  <si>
    <t>La oss tenke oss at den regnskapsmessige verdien av en bil er kr 100 000, mens den skattemessige verdien er kr 80 000.</t>
  </si>
  <si>
    <t>n)</t>
  </si>
  <si>
    <t>Regnskapsloven § 5-3, tredje ledd</t>
  </si>
  <si>
    <t>Kurante varer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</si>
</sst>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8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i/>
      <sz val="5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</cellStyleXfs>
  <cellXfs count="155">
    <xf numFmtId="0" fontId="0" fillId="0" borderId="0" xfId="0"/>
    <xf numFmtId="0" fontId="1" fillId="0" borderId="0" xfId="1" applyFont="1"/>
    <xf numFmtId="0" fontId="1" fillId="0" borderId="9" xfId="1" applyFont="1" applyBorder="1" applyAlignment="1" applyProtection="1">
      <alignment horizontal="center"/>
    </xf>
    <xf numFmtId="0" fontId="1" fillId="0" borderId="10" xfId="1" applyFont="1" applyBorder="1" applyAlignment="1" applyProtection="1"/>
    <xf numFmtId="0" fontId="1" fillId="0" borderId="6" xfId="1" applyFont="1" applyBorder="1"/>
    <xf numFmtId="0" fontId="1" fillId="0" borderId="7" xfId="1" applyFont="1" applyBorder="1"/>
    <xf numFmtId="0" fontId="1" fillId="0" borderId="13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1" fontId="1" fillId="0" borderId="3" xfId="1" applyNumberFormat="1" applyFont="1" applyBorder="1" applyAlignment="1" applyProtection="1">
      <alignment horizontal="center"/>
    </xf>
    <xf numFmtId="3" fontId="1" fillId="0" borderId="3" xfId="1" applyNumberFormat="1" applyFont="1" applyBorder="1" applyProtection="1"/>
    <xf numFmtId="3" fontId="1" fillId="0" borderId="4" xfId="1" applyNumberFormat="1" applyFont="1" applyBorder="1" applyProtection="1"/>
    <xf numFmtId="3" fontId="1" fillId="2" borderId="3" xfId="1" applyNumberFormat="1" applyFont="1" applyFill="1" applyBorder="1" applyProtection="1">
      <protection locked="0"/>
    </xf>
    <xf numFmtId="3" fontId="1" fillId="0" borderId="14" xfId="1" applyNumberFormat="1" applyFont="1" applyBorder="1" applyProtection="1"/>
    <xf numFmtId="3" fontId="1" fillId="0" borderId="15" xfId="1" applyNumberFormat="1" applyFont="1" applyBorder="1" applyProtection="1">
      <protection locked="0"/>
    </xf>
    <xf numFmtId="3" fontId="1" fillId="2" borderId="16" xfId="1" applyNumberFormat="1" applyFont="1" applyFill="1" applyBorder="1" applyProtection="1"/>
    <xf numFmtId="3" fontId="1" fillId="0" borderId="15" xfId="1" applyNumberFormat="1" applyFont="1" applyBorder="1" applyProtection="1"/>
    <xf numFmtId="3" fontId="1" fillId="2" borderId="15" xfId="1" applyNumberFormat="1" applyFont="1" applyFill="1" applyBorder="1" applyProtection="1"/>
    <xf numFmtId="1" fontId="1" fillId="0" borderId="7" xfId="1" applyNumberFormat="1" applyFont="1" applyBorder="1" applyAlignment="1" applyProtection="1">
      <alignment horizontal="center"/>
    </xf>
    <xf numFmtId="3" fontId="1" fillId="0" borderId="6" xfId="1" applyNumberFormat="1" applyFont="1" applyBorder="1" applyProtection="1"/>
    <xf numFmtId="3" fontId="1" fillId="2" borderId="7" xfId="1" applyNumberFormat="1" applyFont="1" applyFill="1" applyBorder="1" applyProtection="1">
      <protection locked="0"/>
    </xf>
    <xf numFmtId="3" fontId="1" fillId="0" borderId="17" xfId="1" applyNumberFormat="1" applyFont="1" applyBorder="1" applyProtection="1">
      <protection locked="0"/>
    </xf>
    <xf numFmtId="3" fontId="1" fillId="2" borderId="18" xfId="1" applyNumberFormat="1" applyFont="1" applyFill="1" applyBorder="1" applyProtection="1"/>
    <xf numFmtId="3" fontId="1" fillId="0" borderId="17" xfId="1" applyNumberFormat="1" applyFont="1" applyBorder="1" applyProtection="1"/>
    <xf numFmtId="3" fontId="1" fillId="2" borderId="17" xfId="1" applyNumberFormat="1" applyFont="1" applyFill="1" applyBorder="1" applyProtection="1"/>
    <xf numFmtId="0" fontId="4" fillId="0" borderId="0" xfId="1" applyFont="1"/>
    <xf numFmtId="3" fontId="1" fillId="0" borderId="11" xfId="1" applyNumberFormat="1" applyFont="1" applyBorder="1" applyProtection="1"/>
    <xf numFmtId="3" fontId="1" fillId="2" borderId="5" xfId="1" applyNumberFormat="1" applyFont="1" applyFill="1" applyBorder="1" applyProtection="1">
      <protection locked="0"/>
    </xf>
    <xf numFmtId="3" fontId="1" fillId="0" borderId="5" xfId="1" applyNumberFormat="1" applyFont="1" applyBorder="1" applyProtection="1">
      <protection locked="0"/>
    </xf>
    <xf numFmtId="3" fontId="1" fillId="2" borderId="11" xfId="1" applyNumberFormat="1" applyFont="1" applyFill="1" applyBorder="1" applyProtection="1"/>
    <xf numFmtId="3" fontId="1" fillId="0" borderId="5" xfId="1" applyNumberFormat="1" applyFont="1" applyBorder="1" applyProtection="1"/>
    <xf numFmtId="3" fontId="1" fillId="2" borderId="5" xfId="1" applyNumberFormat="1" applyFont="1" applyFill="1" applyBorder="1" applyProtection="1"/>
    <xf numFmtId="1" fontId="1" fillId="0" borderId="15" xfId="1" applyNumberFormat="1" applyFont="1" applyBorder="1" applyAlignment="1" applyProtection="1">
      <alignment horizontal="center"/>
    </xf>
    <xf numFmtId="3" fontId="1" fillId="0" borderId="19" xfId="1" applyNumberFormat="1" applyFont="1" applyBorder="1" applyProtection="1"/>
    <xf numFmtId="1" fontId="1" fillId="0" borderId="17" xfId="1" applyNumberFormat="1" applyFont="1" applyBorder="1" applyAlignment="1" applyProtection="1">
      <alignment horizontal="center"/>
    </xf>
    <xf numFmtId="3" fontId="1" fillId="0" borderId="21" xfId="1" applyNumberFormat="1" applyFont="1" applyBorder="1" applyProtection="1">
      <protection locked="0"/>
    </xf>
    <xf numFmtId="0" fontId="1" fillId="0" borderId="8" xfId="1" applyFont="1" applyBorder="1" applyAlignment="1" applyProtection="1">
      <alignment horizontal="left"/>
    </xf>
    <xf numFmtId="3" fontId="1" fillId="2" borderId="7" xfId="1" applyNumberFormat="1" applyFont="1" applyFill="1" applyBorder="1" applyProtection="1"/>
    <xf numFmtId="3" fontId="1" fillId="2" borderId="15" xfId="1" applyNumberFormat="1" applyFont="1" applyFill="1" applyBorder="1" applyProtection="1">
      <protection locked="0"/>
    </xf>
    <xf numFmtId="3" fontId="1" fillId="2" borderId="21" xfId="1" applyNumberFormat="1" applyFont="1" applyFill="1" applyBorder="1" applyProtection="1">
      <protection locked="0"/>
    </xf>
    <xf numFmtId="49" fontId="2" fillId="0" borderId="10" xfId="1" applyNumberFormat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left"/>
    </xf>
    <xf numFmtId="0" fontId="1" fillId="0" borderId="7" xfId="1" applyFont="1" applyBorder="1" applyAlignment="1" applyProtection="1">
      <alignment horizontal="center"/>
    </xf>
    <xf numFmtId="0" fontId="1" fillId="0" borderId="7" xfId="1" applyFont="1" applyBorder="1" applyAlignment="1" applyProtection="1"/>
    <xf numFmtId="3" fontId="5" fillId="0" borderId="5" xfId="1" applyNumberFormat="1" applyFont="1" applyBorder="1" applyProtection="1">
      <protection locked="0"/>
    </xf>
    <xf numFmtId="3" fontId="5" fillId="2" borderId="11" xfId="1" applyNumberFormat="1" applyFont="1" applyFill="1" applyBorder="1" applyProtection="1"/>
    <xf numFmtId="3" fontId="5" fillId="0" borderId="15" xfId="1" applyNumberFormat="1" applyFont="1" applyBorder="1" applyProtection="1">
      <protection locked="0"/>
    </xf>
    <xf numFmtId="3" fontId="5" fillId="2" borderId="16" xfId="1" applyNumberFormat="1" applyFont="1" applyFill="1" applyBorder="1" applyProtection="1"/>
    <xf numFmtId="3" fontId="5" fillId="0" borderId="17" xfId="1" applyNumberFormat="1" applyFont="1" applyBorder="1" applyProtection="1">
      <protection locked="0"/>
    </xf>
    <xf numFmtId="3" fontId="5" fillId="2" borderId="18" xfId="1" applyNumberFormat="1" applyFont="1" applyFill="1" applyBorder="1" applyProtection="1"/>
    <xf numFmtId="0" fontId="6" fillId="0" borderId="0" xfId="1" applyFont="1"/>
    <xf numFmtId="0" fontId="7" fillId="0" borderId="0" xfId="1" applyFont="1"/>
    <xf numFmtId="0" fontId="8" fillId="0" borderId="0" xfId="1" applyFont="1"/>
    <xf numFmtId="0" fontId="8" fillId="0" borderId="0" xfId="1" applyFont="1" applyBorder="1"/>
    <xf numFmtId="3" fontId="8" fillId="0" borderId="4" xfId="1" applyNumberFormat="1" applyFont="1" applyBorder="1"/>
    <xf numFmtId="3" fontId="8" fillId="0" borderId="0" xfId="1" applyNumberFormat="1" applyFont="1" applyBorder="1"/>
    <xf numFmtId="3" fontId="8" fillId="0" borderId="22" xfId="1" applyNumberFormat="1" applyFont="1" applyBorder="1"/>
    <xf numFmtId="3" fontId="8" fillId="0" borderId="13" xfId="1" applyNumberFormat="1" applyFont="1" applyBorder="1"/>
    <xf numFmtId="3" fontId="8" fillId="0" borderId="16" xfId="1" applyNumberFormat="1" applyFont="1" applyBorder="1"/>
    <xf numFmtId="3" fontId="8" fillId="0" borderId="18" xfId="1" applyNumberFormat="1" applyFont="1" applyBorder="1"/>
    <xf numFmtId="3" fontId="8" fillId="0" borderId="8" xfId="1" applyNumberFormat="1" applyFont="1" applyBorder="1"/>
    <xf numFmtId="0" fontId="9" fillId="0" borderId="0" xfId="1" applyFont="1" applyBorder="1"/>
    <xf numFmtId="0" fontId="10" fillId="0" borderId="0" xfId="1" applyFont="1"/>
    <xf numFmtId="0" fontId="10" fillId="0" borderId="0" xfId="1" applyFont="1" applyBorder="1"/>
    <xf numFmtId="3" fontId="10" fillId="0" borderId="0" xfId="1" applyNumberFormat="1" applyFont="1" applyBorder="1"/>
    <xf numFmtId="0" fontId="11" fillId="0" borderId="0" xfId="1" applyFont="1"/>
    <xf numFmtId="0" fontId="11" fillId="0" borderId="0" xfId="1" applyFont="1" applyBorder="1"/>
    <xf numFmtId="3" fontId="11" fillId="0" borderId="0" xfId="1" applyNumberFormat="1" applyFont="1" applyBorder="1"/>
    <xf numFmtId="0" fontId="12" fillId="0" borderId="0" xfId="1" applyFont="1" applyBorder="1"/>
    <xf numFmtId="0" fontId="13" fillId="0" borderId="0" xfId="1" applyFont="1" applyBorder="1"/>
    <xf numFmtId="3" fontId="8" fillId="0" borderId="0" xfId="1" applyNumberFormat="1" applyFont="1"/>
    <xf numFmtId="3" fontId="1" fillId="0" borderId="0" xfId="1" applyNumberFormat="1" applyFont="1"/>
    <xf numFmtId="0" fontId="8" fillId="0" borderId="9" xfId="1" applyFont="1" applyBorder="1" applyAlignment="1" applyProtection="1">
      <alignment horizontal="center"/>
    </xf>
    <xf numFmtId="0" fontId="8" fillId="0" borderId="10" xfId="1" applyFont="1" applyBorder="1" applyAlignment="1" applyProtection="1"/>
    <xf numFmtId="0" fontId="8" fillId="0" borderId="6" xfId="1" applyFont="1" applyBorder="1"/>
    <xf numFmtId="0" fontId="8" fillId="0" borderId="7" xfId="1" applyFont="1" applyBorder="1"/>
    <xf numFmtId="1" fontId="1" fillId="0" borderId="15" xfId="1" applyNumberFormat="1" applyFont="1" applyBorder="1" applyAlignment="1" applyProtection="1">
      <alignment horizontal="center"/>
      <protection locked="0"/>
    </xf>
    <xf numFmtId="3" fontId="1" fillId="0" borderId="19" xfId="1" applyNumberFormat="1" applyFont="1" applyBorder="1" applyProtection="1">
      <protection locked="0"/>
    </xf>
    <xf numFmtId="0" fontId="1" fillId="0" borderId="16" xfId="1" applyFont="1" applyBorder="1" applyProtection="1">
      <protection locked="0"/>
    </xf>
    <xf numFmtId="0" fontId="1" fillId="0" borderId="16" xfId="1" quotePrefix="1" applyFont="1" applyBorder="1" applyAlignment="1" applyProtection="1">
      <alignment horizontal="left"/>
      <protection locked="0"/>
    </xf>
    <xf numFmtId="0" fontId="1" fillId="0" borderId="16" xfId="1" applyFont="1" applyBorder="1" applyAlignment="1" applyProtection="1">
      <alignment horizontal="left"/>
      <protection locked="0"/>
    </xf>
    <xf numFmtId="3" fontId="1" fillId="0" borderId="16" xfId="1" applyNumberFormat="1" applyFont="1" applyBorder="1" applyProtection="1"/>
    <xf numFmtId="0" fontId="1" fillId="0" borderId="15" xfId="1" applyFont="1" applyBorder="1" applyAlignment="1" applyProtection="1">
      <alignment horizontal="left"/>
      <protection locked="0"/>
    </xf>
    <xf numFmtId="3" fontId="1" fillId="0" borderId="15" xfId="1" applyNumberFormat="1" applyFont="1" applyBorder="1"/>
    <xf numFmtId="3" fontId="1" fillId="2" borderId="15" xfId="1" applyNumberFormat="1" applyFont="1" applyFill="1" applyBorder="1"/>
    <xf numFmtId="1" fontId="1" fillId="0" borderId="21" xfId="1" applyNumberFormat="1" applyFont="1" applyBorder="1" applyAlignment="1" applyProtection="1">
      <alignment horizontal="center"/>
      <protection locked="0"/>
    </xf>
    <xf numFmtId="0" fontId="1" fillId="0" borderId="21" xfId="1" applyFont="1" applyBorder="1" applyAlignment="1" applyProtection="1">
      <alignment horizontal="left"/>
      <protection locked="0"/>
    </xf>
    <xf numFmtId="3" fontId="1" fillId="0" borderId="21" xfId="1" applyNumberFormat="1" applyFont="1" applyBorder="1"/>
    <xf numFmtId="3" fontId="1" fillId="2" borderId="21" xfId="1" applyNumberFormat="1" applyFont="1" applyFill="1" applyBorder="1"/>
    <xf numFmtId="0" fontId="1" fillId="0" borderId="17" xfId="1" quotePrefix="1" applyFont="1" applyBorder="1" applyAlignment="1" applyProtection="1">
      <alignment horizontal="left"/>
    </xf>
    <xf numFmtId="3" fontId="1" fillId="0" borderId="17" xfId="1" applyNumberFormat="1" applyFont="1" applyBorder="1"/>
    <xf numFmtId="3" fontId="1" fillId="2" borderId="17" xfId="1" applyNumberFormat="1" applyFont="1" applyFill="1" applyBorder="1"/>
    <xf numFmtId="1" fontId="1" fillId="0" borderId="2" xfId="1" applyNumberFormat="1" applyFont="1" applyBorder="1" applyAlignment="1" applyProtection="1">
      <alignment horizontal="center"/>
    </xf>
    <xf numFmtId="0" fontId="1" fillId="0" borderId="2" xfId="1" quotePrefix="1" applyFont="1" applyBorder="1" applyAlignment="1" applyProtection="1">
      <alignment horizontal="left"/>
    </xf>
    <xf numFmtId="3" fontId="1" fillId="0" borderId="2" xfId="1" applyNumberFormat="1" applyFont="1" applyBorder="1" applyProtection="1"/>
    <xf numFmtId="3" fontId="1" fillId="2" borderId="2" xfId="1" applyNumberFormat="1" applyFont="1" applyFill="1" applyBorder="1" applyProtection="1"/>
    <xf numFmtId="1" fontId="8" fillId="0" borderId="0" xfId="1" applyNumberFormat="1" applyFont="1" applyBorder="1" applyAlignment="1" applyProtection="1">
      <alignment horizontal="center"/>
    </xf>
    <xf numFmtId="0" fontId="8" fillId="0" borderId="0" xfId="1" quotePrefix="1" applyFont="1" applyBorder="1" applyAlignment="1" applyProtection="1">
      <alignment horizontal="left"/>
    </xf>
    <xf numFmtId="3" fontId="8" fillId="0" borderId="0" xfId="1" applyNumberFormat="1" applyFont="1" applyBorder="1" applyProtection="1"/>
    <xf numFmtId="0" fontId="14" fillId="0" borderId="0" xfId="1" applyFont="1"/>
    <xf numFmtId="3" fontId="1" fillId="0" borderId="13" xfId="1" applyNumberFormat="1" applyFont="1" applyBorder="1"/>
    <xf numFmtId="3" fontId="1" fillId="0" borderId="13" xfId="1" applyNumberFormat="1" applyFont="1" applyFill="1" applyBorder="1" applyAlignment="1" applyProtection="1">
      <alignment horizontal="center" vertical="center"/>
    </xf>
    <xf numFmtId="3" fontId="1" fillId="0" borderId="1" xfId="1" applyNumberFormat="1" applyFont="1" applyFill="1" applyBorder="1" applyAlignment="1" applyProtection="1">
      <alignment horizontal="center" vertical="center"/>
    </xf>
    <xf numFmtId="3" fontId="1" fillId="0" borderId="2" xfId="1" applyNumberFormat="1" applyFont="1" applyFill="1" applyBorder="1" applyAlignment="1" applyProtection="1">
      <alignment horizontal="center" vertical="center"/>
    </xf>
    <xf numFmtId="3" fontId="1" fillId="0" borderId="8" xfId="1" applyNumberFormat="1" applyFont="1" applyBorder="1"/>
    <xf numFmtId="3" fontId="1" fillId="0" borderId="0" xfId="1" applyNumberFormat="1" applyFont="1" applyAlignment="1">
      <alignment horizontal="left" indent="1"/>
    </xf>
    <xf numFmtId="0" fontId="9" fillId="0" borderId="0" xfId="1" applyFont="1"/>
    <xf numFmtId="0" fontId="8" fillId="0" borderId="0" xfId="1" applyFont="1" applyAlignment="1">
      <alignment horizontal="center"/>
    </xf>
    <xf numFmtId="3" fontId="1" fillId="0" borderId="0" xfId="1" applyNumberFormat="1" applyFont="1" applyBorder="1"/>
    <xf numFmtId="0" fontId="8" fillId="0" borderId="2" xfId="1" applyFont="1" applyBorder="1" applyAlignment="1">
      <alignment horizontal="left"/>
    </xf>
    <xf numFmtId="0" fontId="8" fillId="0" borderId="2" xfId="1" applyFont="1" applyBorder="1"/>
    <xf numFmtId="0" fontId="8" fillId="0" borderId="5" xfId="1" applyFont="1" applyBorder="1" applyAlignment="1">
      <alignment horizontal="center"/>
    </xf>
    <xf numFmtId="0" fontId="8" fillId="0" borderId="5" xfId="1" applyFont="1" applyBorder="1"/>
    <xf numFmtId="3" fontId="8" fillId="0" borderId="5" xfId="1" applyNumberFormat="1" applyFont="1" applyBorder="1"/>
    <xf numFmtId="3" fontId="8" fillId="2" borderId="5" xfId="1" applyNumberFormat="1" applyFont="1" applyFill="1" applyBorder="1"/>
    <xf numFmtId="0" fontId="8" fillId="0" borderId="15" xfId="1" applyFont="1" applyBorder="1" applyAlignment="1">
      <alignment horizontal="center"/>
    </xf>
    <xf numFmtId="0" fontId="8" fillId="0" borderId="15" xfId="1" applyFont="1" applyBorder="1"/>
    <xf numFmtId="3" fontId="8" fillId="0" borderId="15" xfId="1" applyNumberFormat="1" applyFont="1" applyBorder="1"/>
    <xf numFmtId="3" fontId="8" fillId="2" borderId="15" xfId="1" applyNumberFormat="1" applyFont="1" applyFill="1" applyBorder="1"/>
    <xf numFmtId="0" fontId="8" fillId="0" borderId="17" xfId="1" applyFont="1" applyBorder="1" applyAlignment="1">
      <alignment horizontal="center"/>
    </xf>
    <xf numFmtId="0" fontId="8" fillId="0" borderId="17" xfId="1" applyFont="1" applyBorder="1"/>
    <xf numFmtId="3" fontId="8" fillId="0" borderId="17" xfId="1" applyNumberFormat="1" applyFont="1" applyBorder="1"/>
    <xf numFmtId="3" fontId="8" fillId="2" borderId="17" xfId="1" applyNumberFormat="1" applyFont="1" applyFill="1" applyBorder="1"/>
    <xf numFmtId="0" fontId="8" fillId="0" borderId="2" xfId="1" applyFont="1" applyBorder="1" applyAlignment="1">
      <alignment horizontal="center"/>
    </xf>
    <xf numFmtId="3" fontId="8" fillId="0" borderId="2" xfId="1" applyNumberFormat="1" applyFont="1" applyBorder="1"/>
    <xf numFmtId="3" fontId="8" fillId="2" borderId="2" xfId="1" applyNumberFormat="1" applyFont="1" applyFill="1" applyBorder="1"/>
    <xf numFmtId="0" fontId="9" fillId="0" borderId="0" xfId="1" applyFont="1" applyAlignment="1">
      <alignment horizontal="left"/>
    </xf>
    <xf numFmtId="49" fontId="8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right"/>
    </xf>
    <xf numFmtId="49" fontId="8" fillId="0" borderId="0" xfId="1" quotePrefix="1" applyNumberFormat="1" applyFont="1" applyAlignment="1">
      <alignment horizontal="right"/>
    </xf>
    <xf numFmtId="0" fontId="15" fillId="0" borderId="0" xfId="1" applyFont="1"/>
    <xf numFmtId="0" fontId="8" fillId="0" borderId="13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1" fillId="0" borderId="0" xfId="1" applyFont="1" applyFill="1"/>
    <xf numFmtId="14" fontId="1" fillId="0" borderId="0" xfId="1" applyNumberFormat="1" applyFont="1" applyFill="1"/>
    <xf numFmtId="0" fontId="1" fillId="2" borderId="15" xfId="1" applyFont="1" applyFill="1" applyBorder="1"/>
    <xf numFmtId="0" fontId="1" fillId="2" borderId="21" xfId="1" applyFont="1" applyFill="1" applyBorder="1"/>
    <xf numFmtId="0" fontId="1" fillId="2" borderId="17" xfId="1" applyFont="1" applyFill="1" applyBorder="1"/>
    <xf numFmtId="3" fontId="8" fillId="0" borderId="20" xfId="1" applyNumberFormat="1" applyFont="1" applyBorder="1" applyProtection="1"/>
    <xf numFmtId="3" fontId="8" fillId="0" borderId="9" xfId="1" applyNumberFormat="1" applyFont="1" applyBorder="1" applyAlignment="1" applyProtection="1">
      <alignment horizontal="right"/>
    </xf>
    <xf numFmtId="1" fontId="8" fillId="0" borderId="0" xfId="1" applyNumberFormat="1" applyFont="1" applyBorder="1" applyAlignment="1" applyProtection="1">
      <alignment horizontal="left"/>
    </xf>
    <xf numFmtId="3" fontId="8" fillId="0" borderId="13" xfId="1" applyNumberFormat="1" applyFont="1" applyBorder="1" applyProtection="1"/>
    <xf numFmtId="1" fontId="8" fillId="0" borderId="0" xfId="1" applyNumberFormat="1" applyFont="1" applyBorder="1" applyAlignment="1" applyProtection="1">
      <alignment horizontal="right"/>
    </xf>
    <xf numFmtId="1" fontId="8" fillId="0" borderId="0" xfId="1" quotePrefix="1" applyNumberFormat="1" applyFont="1" applyBorder="1" applyAlignment="1" applyProtection="1">
      <alignment horizontal="right"/>
    </xf>
    <xf numFmtId="1" fontId="8" fillId="0" borderId="0" xfId="1" applyNumberFormat="1" applyFont="1" applyBorder="1" applyAlignment="1" applyProtection="1"/>
    <xf numFmtId="164" fontId="8" fillId="0" borderId="8" xfId="3" applyNumberFormat="1" applyFont="1" applyBorder="1"/>
    <xf numFmtId="0" fontId="1" fillId="0" borderId="12" xfId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center"/>
    </xf>
    <xf numFmtId="3" fontId="1" fillId="0" borderId="12" xfId="1" applyNumberFormat="1" applyFont="1" applyBorder="1" applyAlignment="1" applyProtection="1">
      <alignment horizontal="center"/>
    </xf>
    <xf numFmtId="3" fontId="1" fillId="0" borderId="2" xfId="1" applyNumberFormat="1" applyFont="1" applyBorder="1" applyAlignment="1" applyProtection="1">
      <alignment horizontal="center"/>
    </xf>
    <xf numFmtId="3" fontId="8" fillId="0" borderId="2" xfId="1" applyNumberFormat="1" applyFont="1" applyBorder="1" applyAlignment="1">
      <alignment horizontal="center"/>
    </xf>
    <xf numFmtId="0" fontId="8" fillId="0" borderId="12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/>
    </xf>
    <xf numFmtId="3" fontId="8" fillId="0" borderId="8" xfId="1" applyNumberFormat="1" applyFont="1" applyBorder="1" applyAlignment="1" applyProtection="1">
      <alignment horizontal="center"/>
    </xf>
  </cellXfs>
  <cellStyles count="6">
    <cellStyle name="Normal" xfId="0" builtinId="0"/>
    <cellStyle name="Normal 2" xfId="1"/>
    <cellStyle name="Normal 3" xfId="4"/>
    <cellStyle name="Normal 4" xfId="5"/>
    <cellStyle name="Prosent" xfId="3" builtinId="5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Zeros="0" workbookViewId="0">
      <selection activeCell="G22" sqref="G22"/>
    </sheetView>
  </sheetViews>
  <sheetFormatPr baseColWidth="10" defaultRowHeight="15.75" x14ac:dyDescent="0.25"/>
  <cols>
    <col min="1" max="1" width="5.7109375" style="1" bestFit="1" customWidth="1"/>
    <col min="2" max="2" width="27.5703125" style="1" customWidth="1"/>
    <col min="3" max="10" width="9.7109375" style="1" customWidth="1"/>
    <col min="11" max="16384" width="11.42578125" style="1"/>
  </cols>
  <sheetData>
    <row r="1" spans="1:10" x14ac:dyDescent="0.25">
      <c r="A1" s="25" t="s">
        <v>76</v>
      </c>
    </row>
    <row r="3" spans="1:10" x14ac:dyDescent="0.25">
      <c r="A3" s="1" t="s">
        <v>16</v>
      </c>
      <c r="B3" s="1" t="s">
        <v>77</v>
      </c>
    </row>
    <row r="4" spans="1:10" x14ac:dyDescent="0.25">
      <c r="B4" s="1" t="s">
        <v>78</v>
      </c>
    </row>
    <row r="5" spans="1:10" x14ac:dyDescent="0.25">
      <c r="B5" s="1" t="s">
        <v>79</v>
      </c>
    </row>
    <row r="6" spans="1:10" x14ac:dyDescent="0.25">
      <c r="B6" s="1" t="s">
        <v>80</v>
      </c>
    </row>
    <row r="8" spans="1:10" x14ac:dyDescent="0.25">
      <c r="A8" s="1" t="s">
        <v>9</v>
      </c>
    </row>
    <row r="9" spans="1:10" x14ac:dyDescent="0.25">
      <c r="A9" s="2" t="s">
        <v>4</v>
      </c>
      <c r="B9" s="3" t="s">
        <v>5</v>
      </c>
      <c r="C9" s="147" t="s">
        <v>0</v>
      </c>
      <c r="D9" s="148"/>
      <c r="E9" s="148" t="s">
        <v>1</v>
      </c>
      <c r="F9" s="148"/>
      <c r="G9" s="148" t="s">
        <v>2</v>
      </c>
      <c r="H9" s="148"/>
      <c r="I9" s="148" t="s">
        <v>3</v>
      </c>
      <c r="J9" s="148"/>
    </row>
    <row r="10" spans="1:10" x14ac:dyDescent="0.25">
      <c r="A10" s="4"/>
      <c r="B10" s="5"/>
      <c r="C10" s="6" t="s">
        <v>6</v>
      </c>
      <c r="D10" s="7" t="s">
        <v>7</v>
      </c>
      <c r="E10" s="7" t="s">
        <v>6</v>
      </c>
      <c r="F10" s="7" t="s">
        <v>7</v>
      </c>
      <c r="G10" s="7" t="s">
        <v>6</v>
      </c>
      <c r="H10" s="7" t="s">
        <v>7</v>
      </c>
      <c r="I10" s="7" t="s">
        <v>6</v>
      </c>
      <c r="J10" s="8" t="s">
        <v>7</v>
      </c>
    </row>
    <row r="11" spans="1:10" x14ac:dyDescent="0.25">
      <c r="A11" s="9">
        <v>1500</v>
      </c>
      <c r="B11" s="10" t="s">
        <v>19</v>
      </c>
      <c r="C11" s="11">
        <v>300000</v>
      </c>
      <c r="D11" s="12"/>
      <c r="E11" s="28"/>
      <c r="F11" s="29"/>
      <c r="G11" s="30"/>
      <c r="H11" s="31"/>
      <c r="I11" s="30">
        <f>C11</f>
        <v>300000</v>
      </c>
      <c r="J11" s="31"/>
    </row>
    <row r="12" spans="1:10" x14ac:dyDescent="0.25">
      <c r="A12" s="9">
        <v>1580</v>
      </c>
      <c r="B12" s="13" t="s">
        <v>20</v>
      </c>
      <c r="C12" s="16"/>
      <c r="D12" s="12">
        <v>20000</v>
      </c>
      <c r="E12" s="14"/>
      <c r="F12" s="15">
        <v>4000</v>
      </c>
      <c r="G12" s="16"/>
      <c r="H12" s="17"/>
      <c r="I12" s="16"/>
      <c r="J12" s="17">
        <f>F12+D12</f>
        <v>24000</v>
      </c>
    </row>
    <row r="13" spans="1:10" x14ac:dyDescent="0.25">
      <c r="A13" s="18">
        <v>7830</v>
      </c>
      <c r="B13" s="36" t="s">
        <v>21</v>
      </c>
      <c r="C13" s="19">
        <v>30000</v>
      </c>
      <c r="D13" s="37"/>
      <c r="E13" s="21">
        <v>4000</v>
      </c>
      <c r="F13" s="22"/>
      <c r="G13" s="23">
        <f>C13+E13</f>
        <v>34000</v>
      </c>
      <c r="H13" s="24"/>
      <c r="I13" s="23"/>
      <c r="J13" s="24"/>
    </row>
    <row r="16" spans="1:10" x14ac:dyDescent="0.25">
      <c r="A16" s="1" t="s">
        <v>189</v>
      </c>
      <c r="E16" s="71">
        <f>24000-20000</f>
        <v>4000</v>
      </c>
    </row>
    <row r="18" spans="1:7" x14ac:dyDescent="0.25">
      <c r="A18" s="1" t="s">
        <v>66</v>
      </c>
      <c r="B18" s="1" t="s">
        <v>190</v>
      </c>
      <c r="G18" s="104">
        <f>I11-J12</f>
        <v>276000</v>
      </c>
    </row>
  </sheetData>
  <mergeCells count="4">
    <mergeCell ref="C9:D9"/>
    <mergeCell ref="E9:F9"/>
    <mergeCell ref="G9:H9"/>
    <mergeCell ref="I9:J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&amp;CLøsning oppgave 13.18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Zeros="0" workbookViewId="0">
      <selection activeCell="P12" sqref="P12"/>
    </sheetView>
  </sheetViews>
  <sheetFormatPr baseColWidth="10" defaultRowHeight="15.75" x14ac:dyDescent="0.25"/>
  <cols>
    <col min="1" max="1" width="5.7109375" style="1" bestFit="1" customWidth="1"/>
    <col min="2" max="2" width="26.140625" style="1" bestFit="1" customWidth="1"/>
    <col min="3" max="10" width="11.42578125" style="71"/>
    <col min="11" max="16384" width="11.42578125" style="1"/>
  </cols>
  <sheetData>
    <row r="1" spans="1:10" x14ac:dyDescent="0.25">
      <c r="A1" s="25" t="s">
        <v>82</v>
      </c>
    </row>
    <row r="3" spans="1:10" x14ac:dyDescent="0.25">
      <c r="A3" s="1" t="s">
        <v>16</v>
      </c>
      <c r="B3" s="1" t="s">
        <v>83</v>
      </c>
    </row>
    <row r="4" spans="1:10" x14ac:dyDescent="0.25">
      <c r="B4" s="1" t="s">
        <v>84</v>
      </c>
    </row>
    <row r="5" spans="1:10" x14ac:dyDescent="0.25">
      <c r="B5" s="1" t="s">
        <v>85</v>
      </c>
    </row>
    <row r="7" spans="1:10" x14ac:dyDescent="0.25">
      <c r="A7" s="1" t="s">
        <v>9</v>
      </c>
    </row>
    <row r="8" spans="1:10" x14ac:dyDescent="0.25">
      <c r="A8" s="40"/>
      <c r="B8" s="41"/>
      <c r="C8" s="149" t="s">
        <v>0</v>
      </c>
      <c r="D8" s="150"/>
      <c r="E8" s="150" t="s">
        <v>1</v>
      </c>
      <c r="F8" s="150"/>
      <c r="G8" s="150" t="s">
        <v>2</v>
      </c>
      <c r="H8" s="150"/>
      <c r="I8" s="150" t="s">
        <v>3</v>
      </c>
      <c r="J8" s="150"/>
    </row>
    <row r="9" spans="1:10" x14ac:dyDescent="0.25">
      <c r="A9" s="42" t="s">
        <v>4</v>
      </c>
      <c r="B9" s="43" t="s">
        <v>5</v>
      </c>
      <c r="C9" s="101" t="s">
        <v>6</v>
      </c>
      <c r="D9" s="102" t="s">
        <v>7</v>
      </c>
      <c r="E9" s="102" t="s">
        <v>6</v>
      </c>
      <c r="F9" s="102" t="s">
        <v>7</v>
      </c>
      <c r="G9" s="102" t="s">
        <v>6</v>
      </c>
      <c r="H9" s="102" t="s">
        <v>7</v>
      </c>
      <c r="I9" s="102" t="s">
        <v>6</v>
      </c>
      <c r="J9" s="103" t="s">
        <v>7</v>
      </c>
    </row>
    <row r="10" spans="1:10" x14ac:dyDescent="0.25">
      <c r="A10" s="9">
        <v>1500</v>
      </c>
      <c r="B10" s="10" t="s">
        <v>19</v>
      </c>
      <c r="C10" s="11">
        <v>2460000</v>
      </c>
      <c r="D10" s="12"/>
      <c r="E10" s="44"/>
      <c r="F10" s="45"/>
      <c r="G10" s="30"/>
      <c r="H10" s="31"/>
      <c r="I10" s="30">
        <f>C10</f>
        <v>2460000</v>
      </c>
      <c r="J10" s="31"/>
    </row>
    <row r="11" spans="1:10" x14ac:dyDescent="0.25">
      <c r="A11" s="9">
        <v>1580</v>
      </c>
      <c r="B11" s="13" t="s">
        <v>81</v>
      </c>
      <c r="C11" s="16"/>
      <c r="D11" s="12">
        <v>50000</v>
      </c>
      <c r="E11" s="46">
        <v>18000</v>
      </c>
      <c r="F11" s="47"/>
      <c r="G11" s="16"/>
      <c r="H11" s="17"/>
      <c r="I11" s="16"/>
      <c r="J11" s="17">
        <f>D11-E11</f>
        <v>32000</v>
      </c>
    </row>
    <row r="12" spans="1:10" x14ac:dyDescent="0.25">
      <c r="A12" s="18">
        <v>7830</v>
      </c>
      <c r="B12" s="36" t="s">
        <v>21</v>
      </c>
      <c r="C12" s="19">
        <v>56000</v>
      </c>
      <c r="D12" s="37"/>
      <c r="E12" s="48"/>
      <c r="F12" s="49">
        <v>18000</v>
      </c>
      <c r="G12" s="23">
        <f>C12-F12</f>
        <v>38000</v>
      </c>
      <c r="H12" s="24"/>
      <c r="I12" s="23"/>
      <c r="J12" s="24"/>
    </row>
    <row r="14" spans="1:10" x14ac:dyDescent="0.25">
      <c r="A14" s="1" t="s">
        <v>191</v>
      </c>
      <c r="D14" s="71">
        <f>40000/1.25</f>
        <v>32000</v>
      </c>
    </row>
    <row r="15" spans="1:10" x14ac:dyDescent="0.25">
      <c r="A15" s="1" t="s">
        <v>86</v>
      </c>
    </row>
    <row r="17" spans="1:4" x14ac:dyDescent="0.25">
      <c r="A17" s="1" t="s">
        <v>66</v>
      </c>
      <c r="B17" s="99" t="s">
        <v>71</v>
      </c>
      <c r="D17" s="105" t="s">
        <v>87</v>
      </c>
    </row>
    <row r="18" spans="1:4" x14ac:dyDescent="0.25">
      <c r="B18" s="1" t="s">
        <v>19</v>
      </c>
      <c r="C18" s="71">
        <f>I10-J11</f>
        <v>2428000</v>
      </c>
      <c r="D18" s="105" t="s">
        <v>88</v>
      </c>
    </row>
    <row r="20" spans="1:4" x14ac:dyDescent="0.25">
      <c r="B20" s="1" t="s">
        <v>89</v>
      </c>
    </row>
  </sheetData>
  <mergeCells count="4">
    <mergeCell ref="C8:D8"/>
    <mergeCell ref="E8:F8"/>
    <mergeCell ref="G8:H8"/>
    <mergeCell ref="I8:J8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13.19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showZeros="0" topLeftCell="A11" workbookViewId="0">
      <selection activeCell="M35" sqref="M35"/>
    </sheetView>
  </sheetViews>
  <sheetFormatPr baseColWidth="10" defaultRowHeight="15.75" x14ac:dyDescent="0.25"/>
  <cols>
    <col min="1" max="1" width="5.5703125" style="1" bestFit="1" customWidth="1"/>
    <col min="2" max="2" width="19.85546875" style="1" customWidth="1"/>
    <col min="3" max="11" width="11.42578125" style="71"/>
    <col min="12" max="16384" width="11.42578125" style="1"/>
  </cols>
  <sheetData>
    <row r="1" spans="1:10" x14ac:dyDescent="0.25">
      <c r="A1" s="25" t="s">
        <v>93</v>
      </c>
    </row>
    <row r="3" spans="1:10" x14ac:dyDescent="0.25">
      <c r="A3" s="1" t="s">
        <v>16</v>
      </c>
    </row>
    <row r="4" spans="1:10" x14ac:dyDescent="0.25">
      <c r="A4" s="1">
        <v>1</v>
      </c>
      <c r="B4" s="1" t="s">
        <v>94</v>
      </c>
    </row>
    <row r="5" spans="1:10" x14ac:dyDescent="0.25">
      <c r="A5" s="1">
        <v>2</v>
      </c>
      <c r="B5" s="1" t="s">
        <v>95</v>
      </c>
    </row>
    <row r="7" spans="1:10" x14ac:dyDescent="0.25">
      <c r="B7" s="1" t="s">
        <v>192</v>
      </c>
    </row>
    <row r="8" spans="1:10" x14ac:dyDescent="0.25">
      <c r="B8" s="1" t="s">
        <v>97</v>
      </c>
    </row>
    <row r="10" spans="1:10" x14ac:dyDescent="0.25">
      <c r="A10" s="1" t="s">
        <v>9</v>
      </c>
      <c r="C10" s="108"/>
      <c r="D10" s="108"/>
      <c r="E10" s="108"/>
      <c r="F10" s="108"/>
      <c r="G10" s="108"/>
      <c r="H10" s="108"/>
      <c r="I10" s="108"/>
      <c r="J10" s="108"/>
    </row>
    <row r="11" spans="1:10" x14ac:dyDescent="0.25">
      <c r="A11" s="2" t="s">
        <v>4</v>
      </c>
      <c r="B11" s="3" t="s">
        <v>5</v>
      </c>
      <c r="C11" s="150" t="s">
        <v>0</v>
      </c>
      <c r="D11" s="150"/>
      <c r="E11" s="150" t="s">
        <v>1</v>
      </c>
      <c r="F11" s="150"/>
      <c r="G11" s="150" t="s">
        <v>2</v>
      </c>
      <c r="H11" s="150"/>
      <c r="I11" s="150" t="s">
        <v>3</v>
      </c>
      <c r="J11" s="150"/>
    </row>
    <row r="12" spans="1:10" x14ac:dyDescent="0.25">
      <c r="A12" s="4"/>
      <c r="B12" s="5"/>
      <c r="C12" s="101" t="s">
        <v>6</v>
      </c>
      <c r="D12" s="102" t="s">
        <v>7</v>
      </c>
      <c r="E12" s="102" t="s">
        <v>6</v>
      </c>
      <c r="F12" s="102" t="s">
        <v>7</v>
      </c>
      <c r="G12" s="102" t="s">
        <v>6</v>
      </c>
      <c r="H12" s="102" t="s">
        <v>7</v>
      </c>
      <c r="I12" s="102" t="s">
        <v>6</v>
      </c>
      <c r="J12" s="103" t="s">
        <v>7</v>
      </c>
    </row>
    <row r="13" spans="1:10" x14ac:dyDescent="0.25">
      <c r="A13" s="9">
        <v>1810</v>
      </c>
      <c r="B13" s="10" t="s">
        <v>8</v>
      </c>
      <c r="C13" s="26">
        <v>100000</v>
      </c>
      <c r="D13" s="27"/>
      <c r="E13" s="28"/>
      <c r="F13" s="29">
        <v>20000</v>
      </c>
      <c r="G13" s="30"/>
      <c r="H13" s="31"/>
      <c r="I13" s="30">
        <v>80000</v>
      </c>
      <c r="J13" s="31"/>
    </row>
    <row r="14" spans="1:10" x14ac:dyDescent="0.25">
      <c r="A14" s="18">
        <v>8100</v>
      </c>
      <c r="B14" s="19" t="s">
        <v>30</v>
      </c>
      <c r="C14" s="23"/>
      <c r="D14" s="20"/>
      <c r="E14" s="21">
        <v>20000</v>
      </c>
      <c r="F14" s="22"/>
      <c r="G14" s="23">
        <v>20000</v>
      </c>
      <c r="H14" s="24"/>
      <c r="I14" s="23"/>
      <c r="J14" s="24"/>
    </row>
    <row r="17" spans="1:4" x14ac:dyDescent="0.25">
      <c r="A17" s="1" t="s">
        <v>66</v>
      </c>
      <c r="B17" s="99" t="s">
        <v>69</v>
      </c>
      <c r="D17" s="105" t="s">
        <v>87</v>
      </c>
    </row>
    <row r="18" spans="1:4" x14ac:dyDescent="0.25">
      <c r="B18" s="1" t="s">
        <v>30</v>
      </c>
      <c r="C18" s="71">
        <f>G14</f>
        <v>20000</v>
      </c>
      <c r="D18" s="105" t="s">
        <v>70</v>
      </c>
    </row>
    <row r="19" spans="1:4" x14ac:dyDescent="0.25">
      <c r="D19" s="105"/>
    </row>
    <row r="20" spans="1:4" x14ac:dyDescent="0.25">
      <c r="B20" s="99" t="s">
        <v>71</v>
      </c>
      <c r="D20" s="105"/>
    </row>
    <row r="21" spans="1:4" x14ac:dyDescent="0.25">
      <c r="B21" s="1" t="s">
        <v>8</v>
      </c>
      <c r="C21" s="71">
        <f>I13</f>
        <v>80000</v>
      </c>
      <c r="D21" s="105" t="s">
        <v>96</v>
      </c>
    </row>
    <row r="22" spans="1:4" x14ac:dyDescent="0.25">
      <c r="D22" s="105"/>
    </row>
    <row r="30" spans="1:4" x14ac:dyDescent="0.25">
      <c r="A30" s="25" t="s">
        <v>98</v>
      </c>
    </row>
    <row r="32" spans="1:4" x14ac:dyDescent="0.25">
      <c r="A32" s="1" t="s">
        <v>99</v>
      </c>
    </row>
    <row r="33" spans="1:12" x14ac:dyDescent="0.25">
      <c r="A33" s="1" t="s">
        <v>100</v>
      </c>
    </row>
    <row r="35" spans="1:12" x14ac:dyDescent="0.25">
      <c r="B35" s="1" t="s">
        <v>102</v>
      </c>
      <c r="D35" s="71">
        <v>200000</v>
      </c>
    </row>
    <row r="36" spans="1:12" x14ac:dyDescent="0.25">
      <c r="B36" s="1" t="s">
        <v>101</v>
      </c>
      <c r="D36" s="71">
        <v>60000</v>
      </c>
    </row>
    <row r="37" spans="1:12" s="50" customFormat="1" ht="20.25" x14ac:dyDescent="0.3">
      <c r="A37" s="1"/>
      <c r="B37" s="1" t="s">
        <v>103</v>
      </c>
      <c r="C37" s="71"/>
      <c r="D37" s="100">
        <f>SUM(D35:D36)</f>
        <v>260000</v>
      </c>
      <c r="E37" s="71"/>
      <c r="F37" s="71"/>
      <c r="G37" s="71"/>
      <c r="H37" s="71"/>
      <c r="I37" s="71"/>
      <c r="J37" s="71"/>
      <c r="K37" s="71"/>
      <c r="L37" s="1"/>
    </row>
    <row r="39" spans="1:12" x14ac:dyDescent="0.25">
      <c r="B39" s="1" t="s">
        <v>104</v>
      </c>
    </row>
    <row r="41" spans="1:12" x14ac:dyDescent="0.25">
      <c r="B41" s="99" t="s">
        <v>69</v>
      </c>
      <c r="D41" s="105" t="s">
        <v>87</v>
      </c>
    </row>
    <row r="42" spans="1:12" x14ac:dyDescent="0.25">
      <c r="B42" s="1" t="s">
        <v>30</v>
      </c>
      <c r="C42" s="71">
        <v>40000</v>
      </c>
      <c r="D42" s="105" t="s">
        <v>70</v>
      </c>
    </row>
    <row r="43" spans="1:12" x14ac:dyDescent="0.25">
      <c r="D43" s="105"/>
    </row>
    <row r="44" spans="1:12" x14ac:dyDescent="0.25">
      <c r="B44" s="99" t="s">
        <v>71</v>
      </c>
      <c r="D44" s="105"/>
    </row>
    <row r="45" spans="1:12" x14ac:dyDescent="0.25">
      <c r="B45" s="1" t="s">
        <v>8</v>
      </c>
      <c r="C45" s="71">
        <v>260000</v>
      </c>
      <c r="D45" s="105" t="s">
        <v>96</v>
      </c>
    </row>
  </sheetData>
  <mergeCells count="4">
    <mergeCell ref="C11:D11"/>
    <mergeCell ref="E11:F11"/>
    <mergeCell ref="G11:H11"/>
    <mergeCell ref="I11:J1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13.21 og 13.22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showGridLines="0" showZeros="0" workbookViewId="0">
      <selection activeCell="K98" sqref="K98"/>
    </sheetView>
  </sheetViews>
  <sheetFormatPr baseColWidth="10" defaultRowHeight="15" x14ac:dyDescent="0.25"/>
  <cols>
    <col min="1" max="1" width="5.5703125" style="107" bestFit="1" customWidth="1"/>
    <col min="2" max="2" width="26.140625" style="52" bestFit="1" customWidth="1"/>
    <col min="3" max="4" width="11.42578125" style="70" customWidth="1"/>
    <col min="5" max="10" width="11.42578125" style="70"/>
    <col min="11" max="16384" width="11.42578125" style="52"/>
  </cols>
  <sheetData>
    <row r="1" spans="1:10" x14ac:dyDescent="0.25">
      <c r="A1" s="126" t="s">
        <v>150</v>
      </c>
    </row>
    <row r="3" spans="1:10" x14ac:dyDescent="0.25">
      <c r="A3" s="109" t="s">
        <v>16</v>
      </c>
      <c r="B3" s="110"/>
      <c r="C3" s="151" t="s">
        <v>0</v>
      </c>
      <c r="D3" s="151"/>
      <c r="E3" s="151" t="s">
        <v>105</v>
      </c>
      <c r="F3" s="151"/>
      <c r="G3" s="151" t="s">
        <v>2</v>
      </c>
      <c r="H3" s="151"/>
      <c r="I3" s="151" t="s">
        <v>3</v>
      </c>
      <c r="J3" s="151"/>
    </row>
    <row r="4" spans="1:10" x14ac:dyDescent="0.25">
      <c r="A4" s="111">
        <v>1230</v>
      </c>
      <c r="B4" s="112" t="s">
        <v>13</v>
      </c>
      <c r="C4" s="113">
        <v>335000</v>
      </c>
      <c r="D4" s="114"/>
      <c r="E4" s="113"/>
      <c r="F4" s="114">
        <v>117000</v>
      </c>
      <c r="G4" s="113"/>
      <c r="H4" s="114"/>
      <c r="I4" s="113">
        <v>218000</v>
      </c>
      <c r="J4" s="114"/>
    </row>
    <row r="5" spans="1:10" x14ac:dyDescent="0.25">
      <c r="A5" s="115">
        <v>1239</v>
      </c>
      <c r="B5" s="116" t="s">
        <v>14</v>
      </c>
      <c r="C5" s="117"/>
      <c r="D5" s="118">
        <v>37500</v>
      </c>
      <c r="E5" s="117">
        <v>37500</v>
      </c>
      <c r="F5" s="118"/>
      <c r="G5" s="117"/>
      <c r="H5" s="118"/>
      <c r="I5" s="117"/>
      <c r="J5" s="118"/>
    </row>
    <row r="6" spans="1:10" x14ac:dyDescent="0.25">
      <c r="A6" s="115">
        <v>1250</v>
      </c>
      <c r="B6" s="116" t="s">
        <v>12</v>
      </c>
      <c r="C6" s="117">
        <v>36000</v>
      </c>
      <c r="D6" s="118"/>
      <c r="E6" s="117"/>
      <c r="F6" s="118">
        <v>10000</v>
      </c>
      <c r="G6" s="117"/>
      <c r="H6" s="118"/>
      <c r="I6" s="117">
        <f>C6+E6-F6</f>
        <v>26000</v>
      </c>
      <c r="J6" s="118"/>
    </row>
    <row r="7" spans="1:10" x14ac:dyDescent="0.25">
      <c r="A7" s="115">
        <v>1460</v>
      </c>
      <c r="B7" s="116" t="s">
        <v>17</v>
      </c>
      <c r="C7" s="117">
        <v>676000</v>
      </c>
      <c r="D7" s="118"/>
      <c r="E7" s="117">
        <v>9000</v>
      </c>
      <c r="F7" s="118"/>
      <c r="G7" s="117"/>
      <c r="H7" s="118"/>
      <c r="I7" s="117">
        <f t="shared" ref="I7:I12" si="0">C7+E7-F7</f>
        <v>685000</v>
      </c>
      <c r="J7" s="118"/>
    </row>
    <row r="8" spans="1:10" x14ac:dyDescent="0.25">
      <c r="A8" s="115">
        <v>1500</v>
      </c>
      <c r="B8" s="116" t="s">
        <v>19</v>
      </c>
      <c r="C8" s="117">
        <v>514500</v>
      </c>
      <c r="D8" s="118"/>
      <c r="E8" s="117"/>
      <c r="F8" s="118"/>
      <c r="G8" s="117"/>
      <c r="H8" s="118"/>
      <c r="I8" s="117">
        <f t="shared" si="0"/>
        <v>514500</v>
      </c>
      <c r="J8" s="118"/>
    </row>
    <row r="9" spans="1:10" x14ac:dyDescent="0.25">
      <c r="A9" s="115">
        <v>1580</v>
      </c>
      <c r="B9" s="116" t="s">
        <v>81</v>
      </c>
      <c r="C9" s="117"/>
      <c r="D9" s="118">
        <v>10000</v>
      </c>
      <c r="E9" s="117">
        <v>6000</v>
      </c>
      <c r="F9" s="118"/>
      <c r="G9" s="117"/>
      <c r="H9" s="118"/>
      <c r="I9" s="117"/>
      <c r="J9" s="118">
        <v>4000</v>
      </c>
    </row>
    <row r="10" spans="1:10" x14ac:dyDescent="0.25">
      <c r="A10" s="115">
        <v>1900</v>
      </c>
      <c r="B10" s="116" t="s">
        <v>106</v>
      </c>
      <c r="C10" s="117">
        <v>500</v>
      </c>
      <c r="D10" s="118"/>
      <c r="E10" s="117"/>
      <c r="F10" s="118"/>
      <c r="G10" s="117"/>
      <c r="H10" s="118"/>
      <c r="I10" s="117">
        <f t="shared" si="0"/>
        <v>500</v>
      </c>
      <c r="J10" s="118"/>
    </row>
    <row r="11" spans="1:10" x14ac:dyDescent="0.25">
      <c r="A11" s="115">
        <v>1920</v>
      </c>
      <c r="B11" s="116" t="s">
        <v>73</v>
      </c>
      <c r="C11" s="117">
        <v>1085000</v>
      </c>
      <c r="D11" s="118"/>
      <c r="E11" s="117"/>
      <c r="F11" s="118"/>
      <c r="G11" s="117"/>
      <c r="H11" s="118"/>
      <c r="I11" s="117">
        <f t="shared" si="0"/>
        <v>1085000</v>
      </c>
      <c r="J11" s="118"/>
    </row>
    <row r="12" spans="1:10" x14ac:dyDescent="0.25">
      <c r="A12" s="115">
        <v>1950</v>
      </c>
      <c r="B12" s="116" t="s">
        <v>107</v>
      </c>
      <c r="C12" s="117">
        <v>80400</v>
      </c>
      <c r="D12" s="118"/>
      <c r="E12" s="117"/>
      <c r="F12" s="118"/>
      <c r="G12" s="117"/>
      <c r="H12" s="118"/>
      <c r="I12" s="117">
        <f t="shared" si="0"/>
        <v>80400</v>
      </c>
      <c r="J12" s="118"/>
    </row>
    <row r="13" spans="1:10" x14ac:dyDescent="0.25">
      <c r="A13" s="115">
        <v>2000</v>
      </c>
      <c r="B13" s="116" t="s">
        <v>45</v>
      </c>
      <c r="C13" s="117"/>
      <c r="D13" s="118">
        <v>500000</v>
      </c>
      <c r="E13" s="117"/>
      <c r="F13" s="118"/>
      <c r="G13" s="117"/>
      <c r="H13" s="118"/>
      <c r="I13" s="117"/>
      <c r="J13" s="118">
        <v>500000</v>
      </c>
    </row>
    <row r="14" spans="1:10" x14ac:dyDescent="0.25">
      <c r="A14" s="115">
        <v>2050</v>
      </c>
      <c r="B14" s="116" t="s">
        <v>46</v>
      </c>
      <c r="C14" s="117"/>
      <c r="D14" s="118">
        <v>202300</v>
      </c>
      <c r="E14" s="117"/>
      <c r="F14" s="118">
        <f>E43-F23</f>
        <v>179000</v>
      </c>
      <c r="G14" s="117"/>
      <c r="H14" s="118"/>
      <c r="I14" s="117"/>
      <c r="J14" s="118">
        <f>SUM(D14:F14)</f>
        <v>381300</v>
      </c>
    </row>
    <row r="15" spans="1:10" x14ac:dyDescent="0.25">
      <c r="A15" s="115">
        <v>2120</v>
      </c>
      <c r="B15" s="116" t="s">
        <v>47</v>
      </c>
      <c r="C15" s="117"/>
      <c r="D15" s="118">
        <v>10000</v>
      </c>
      <c r="E15" s="117">
        <v>9000</v>
      </c>
      <c r="F15" s="118"/>
      <c r="G15" s="117"/>
      <c r="H15" s="118"/>
      <c r="I15" s="117"/>
      <c r="J15" s="118">
        <v>1000</v>
      </c>
    </row>
    <row r="16" spans="1:10" x14ac:dyDescent="0.25">
      <c r="A16" s="115">
        <v>2240</v>
      </c>
      <c r="B16" s="116" t="s">
        <v>108</v>
      </c>
      <c r="C16" s="117"/>
      <c r="D16" s="118">
        <v>380000</v>
      </c>
      <c r="E16" s="117"/>
      <c r="F16" s="118"/>
      <c r="G16" s="117"/>
      <c r="H16" s="118"/>
      <c r="I16" s="117"/>
      <c r="J16" s="118">
        <v>380000</v>
      </c>
    </row>
    <row r="17" spans="1:12" x14ac:dyDescent="0.25">
      <c r="A17" s="115">
        <v>2400</v>
      </c>
      <c r="B17" s="116" t="s">
        <v>50</v>
      </c>
      <c r="C17" s="117"/>
      <c r="D17" s="118">
        <v>489500</v>
      </c>
      <c r="E17" s="117"/>
      <c r="F17" s="118">
        <v>3000</v>
      </c>
      <c r="G17" s="117"/>
      <c r="H17" s="118"/>
      <c r="I17" s="117"/>
      <c r="J17" s="118">
        <v>492500</v>
      </c>
    </row>
    <row r="18" spans="1:12" x14ac:dyDescent="0.25">
      <c r="A18" s="115">
        <v>2500</v>
      </c>
      <c r="B18" s="116" t="s">
        <v>51</v>
      </c>
      <c r="C18" s="117"/>
      <c r="D18" s="118">
        <v>100</v>
      </c>
      <c r="E18" s="117"/>
      <c r="F18" s="118">
        <v>96400</v>
      </c>
      <c r="G18" s="117"/>
      <c r="H18" s="118"/>
      <c r="I18" s="117"/>
      <c r="J18" s="118">
        <v>96500</v>
      </c>
    </row>
    <row r="19" spans="1:12" x14ac:dyDescent="0.25">
      <c r="A19" s="115">
        <v>2600</v>
      </c>
      <c r="B19" s="116" t="s">
        <v>52</v>
      </c>
      <c r="C19" s="117"/>
      <c r="D19" s="118">
        <v>80400</v>
      </c>
      <c r="E19" s="117"/>
      <c r="F19" s="118"/>
      <c r="G19" s="117"/>
      <c r="H19" s="118"/>
      <c r="I19" s="117"/>
      <c r="J19" s="118">
        <v>80400</v>
      </c>
    </row>
    <row r="20" spans="1:12" x14ac:dyDescent="0.25">
      <c r="A20" s="115">
        <v>2740</v>
      </c>
      <c r="B20" s="116" t="s">
        <v>109</v>
      </c>
      <c r="C20" s="117"/>
      <c r="D20" s="118">
        <v>128400</v>
      </c>
      <c r="E20" s="117">
        <v>600</v>
      </c>
      <c r="F20" s="118"/>
      <c r="G20" s="117"/>
      <c r="H20" s="118"/>
      <c r="I20" s="117"/>
      <c r="J20" s="118">
        <v>127800</v>
      </c>
    </row>
    <row r="21" spans="1:12" x14ac:dyDescent="0.25">
      <c r="A21" s="115">
        <v>2770</v>
      </c>
      <c r="B21" s="116" t="s">
        <v>54</v>
      </c>
      <c r="C21" s="117"/>
      <c r="D21" s="118">
        <v>62900</v>
      </c>
      <c r="E21" s="117"/>
      <c r="F21" s="118"/>
      <c r="G21" s="117"/>
      <c r="H21" s="118"/>
      <c r="I21" s="117"/>
      <c r="J21" s="118">
        <v>62900</v>
      </c>
    </row>
    <row r="22" spans="1:12" x14ac:dyDescent="0.25">
      <c r="A22" s="115">
        <v>2780</v>
      </c>
      <c r="B22" s="116" t="s">
        <v>55</v>
      </c>
      <c r="C22" s="117"/>
      <c r="D22" s="118">
        <v>43000</v>
      </c>
      <c r="E22" s="117"/>
      <c r="F22" s="118"/>
      <c r="G22" s="117"/>
      <c r="H22" s="118"/>
      <c r="I22" s="117"/>
      <c r="J22" s="118">
        <v>43000</v>
      </c>
    </row>
    <row r="23" spans="1:12" x14ac:dyDescent="0.25">
      <c r="A23" s="115">
        <v>2800</v>
      </c>
      <c r="B23" s="116" t="s">
        <v>38</v>
      </c>
      <c r="C23" s="117"/>
      <c r="D23" s="118"/>
      <c r="E23" s="117"/>
      <c r="F23" s="118">
        <v>120000</v>
      </c>
      <c r="G23" s="117"/>
      <c r="H23" s="118"/>
      <c r="I23" s="117"/>
      <c r="J23" s="118">
        <v>120000</v>
      </c>
    </row>
    <row r="24" spans="1:12" x14ac:dyDescent="0.25">
      <c r="A24" s="115">
        <v>2940</v>
      </c>
      <c r="B24" s="116" t="s">
        <v>110</v>
      </c>
      <c r="C24" s="117"/>
      <c r="D24" s="118">
        <v>305000</v>
      </c>
      <c r="E24" s="117"/>
      <c r="F24" s="118"/>
      <c r="G24" s="117"/>
      <c r="H24" s="118"/>
      <c r="I24" s="117"/>
      <c r="J24" s="118">
        <v>305000</v>
      </c>
    </row>
    <row r="25" spans="1:12" x14ac:dyDescent="0.25">
      <c r="A25" s="115">
        <v>2960</v>
      </c>
      <c r="B25" s="116" t="s">
        <v>111</v>
      </c>
      <c r="C25" s="117"/>
      <c r="D25" s="118"/>
      <c r="E25" s="117"/>
      <c r="F25" s="118">
        <v>15000</v>
      </c>
      <c r="G25" s="117"/>
      <c r="H25" s="118"/>
      <c r="I25" s="117"/>
      <c r="J25" s="118">
        <v>15000</v>
      </c>
    </row>
    <row r="26" spans="1:12" x14ac:dyDescent="0.25">
      <c r="A26" s="115">
        <v>3000</v>
      </c>
      <c r="B26" s="116" t="s">
        <v>112</v>
      </c>
      <c r="C26" s="117"/>
      <c r="D26" s="118">
        <v>9777555</v>
      </c>
      <c r="E26" s="117"/>
      <c r="F26" s="118"/>
      <c r="G26" s="117"/>
      <c r="H26" s="118">
        <f>D26</f>
        <v>9777555</v>
      </c>
      <c r="I26" s="117"/>
      <c r="J26" s="118"/>
    </row>
    <row r="27" spans="1:12" x14ac:dyDescent="0.25">
      <c r="A27" s="115">
        <v>3800</v>
      </c>
      <c r="B27" s="116" t="s">
        <v>57</v>
      </c>
      <c r="C27" s="117"/>
      <c r="D27" s="118"/>
      <c r="E27" s="117">
        <v>27000</v>
      </c>
      <c r="F27" s="118">
        <v>37500</v>
      </c>
      <c r="G27" s="117"/>
      <c r="H27" s="118">
        <v>10500</v>
      </c>
      <c r="I27" s="117"/>
      <c r="J27" s="118"/>
    </row>
    <row r="28" spans="1:12" x14ac:dyDescent="0.25">
      <c r="A28" s="115">
        <v>4300</v>
      </c>
      <c r="B28" s="116" t="s">
        <v>18</v>
      </c>
      <c r="C28" s="117">
        <v>5466000</v>
      </c>
      <c r="D28" s="118"/>
      <c r="E28" s="117">
        <v>2400</v>
      </c>
      <c r="F28" s="118">
        <v>9000</v>
      </c>
      <c r="G28" s="117">
        <f>C28+E28-F28</f>
        <v>5459400</v>
      </c>
      <c r="H28" s="118"/>
      <c r="I28" s="117"/>
      <c r="J28" s="118"/>
    </row>
    <row r="29" spans="1:12" x14ac:dyDescent="0.25">
      <c r="A29" s="115">
        <v>5000</v>
      </c>
      <c r="B29" s="116" t="s">
        <v>113</v>
      </c>
      <c r="C29" s="117">
        <v>2680000</v>
      </c>
      <c r="D29" s="118"/>
      <c r="E29" s="117"/>
      <c r="F29" s="118"/>
      <c r="G29" s="117">
        <f t="shared" ref="G29:G41" si="1">C29+E29-F29</f>
        <v>2680000</v>
      </c>
      <c r="H29" s="118"/>
      <c r="I29" s="117"/>
      <c r="J29" s="118"/>
    </row>
    <row r="30" spans="1:12" x14ac:dyDescent="0.25">
      <c r="A30" s="115">
        <v>5100</v>
      </c>
      <c r="B30" s="116" t="s">
        <v>117</v>
      </c>
      <c r="C30" s="117">
        <v>321600</v>
      </c>
      <c r="D30" s="118"/>
      <c r="E30" s="117"/>
      <c r="F30" s="118"/>
      <c r="G30" s="117">
        <f t="shared" si="1"/>
        <v>321600</v>
      </c>
      <c r="H30" s="118"/>
      <c r="I30" s="117"/>
      <c r="J30" s="118"/>
    </row>
    <row r="31" spans="1:12" x14ac:dyDescent="0.25">
      <c r="A31" s="115">
        <v>5400</v>
      </c>
      <c r="B31" s="116" t="s">
        <v>58</v>
      </c>
      <c r="C31" s="117">
        <v>430780</v>
      </c>
      <c r="D31" s="118"/>
      <c r="E31" s="117"/>
      <c r="F31" s="118"/>
      <c r="G31" s="117">
        <f t="shared" si="1"/>
        <v>430780</v>
      </c>
      <c r="H31" s="118"/>
      <c r="I31" s="117"/>
      <c r="J31" s="118"/>
      <c r="L31" s="70"/>
    </row>
    <row r="32" spans="1:12" x14ac:dyDescent="0.25">
      <c r="A32" s="115">
        <v>5450</v>
      </c>
      <c r="B32" s="116" t="s">
        <v>59</v>
      </c>
      <c r="C32" s="117">
        <v>53600</v>
      </c>
      <c r="D32" s="118"/>
      <c r="E32" s="117"/>
      <c r="F32" s="118"/>
      <c r="G32" s="117">
        <f t="shared" si="1"/>
        <v>53600</v>
      </c>
      <c r="H32" s="118"/>
      <c r="I32" s="117"/>
      <c r="J32" s="118"/>
    </row>
    <row r="33" spans="1:13" x14ac:dyDescent="0.25">
      <c r="A33" s="115">
        <v>6000</v>
      </c>
      <c r="B33" s="116" t="s">
        <v>11</v>
      </c>
      <c r="C33" s="117"/>
      <c r="D33" s="118"/>
      <c r="E33" s="117">
        <v>100000</v>
      </c>
      <c r="F33" s="118"/>
      <c r="G33" s="117">
        <f t="shared" si="1"/>
        <v>100000</v>
      </c>
      <c r="H33" s="118"/>
      <c r="I33" s="117"/>
      <c r="J33" s="118"/>
    </row>
    <row r="34" spans="1:13" x14ac:dyDescent="0.25">
      <c r="A34" s="115">
        <v>6300</v>
      </c>
      <c r="B34" s="116" t="s">
        <v>114</v>
      </c>
      <c r="C34" s="117">
        <v>165000</v>
      </c>
      <c r="D34" s="118"/>
      <c r="E34" s="117">
        <v>15000</v>
      </c>
      <c r="F34" s="118"/>
      <c r="G34" s="117">
        <f t="shared" si="1"/>
        <v>180000</v>
      </c>
      <c r="H34" s="118"/>
      <c r="I34" s="117"/>
      <c r="J34" s="118"/>
    </row>
    <row r="35" spans="1:13" x14ac:dyDescent="0.25">
      <c r="A35" s="115">
        <v>6800</v>
      </c>
      <c r="B35" s="116" t="s">
        <v>115</v>
      </c>
      <c r="C35" s="117">
        <v>52600</v>
      </c>
      <c r="D35" s="118"/>
      <c r="E35" s="117"/>
      <c r="F35" s="118"/>
      <c r="G35" s="117">
        <f t="shared" si="1"/>
        <v>52600</v>
      </c>
      <c r="H35" s="118"/>
      <c r="I35" s="117"/>
      <c r="J35" s="118"/>
      <c r="M35" s="70"/>
    </row>
    <row r="36" spans="1:13" x14ac:dyDescent="0.25">
      <c r="A36" s="115">
        <v>7000</v>
      </c>
      <c r="B36" s="116" t="s">
        <v>74</v>
      </c>
      <c r="C36" s="117">
        <v>34525</v>
      </c>
      <c r="D36" s="118"/>
      <c r="E36" s="117"/>
      <c r="F36" s="118"/>
      <c r="G36" s="117">
        <f>C36+E36-F36</f>
        <v>34525</v>
      </c>
      <c r="H36" s="118"/>
      <c r="I36" s="117"/>
      <c r="J36" s="118"/>
    </row>
    <row r="37" spans="1:13" x14ac:dyDescent="0.25">
      <c r="A37" s="115">
        <v>7790</v>
      </c>
      <c r="B37" s="116" t="s">
        <v>61</v>
      </c>
      <c r="C37" s="117">
        <v>64350</v>
      </c>
      <c r="D37" s="118"/>
      <c r="E37" s="117"/>
      <c r="F37" s="118"/>
      <c r="G37" s="117">
        <f t="shared" si="1"/>
        <v>64350</v>
      </c>
      <c r="H37" s="118"/>
      <c r="I37" s="117"/>
      <c r="J37" s="118"/>
    </row>
    <row r="38" spans="1:13" x14ac:dyDescent="0.25">
      <c r="A38" s="115">
        <v>7830</v>
      </c>
      <c r="B38" s="116" t="s">
        <v>21</v>
      </c>
      <c r="C38" s="117">
        <v>21800</v>
      </c>
      <c r="D38" s="118"/>
      <c r="E38" s="117"/>
      <c r="F38" s="118">
        <v>6000</v>
      </c>
      <c r="G38" s="117">
        <f t="shared" si="1"/>
        <v>15800</v>
      </c>
      <c r="H38" s="118"/>
      <c r="I38" s="117"/>
      <c r="J38" s="118"/>
    </row>
    <row r="39" spans="1:13" x14ac:dyDescent="0.25">
      <c r="A39" s="115">
        <v>8050</v>
      </c>
      <c r="B39" s="116" t="s">
        <v>62</v>
      </c>
      <c r="C39" s="117"/>
      <c r="D39" s="118">
        <v>7000</v>
      </c>
      <c r="E39" s="117"/>
      <c r="F39" s="118"/>
      <c r="G39" s="117">
        <f>C39+E39-F39</f>
        <v>0</v>
      </c>
      <c r="H39" s="118">
        <v>7000</v>
      </c>
      <c r="I39" s="117"/>
      <c r="J39" s="118"/>
    </row>
    <row r="40" spans="1:13" x14ac:dyDescent="0.25">
      <c r="A40" s="115">
        <v>8150</v>
      </c>
      <c r="B40" s="116" t="s">
        <v>31</v>
      </c>
      <c r="C40" s="117">
        <v>16000</v>
      </c>
      <c r="D40" s="118"/>
      <c r="E40" s="117"/>
      <c r="F40" s="118"/>
      <c r="G40" s="117">
        <f t="shared" si="1"/>
        <v>16000</v>
      </c>
      <c r="H40" s="118"/>
      <c r="I40" s="117"/>
      <c r="J40" s="118"/>
    </row>
    <row r="41" spans="1:13" x14ac:dyDescent="0.25">
      <c r="A41" s="115">
        <v>8300</v>
      </c>
      <c r="B41" s="116" t="s">
        <v>51</v>
      </c>
      <c r="C41" s="117"/>
      <c r="D41" s="118"/>
      <c r="E41" s="117">
        <v>96400</v>
      </c>
      <c r="F41" s="118"/>
      <c r="G41" s="117">
        <f t="shared" si="1"/>
        <v>96400</v>
      </c>
      <c r="H41" s="118"/>
      <c r="I41" s="117"/>
      <c r="J41" s="118"/>
    </row>
    <row r="42" spans="1:13" x14ac:dyDescent="0.25">
      <c r="A42" s="115">
        <v>8320</v>
      </c>
      <c r="B42" s="116" t="s">
        <v>116</v>
      </c>
      <c r="C42" s="117"/>
      <c r="D42" s="118"/>
      <c r="E42" s="117"/>
      <c r="F42" s="118">
        <v>9000</v>
      </c>
      <c r="G42" s="117"/>
      <c r="H42" s="118">
        <v>9000</v>
      </c>
      <c r="I42" s="117"/>
      <c r="J42" s="118"/>
    </row>
    <row r="43" spans="1:13" x14ac:dyDescent="0.25">
      <c r="A43" s="119">
        <v>8920</v>
      </c>
      <c r="B43" s="120" t="s">
        <v>35</v>
      </c>
      <c r="C43" s="121"/>
      <c r="D43" s="122"/>
      <c r="E43" s="121">
        <f>-SUM(G28:G41)+H26+H27+H39+H42</f>
        <v>299000</v>
      </c>
      <c r="F43" s="122"/>
      <c r="G43" s="121">
        <f>E43</f>
        <v>299000</v>
      </c>
      <c r="H43" s="122"/>
      <c r="I43" s="121"/>
      <c r="J43" s="122"/>
    </row>
    <row r="44" spans="1:13" s="50" customFormat="1" ht="20.25" x14ac:dyDescent="0.3">
      <c r="A44" s="123"/>
      <c r="B44" s="110"/>
      <c r="C44" s="124">
        <f>SUM(C4:C43)</f>
        <v>12033655</v>
      </c>
      <c r="D44" s="125">
        <f>SUM(D4:D43)</f>
        <v>12033655</v>
      </c>
      <c r="E44" s="124">
        <f>SUM(E4:E43)</f>
        <v>601900</v>
      </c>
      <c r="F44" s="125">
        <f>SUM(F4:F43)</f>
        <v>601900</v>
      </c>
      <c r="G44" s="124">
        <f>SUM(G27:G43)</f>
        <v>9804055</v>
      </c>
      <c r="H44" s="125">
        <f>SUM(H18:H43)</f>
        <v>9804055</v>
      </c>
      <c r="I44" s="124">
        <f>SUM(I4:I43)</f>
        <v>2609400</v>
      </c>
      <c r="J44" s="125">
        <f>SUM(J4:J43)</f>
        <v>2609400</v>
      </c>
    </row>
    <row r="46" spans="1:13" x14ac:dyDescent="0.25">
      <c r="A46" s="127" t="s">
        <v>16</v>
      </c>
      <c r="B46" s="53" t="s">
        <v>22</v>
      </c>
      <c r="C46" s="54">
        <f>H26</f>
        <v>9777555</v>
      </c>
      <c r="D46" s="52"/>
      <c r="E46" s="53"/>
      <c r="F46" s="52"/>
    </row>
    <row r="47" spans="1:13" x14ac:dyDescent="0.25">
      <c r="A47" s="127"/>
      <c r="B47" s="53" t="s">
        <v>23</v>
      </c>
      <c r="C47" s="56">
        <f>H27</f>
        <v>10500</v>
      </c>
      <c r="D47" s="52"/>
      <c r="E47" s="53"/>
      <c r="F47" s="52"/>
    </row>
    <row r="48" spans="1:13" s="51" customFormat="1" ht="18.75" x14ac:dyDescent="0.3">
      <c r="A48" s="127"/>
      <c r="B48" s="53" t="s">
        <v>24</v>
      </c>
      <c r="C48" s="57">
        <f>SUM(C46:C47)</f>
        <v>9788055</v>
      </c>
      <c r="E48" s="53"/>
      <c r="F48" s="52"/>
      <c r="G48" s="70"/>
      <c r="H48" s="70"/>
      <c r="I48" s="70"/>
      <c r="J48" s="70"/>
      <c r="K48" s="52"/>
      <c r="L48" s="52"/>
    </row>
    <row r="49" spans="1:12" x14ac:dyDescent="0.25">
      <c r="A49" s="127"/>
      <c r="B49" s="53"/>
      <c r="C49" s="55"/>
      <c r="D49" s="52"/>
      <c r="E49" s="53"/>
      <c r="F49" s="52"/>
    </row>
    <row r="50" spans="1:12" x14ac:dyDescent="0.25">
      <c r="A50" s="127"/>
      <c r="B50" s="53" t="s">
        <v>75</v>
      </c>
      <c r="C50" s="54">
        <f>G28</f>
        <v>5459400</v>
      </c>
      <c r="D50" s="52"/>
      <c r="E50" s="53"/>
      <c r="F50" s="52"/>
    </row>
    <row r="51" spans="1:12" x14ac:dyDescent="0.25">
      <c r="A51" s="127"/>
      <c r="B51" s="53" t="s">
        <v>92</v>
      </c>
      <c r="C51" s="58">
        <f>G29+G30+G31+G32</f>
        <v>3485980</v>
      </c>
      <c r="D51" s="52"/>
      <c r="E51" s="53"/>
      <c r="F51" s="52"/>
    </row>
    <row r="52" spans="1:12" x14ac:dyDescent="0.25">
      <c r="A52" s="127"/>
      <c r="B52" s="53" t="s">
        <v>25</v>
      </c>
      <c r="C52" s="58">
        <f>G33</f>
        <v>100000</v>
      </c>
      <c r="D52" s="52"/>
      <c r="E52" s="53"/>
      <c r="F52" s="52"/>
    </row>
    <row r="53" spans="1:12" x14ac:dyDescent="0.25">
      <c r="A53" s="127"/>
      <c r="B53" s="53" t="s">
        <v>26</v>
      </c>
      <c r="C53" s="59">
        <f>G34+G35+G36+G37+G38</f>
        <v>347275</v>
      </c>
      <c r="D53" s="52"/>
      <c r="E53" s="53"/>
      <c r="F53" s="52"/>
    </row>
    <row r="54" spans="1:12" s="51" customFormat="1" ht="18.75" x14ac:dyDescent="0.3">
      <c r="A54" s="127"/>
      <c r="B54" s="53" t="s">
        <v>27</v>
      </c>
      <c r="C54" s="60">
        <f>SUM(C50:C53)</f>
        <v>9392655</v>
      </c>
      <c r="E54" s="53"/>
      <c r="F54" s="52"/>
      <c r="G54" s="70"/>
      <c r="H54" s="70"/>
      <c r="I54" s="70"/>
      <c r="J54" s="70"/>
      <c r="K54" s="52"/>
      <c r="L54" s="52"/>
    </row>
    <row r="55" spans="1:12" s="51" customFormat="1" ht="18.75" x14ac:dyDescent="0.3">
      <c r="A55" s="127"/>
      <c r="B55" s="61" t="s">
        <v>28</v>
      </c>
      <c r="C55" s="57">
        <f>C48-C54</f>
        <v>395400</v>
      </c>
      <c r="E55" s="53"/>
      <c r="F55" s="52"/>
      <c r="G55" s="70"/>
      <c r="H55" s="70"/>
      <c r="I55" s="70"/>
      <c r="J55" s="70"/>
      <c r="K55" s="52"/>
      <c r="L55" s="52"/>
    </row>
    <row r="56" spans="1:12" x14ac:dyDescent="0.25">
      <c r="A56" s="127"/>
      <c r="D56" s="52"/>
    </row>
    <row r="57" spans="1:12" x14ac:dyDescent="0.25">
      <c r="A57" s="127" t="s">
        <v>9</v>
      </c>
      <c r="B57" s="52" t="s">
        <v>148</v>
      </c>
      <c r="D57" s="52"/>
      <c r="E57" s="60">
        <f>J21</f>
        <v>62900</v>
      </c>
    </row>
    <row r="58" spans="1:12" x14ac:dyDescent="0.25">
      <c r="A58" s="127"/>
      <c r="D58" s="52"/>
    </row>
    <row r="59" spans="1:12" x14ac:dyDescent="0.25">
      <c r="A59" s="127"/>
      <c r="D59" s="52"/>
    </row>
    <row r="60" spans="1:12" x14ac:dyDescent="0.25">
      <c r="A60" s="127" t="s">
        <v>66</v>
      </c>
      <c r="B60" s="52" t="s">
        <v>51</v>
      </c>
      <c r="C60" s="70">
        <f>G41</f>
        <v>96400</v>
      </c>
      <c r="D60" s="52"/>
    </row>
    <row r="61" spans="1:12" x14ac:dyDescent="0.25">
      <c r="A61" s="128" t="s">
        <v>67</v>
      </c>
      <c r="B61" s="52" t="s">
        <v>118</v>
      </c>
      <c r="C61" s="70">
        <f>H42</f>
        <v>9000</v>
      </c>
      <c r="D61" s="52"/>
    </row>
    <row r="62" spans="1:12" s="51" customFormat="1" ht="18.75" x14ac:dyDescent="0.3">
      <c r="A62" s="129" t="s">
        <v>68</v>
      </c>
      <c r="B62" s="52" t="s">
        <v>119</v>
      </c>
      <c r="C62" s="57">
        <f>C60-C61</f>
        <v>87400</v>
      </c>
      <c r="E62" s="70"/>
      <c r="F62" s="70"/>
      <c r="G62" s="70"/>
      <c r="H62" s="70"/>
      <c r="I62" s="70"/>
      <c r="J62" s="70"/>
      <c r="K62" s="52"/>
      <c r="L62" s="52"/>
    </row>
    <row r="63" spans="1:12" x14ac:dyDescent="0.25">
      <c r="A63" s="127"/>
    </row>
    <row r="64" spans="1:12" x14ac:dyDescent="0.25">
      <c r="A64" s="127" t="s">
        <v>123</v>
      </c>
      <c r="B64" s="130" t="s">
        <v>72</v>
      </c>
    </row>
    <row r="65" spans="1:13" x14ac:dyDescent="0.25">
      <c r="A65" s="127"/>
      <c r="B65" s="52" t="s">
        <v>120</v>
      </c>
      <c r="C65" s="70">
        <f>240000*0.15*1/12</f>
        <v>3000</v>
      </c>
    </row>
    <row r="66" spans="1:13" x14ac:dyDescent="0.25">
      <c r="A66" s="127"/>
      <c r="B66" s="52" t="s">
        <v>121</v>
      </c>
      <c r="C66" s="70">
        <f>300000*0.15</f>
        <v>45000</v>
      </c>
    </row>
    <row r="67" spans="1:13" x14ac:dyDescent="0.25">
      <c r="A67" s="127"/>
      <c r="B67" s="52" t="s">
        <v>122</v>
      </c>
      <c r="C67" s="70">
        <f>280000*0.15</f>
        <v>42000</v>
      </c>
    </row>
    <row r="68" spans="1:13" s="51" customFormat="1" ht="18.75" x14ac:dyDescent="0.3">
      <c r="A68" s="127"/>
      <c r="B68" s="52" t="s">
        <v>128</v>
      </c>
      <c r="C68" s="57">
        <f>SUM(C65:C67)</f>
        <v>90000</v>
      </c>
      <c r="D68" s="70"/>
      <c r="E68" s="70"/>
      <c r="F68" s="70"/>
      <c r="G68" s="70"/>
      <c r="H68" s="70"/>
      <c r="I68" s="70"/>
      <c r="J68" s="70"/>
      <c r="K68" s="52"/>
      <c r="L68" s="52"/>
    </row>
    <row r="69" spans="1:13" x14ac:dyDescent="0.25">
      <c r="A69" s="127"/>
    </row>
    <row r="70" spans="1:13" x14ac:dyDescent="0.25">
      <c r="A70" s="127" t="s">
        <v>130</v>
      </c>
      <c r="B70" s="130" t="s">
        <v>124</v>
      </c>
    </row>
    <row r="71" spans="1:13" x14ac:dyDescent="0.25">
      <c r="A71" s="127"/>
      <c r="B71" s="52" t="s">
        <v>125</v>
      </c>
      <c r="C71" s="70">
        <f>240000*0.125*1/12</f>
        <v>2500</v>
      </c>
    </row>
    <row r="72" spans="1:13" x14ac:dyDescent="0.25">
      <c r="A72" s="127"/>
      <c r="B72" s="52" t="s">
        <v>126</v>
      </c>
      <c r="C72" s="70">
        <f>300000*0.125</f>
        <v>37500</v>
      </c>
    </row>
    <row r="73" spans="1:13" x14ac:dyDescent="0.25">
      <c r="A73" s="127"/>
      <c r="B73" s="52" t="s">
        <v>127</v>
      </c>
      <c r="C73" s="70">
        <f>280000*0.125</f>
        <v>35000</v>
      </c>
    </row>
    <row r="74" spans="1:13" s="51" customFormat="1" ht="18.75" x14ac:dyDescent="0.3">
      <c r="A74" s="127"/>
      <c r="B74" s="52" t="s">
        <v>128</v>
      </c>
      <c r="C74" s="57">
        <f>SUM(C71:C73)</f>
        <v>75000</v>
      </c>
      <c r="D74" s="70"/>
      <c r="E74" s="70"/>
      <c r="F74" s="70"/>
      <c r="G74" s="70"/>
      <c r="H74" s="70"/>
      <c r="I74" s="70"/>
      <c r="J74" s="70"/>
      <c r="K74" s="52"/>
      <c r="L74" s="52"/>
    </row>
    <row r="75" spans="1:13" x14ac:dyDescent="0.25">
      <c r="A75" s="127"/>
    </row>
    <row r="76" spans="1:13" x14ac:dyDescent="0.25">
      <c r="A76" s="127"/>
      <c r="B76" s="52" t="s">
        <v>129</v>
      </c>
    </row>
    <row r="77" spans="1:13" x14ac:dyDescent="0.25">
      <c r="A77" s="127"/>
    </row>
    <row r="78" spans="1:13" x14ac:dyDescent="0.25">
      <c r="A78" s="127" t="s">
        <v>134</v>
      </c>
      <c r="B78" s="52" t="s">
        <v>131</v>
      </c>
      <c r="C78" s="52"/>
      <c r="D78" s="70">
        <v>37500</v>
      </c>
    </row>
    <row r="79" spans="1:13" x14ac:dyDescent="0.25">
      <c r="A79" s="127"/>
      <c r="B79" s="52" t="s">
        <v>132</v>
      </c>
      <c r="D79" s="70">
        <v>27500</v>
      </c>
    </row>
    <row r="80" spans="1:13" s="51" customFormat="1" ht="18.75" x14ac:dyDescent="0.3">
      <c r="A80" s="127"/>
      <c r="B80" s="52" t="s">
        <v>57</v>
      </c>
      <c r="C80" s="70"/>
      <c r="D80" s="57">
        <f>D78-D79</f>
        <v>10000</v>
      </c>
      <c r="E80" s="70"/>
      <c r="F80" s="70"/>
      <c r="G80" s="70"/>
      <c r="H80" s="70"/>
      <c r="I80" s="70"/>
      <c r="J80" s="70"/>
      <c r="K80" s="52"/>
      <c r="L80" s="52"/>
      <c r="M80" s="52"/>
    </row>
    <row r="81" spans="1:12" x14ac:dyDescent="0.25">
      <c r="A81" s="127"/>
    </row>
    <row r="82" spans="1:12" x14ac:dyDescent="0.25">
      <c r="A82" s="127"/>
      <c r="B82" s="52" t="s">
        <v>133</v>
      </c>
    </row>
    <row r="83" spans="1:12" x14ac:dyDescent="0.25">
      <c r="A83" s="127"/>
    </row>
    <row r="84" spans="1:12" x14ac:dyDescent="0.25">
      <c r="A84" s="127" t="s">
        <v>137</v>
      </c>
      <c r="B84" s="52" t="s">
        <v>135</v>
      </c>
      <c r="C84" s="70">
        <f>I8</f>
        <v>514500</v>
      </c>
    </row>
    <row r="85" spans="1:12" x14ac:dyDescent="0.25">
      <c r="A85" s="128" t="s">
        <v>67</v>
      </c>
      <c r="B85" s="52" t="s">
        <v>81</v>
      </c>
      <c r="C85" s="70">
        <f>J9</f>
        <v>4000</v>
      </c>
    </row>
    <row r="86" spans="1:12" s="51" customFormat="1" ht="18.75" x14ac:dyDescent="0.3">
      <c r="A86" s="129" t="s">
        <v>68</v>
      </c>
      <c r="B86" s="52" t="s">
        <v>136</v>
      </c>
      <c r="C86" s="57">
        <f>C84-C85</f>
        <v>510500</v>
      </c>
      <c r="D86" s="70"/>
      <c r="E86" s="70"/>
      <c r="F86" s="70"/>
      <c r="G86" s="70"/>
      <c r="H86" s="70"/>
      <c r="I86" s="70"/>
      <c r="J86" s="70"/>
      <c r="K86" s="52"/>
      <c r="L86" s="52"/>
    </row>
    <row r="87" spans="1:12" x14ac:dyDescent="0.25">
      <c r="A87" s="127"/>
    </row>
    <row r="88" spans="1:12" x14ac:dyDescent="0.25">
      <c r="A88" s="127" t="s">
        <v>139</v>
      </c>
      <c r="B88" s="52" t="s">
        <v>138</v>
      </c>
    </row>
    <row r="89" spans="1:12" x14ac:dyDescent="0.25">
      <c r="A89" s="127"/>
    </row>
    <row r="90" spans="1:12" x14ac:dyDescent="0.25">
      <c r="A90" s="127"/>
      <c r="B90" s="52" t="s">
        <v>65</v>
      </c>
      <c r="C90" s="60">
        <f>SUM(J17:J25)</f>
        <v>1343100</v>
      </c>
    </row>
    <row r="91" spans="1:12" x14ac:dyDescent="0.25">
      <c r="A91" s="127"/>
    </row>
    <row r="92" spans="1:12" x14ac:dyDescent="0.25">
      <c r="A92" s="127" t="s">
        <v>143</v>
      </c>
      <c r="B92" s="52" t="s">
        <v>140</v>
      </c>
    </row>
    <row r="93" spans="1:12" x14ac:dyDescent="0.25">
      <c r="A93" s="127"/>
      <c r="B93" s="52" t="s">
        <v>141</v>
      </c>
    </row>
    <row r="94" spans="1:12" x14ac:dyDescent="0.25">
      <c r="A94" s="127"/>
      <c r="B94" s="52" t="s">
        <v>142</v>
      </c>
    </row>
    <row r="95" spans="1:12" x14ac:dyDescent="0.25">
      <c r="A95" s="127"/>
    </row>
    <row r="96" spans="1:12" x14ac:dyDescent="0.25">
      <c r="A96" s="127" t="s">
        <v>147</v>
      </c>
      <c r="B96" s="52" t="s">
        <v>144</v>
      </c>
    </row>
    <row r="97" spans="1:2" x14ac:dyDescent="0.25">
      <c r="A97" s="127"/>
      <c r="B97" s="52" t="s">
        <v>145</v>
      </c>
    </row>
    <row r="98" spans="1:2" x14ac:dyDescent="0.25">
      <c r="A98" s="127"/>
      <c r="B98" s="52" t="s">
        <v>146</v>
      </c>
    </row>
    <row r="99" spans="1:2" x14ac:dyDescent="0.25">
      <c r="A99" s="127"/>
    </row>
    <row r="100" spans="1:2" x14ac:dyDescent="0.25">
      <c r="A100" s="127" t="s">
        <v>149</v>
      </c>
      <c r="B100" s="52" t="s">
        <v>193</v>
      </c>
    </row>
    <row r="101" spans="1:2" x14ac:dyDescent="0.25">
      <c r="A101" s="127"/>
      <c r="B101" s="52" t="s">
        <v>194</v>
      </c>
    </row>
    <row r="102" spans="1:2" x14ac:dyDescent="0.25">
      <c r="A102" s="127"/>
    </row>
  </sheetData>
  <mergeCells count="4">
    <mergeCell ref="C3:D3"/>
    <mergeCell ref="E3:F3"/>
    <mergeCell ref="G3:H3"/>
    <mergeCell ref="I3:J3"/>
  </mergeCells>
  <pageMargins left="0.39370078740157483" right="0.39370078740157483" top="0" bottom="0" header="0.51181102362204722" footer="0.51181102362204722"/>
  <pageSetup paperSize="9" orientation="landscape" horizontalDpi="4294967292" r:id="rId1"/>
  <headerFooter alignWithMargins="0">
    <oddHeader>&amp;COppgave 13.24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showGridLines="0" showZeros="0" tabSelected="1" workbookViewId="0">
      <selection activeCell="H57" sqref="H57"/>
    </sheetView>
  </sheetViews>
  <sheetFormatPr baseColWidth="10" defaultRowHeight="15" x14ac:dyDescent="0.25"/>
  <cols>
    <col min="1" max="1" width="6.5703125" style="52" customWidth="1"/>
    <col min="2" max="2" width="28.7109375" style="52" bestFit="1" customWidth="1"/>
    <col min="3" max="4" width="11.28515625" style="52" bestFit="1" customWidth="1"/>
    <col min="5" max="10" width="10.28515625" style="52" customWidth="1"/>
    <col min="11" max="11" width="11.42578125" style="52"/>
    <col min="12" max="12" width="7.5703125" style="52" customWidth="1"/>
    <col min="13" max="13" width="11.42578125" style="52"/>
    <col min="14" max="14" width="11.7109375" style="52" bestFit="1" customWidth="1"/>
    <col min="15" max="256" width="11.42578125" style="52"/>
    <col min="257" max="257" width="6.5703125" style="52" customWidth="1"/>
    <col min="258" max="258" width="28.7109375" style="52" bestFit="1" customWidth="1"/>
    <col min="259" max="260" width="11.28515625" style="52" bestFit="1" customWidth="1"/>
    <col min="261" max="266" width="10.28515625" style="52" customWidth="1"/>
    <col min="267" max="269" width="11.42578125" style="52"/>
    <col min="270" max="270" width="11.7109375" style="52" bestFit="1" customWidth="1"/>
    <col min="271" max="512" width="11.42578125" style="52"/>
    <col min="513" max="513" width="6.5703125" style="52" customWidth="1"/>
    <col min="514" max="514" width="28.7109375" style="52" bestFit="1" customWidth="1"/>
    <col min="515" max="516" width="11.28515625" style="52" bestFit="1" customWidth="1"/>
    <col min="517" max="522" width="10.28515625" style="52" customWidth="1"/>
    <col min="523" max="525" width="11.42578125" style="52"/>
    <col min="526" max="526" width="11.7109375" style="52" bestFit="1" customWidth="1"/>
    <col min="527" max="768" width="11.42578125" style="52"/>
    <col min="769" max="769" width="6.5703125" style="52" customWidth="1"/>
    <col min="770" max="770" width="28.7109375" style="52" bestFit="1" customWidth="1"/>
    <col min="771" max="772" width="11.28515625" style="52" bestFit="1" customWidth="1"/>
    <col min="773" max="778" width="10.28515625" style="52" customWidth="1"/>
    <col min="779" max="781" width="11.42578125" style="52"/>
    <col min="782" max="782" width="11.7109375" style="52" bestFit="1" customWidth="1"/>
    <col min="783" max="1024" width="11.42578125" style="52"/>
    <col min="1025" max="1025" width="6.5703125" style="52" customWidth="1"/>
    <col min="1026" max="1026" width="28.7109375" style="52" bestFit="1" customWidth="1"/>
    <col min="1027" max="1028" width="11.28515625" style="52" bestFit="1" customWidth="1"/>
    <col min="1029" max="1034" width="10.28515625" style="52" customWidth="1"/>
    <col min="1035" max="1037" width="11.42578125" style="52"/>
    <col min="1038" max="1038" width="11.7109375" style="52" bestFit="1" customWidth="1"/>
    <col min="1039" max="1280" width="11.42578125" style="52"/>
    <col min="1281" max="1281" width="6.5703125" style="52" customWidth="1"/>
    <col min="1282" max="1282" width="28.7109375" style="52" bestFit="1" customWidth="1"/>
    <col min="1283" max="1284" width="11.28515625" style="52" bestFit="1" customWidth="1"/>
    <col min="1285" max="1290" width="10.28515625" style="52" customWidth="1"/>
    <col min="1291" max="1293" width="11.42578125" style="52"/>
    <col min="1294" max="1294" width="11.7109375" style="52" bestFit="1" customWidth="1"/>
    <col min="1295" max="1536" width="11.42578125" style="52"/>
    <col min="1537" max="1537" width="6.5703125" style="52" customWidth="1"/>
    <col min="1538" max="1538" width="28.7109375" style="52" bestFit="1" customWidth="1"/>
    <col min="1539" max="1540" width="11.28515625" style="52" bestFit="1" customWidth="1"/>
    <col min="1541" max="1546" width="10.28515625" style="52" customWidth="1"/>
    <col min="1547" max="1549" width="11.42578125" style="52"/>
    <col min="1550" max="1550" width="11.7109375" style="52" bestFit="1" customWidth="1"/>
    <col min="1551" max="1792" width="11.42578125" style="52"/>
    <col min="1793" max="1793" width="6.5703125" style="52" customWidth="1"/>
    <col min="1794" max="1794" width="28.7109375" style="52" bestFit="1" customWidth="1"/>
    <col min="1795" max="1796" width="11.28515625" style="52" bestFit="1" customWidth="1"/>
    <col min="1797" max="1802" width="10.28515625" style="52" customWidth="1"/>
    <col min="1803" max="1805" width="11.42578125" style="52"/>
    <col min="1806" max="1806" width="11.7109375" style="52" bestFit="1" customWidth="1"/>
    <col min="1807" max="2048" width="11.42578125" style="52"/>
    <col min="2049" max="2049" width="6.5703125" style="52" customWidth="1"/>
    <col min="2050" max="2050" width="28.7109375" style="52" bestFit="1" customWidth="1"/>
    <col min="2051" max="2052" width="11.28515625" style="52" bestFit="1" customWidth="1"/>
    <col min="2053" max="2058" width="10.28515625" style="52" customWidth="1"/>
    <col min="2059" max="2061" width="11.42578125" style="52"/>
    <col min="2062" max="2062" width="11.7109375" style="52" bestFit="1" customWidth="1"/>
    <col min="2063" max="2304" width="11.42578125" style="52"/>
    <col min="2305" max="2305" width="6.5703125" style="52" customWidth="1"/>
    <col min="2306" max="2306" width="28.7109375" style="52" bestFit="1" customWidth="1"/>
    <col min="2307" max="2308" width="11.28515625" style="52" bestFit="1" customWidth="1"/>
    <col min="2309" max="2314" width="10.28515625" style="52" customWidth="1"/>
    <col min="2315" max="2317" width="11.42578125" style="52"/>
    <col min="2318" max="2318" width="11.7109375" style="52" bestFit="1" customWidth="1"/>
    <col min="2319" max="2560" width="11.42578125" style="52"/>
    <col min="2561" max="2561" width="6.5703125" style="52" customWidth="1"/>
    <col min="2562" max="2562" width="28.7109375" style="52" bestFit="1" customWidth="1"/>
    <col min="2563" max="2564" width="11.28515625" style="52" bestFit="1" customWidth="1"/>
    <col min="2565" max="2570" width="10.28515625" style="52" customWidth="1"/>
    <col min="2571" max="2573" width="11.42578125" style="52"/>
    <col min="2574" max="2574" width="11.7109375" style="52" bestFit="1" customWidth="1"/>
    <col min="2575" max="2816" width="11.42578125" style="52"/>
    <col min="2817" max="2817" width="6.5703125" style="52" customWidth="1"/>
    <col min="2818" max="2818" width="28.7109375" style="52" bestFit="1" customWidth="1"/>
    <col min="2819" max="2820" width="11.28515625" style="52" bestFit="1" customWidth="1"/>
    <col min="2821" max="2826" width="10.28515625" style="52" customWidth="1"/>
    <col min="2827" max="2829" width="11.42578125" style="52"/>
    <col min="2830" max="2830" width="11.7109375" style="52" bestFit="1" customWidth="1"/>
    <col min="2831" max="3072" width="11.42578125" style="52"/>
    <col min="3073" max="3073" width="6.5703125" style="52" customWidth="1"/>
    <col min="3074" max="3074" width="28.7109375" style="52" bestFit="1" customWidth="1"/>
    <col min="3075" max="3076" width="11.28515625" style="52" bestFit="1" customWidth="1"/>
    <col min="3077" max="3082" width="10.28515625" style="52" customWidth="1"/>
    <col min="3083" max="3085" width="11.42578125" style="52"/>
    <col min="3086" max="3086" width="11.7109375" style="52" bestFit="1" customWidth="1"/>
    <col min="3087" max="3328" width="11.42578125" style="52"/>
    <col min="3329" max="3329" width="6.5703125" style="52" customWidth="1"/>
    <col min="3330" max="3330" width="28.7109375" style="52" bestFit="1" customWidth="1"/>
    <col min="3331" max="3332" width="11.28515625" style="52" bestFit="1" customWidth="1"/>
    <col min="3333" max="3338" width="10.28515625" style="52" customWidth="1"/>
    <col min="3339" max="3341" width="11.42578125" style="52"/>
    <col min="3342" max="3342" width="11.7109375" style="52" bestFit="1" customWidth="1"/>
    <col min="3343" max="3584" width="11.42578125" style="52"/>
    <col min="3585" max="3585" width="6.5703125" style="52" customWidth="1"/>
    <col min="3586" max="3586" width="28.7109375" style="52" bestFit="1" customWidth="1"/>
    <col min="3587" max="3588" width="11.28515625" style="52" bestFit="1" customWidth="1"/>
    <col min="3589" max="3594" width="10.28515625" style="52" customWidth="1"/>
    <col min="3595" max="3597" width="11.42578125" style="52"/>
    <col min="3598" max="3598" width="11.7109375" style="52" bestFit="1" customWidth="1"/>
    <col min="3599" max="3840" width="11.42578125" style="52"/>
    <col min="3841" max="3841" width="6.5703125" style="52" customWidth="1"/>
    <col min="3842" max="3842" width="28.7109375" style="52" bestFit="1" customWidth="1"/>
    <col min="3843" max="3844" width="11.28515625" style="52" bestFit="1" customWidth="1"/>
    <col min="3845" max="3850" width="10.28515625" style="52" customWidth="1"/>
    <col min="3851" max="3853" width="11.42578125" style="52"/>
    <col min="3854" max="3854" width="11.7109375" style="52" bestFit="1" customWidth="1"/>
    <col min="3855" max="4096" width="11.42578125" style="52"/>
    <col min="4097" max="4097" width="6.5703125" style="52" customWidth="1"/>
    <col min="4098" max="4098" width="28.7109375" style="52" bestFit="1" customWidth="1"/>
    <col min="4099" max="4100" width="11.28515625" style="52" bestFit="1" customWidth="1"/>
    <col min="4101" max="4106" width="10.28515625" style="52" customWidth="1"/>
    <col min="4107" max="4109" width="11.42578125" style="52"/>
    <col min="4110" max="4110" width="11.7109375" style="52" bestFit="1" customWidth="1"/>
    <col min="4111" max="4352" width="11.42578125" style="52"/>
    <col min="4353" max="4353" width="6.5703125" style="52" customWidth="1"/>
    <col min="4354" max="4354" width="28.7109375" style="52" bestFit="1" customWidth="1"/>
    <col min="4355" max="4356" width="11.28515625" style="52" bestFit="1" customWidth="1"/>
    <col min="4357" max="4362" width="10.28515625" style="52" customWidth="1"/>
    <col min="4363" max="4365" width="11.42578125" style="52"/>
    <col min="4366" max="4366" width="11.7109375" style="52" bestFit="1" customWidth="1"/>
    <col min="4367" max="4608" width="11.42578125" style="52"/>
    <col min="4609" max="4609" width="6.5703125" style="52" customWidth="1"/>
    <col min="4610" max="4610" width="28.7109375" style="52" bestFit="1" customWidth="1"/>
    <col min="4611" max="4612" width="11.28515625" style="52" bestFit="1" customWidth="1"/>
    <col min="4613" max="4618" width="10.28515625" style="52" customWidth="1"/>
    <col min="4619" max="4621" width="11.42578125" style="52"/>
    <col min="4622" max="4622" width="11.7109375" style="52" bestFit="1" customWidth="1"/>
    <col min="4623" max="4864" width="11.42578125" style="52"/>
    <col min="4865" max="4865" width="6.5703125" style="52" customWidth="1"/>
    <col min="4866" max="4866" width="28.7109375" style="52" bestFit="1" customWidth="1"/>
    <col min="4867" max="4868" width="11.28515625" style="52" bestFit="1" customWidth="1"/>
    <col min="4869" max="4874" width="10.28515625" style="52" customWidth="1"/>
    <col min="4875" max="4877" width="11.42578125" style="52"/>
    <col min="4878" max="4878" width="11.7109375" style="52" bestFit="1" customWidth="1"/>
    <col min="4879" max="5120" width="11.42578125" style="52"/>
    <col min="5121" max="5121" width="6.5703125" style="52" customWidth="1"/>
    <col min="5122" max="5122" width="28.7109375" style="52" bestFit="1" customWidth="1"/>
    <col min="5123" max="5124" width="11.28515625" style="52" bestFit="1" customWidth="1"/>
    <col min="5125" max="5130" width="10.28515625" style="52" customWidth="1"/>
    <col min="5131" max="5133" width="11.42578125" style="52"/>
    <col min="5134" max="5134" width="11.7109375" style="52" bestFit="1" customWidth="1"/>
    <col min="5135" max="5376" width="11.42578125" style="52"/>
    <col min="5377" max="5377" width="6.5703125" style="52" customWidth="1"/>
    <col min="5378" max="5378" width="28.7109375" style="52" bestFit="1" customWidth="1"/>
    <col min="5379" max="5380" width="11.28515625" style="52" bestFit="1" customWidth="1"/>
    <col min="5381" max="5386" width="10.28515625" style="52" customWidth="1"/>
    <col min="5387" max="5389" width="11.42578125" style="52"/>
    <col min="5390" max="5390" width="11.7109375" style="52" bestFit="1" customWidth="1"/>
    <col min="5391" max="5632" width="11.42578125" style="52"/>
    <col min="5633" max="5633" width="6.5703125" style="52" customWidth="1"/>
    <col min="5634" max="5634" width="28.7109375" style="52" bestFit="1" customWidth="1"/>
    <col min="5635" max="5636" width="11.28515625" style="52" bestFit="1" customWidth="1"/>
    <col min="5637" max="5642" width="10.28515625" style="52" customWidth="1"/>
    <col min="5643" max="5645" width="11.42578125" style="52"/>
    <col min="5646" max="5646" width="11.7109375" style="52" bestFit="1" customWidth="1"/>
    <col min="5647" max="5888" width="11.42578125" style="52"/>
    <col min="5889" max="5889" width="6.5703125" style="52" customWidth="1"/>
    <col min="5890" max="5890" width="28.7109375" style="52" bestFit="1" customWidth="1"/>
    <col min="5891" max="5892" width="11.28515625" style="52" bestFit="1" customWidth="1"/>
    <col min="5893" max="5898" width="10.28515625" style="52" customWidth="1"/>
    <col min="5899" max="5901" width="11.42578125" style="52"/>
    <col min="5902" max="5902" width="11.7109375" style="52" bestFit="1" customWidth="1"/>
    <col min="5903" max="6144" width="11.42578125" style="52"/>
    <col min="6145" max="6145" width="6.5703125" style="52" customWidth="1"/>
    <col min="6146" max="6146" width="28.7109375" style="52" bestFit="1" customWidth="1"/>
    <col min="6147" max="6148" width="11.28515625" style="52" bestFit="1" customWidth="1"/>
    <col min="6149" max="6154" width="10.28515625" style="52" customWidth="1"/>
    <col min="6155" max="6157" width="11.42578125" style="52"/>
    <col min="6158" max="6158" width="11.7109375" style="52" bestFit="1" customWidth="1"/>
    <col min="6159" max="6400" width="11.42578125" style="52"/>
    <col min="6401" max="6401" width="6.5703125" style="52" customWidth="1"/>
    <col min="6402" max="6402" width="28.7109375" style="52" bestFit="1" customWidth="1"/>
    <col min="6403" max="6404" width="11.28515625" style="52" bestFit="1" customWidth="1"/>
    <col min="6405" max="6410" width="10.28515625" style="52" customWidth="1"/>
    <col min="6411" max="6413" width="11.42578125" style="52"/>
    <col min="6414" max="6414" width="11.7109375" style="52" bestFit="1" customWidth="1"/>
    <col min="6415" max="6656" width="11.42578125" style="52"/>
    <col min="6657" max="6657" width="6.5703125" style="52" customWidth="1"/>
    <col min="6658" max="6658" width="28.7109375" style="52" bestFit="1" customWidth="1"/>
    <col min="6659" max="6660" width="11.28515625" style="52" bestFit="1" customWidth="1"/>
    <col min="6661" max="6666" width="10.28515625" style="52" customWidth="1"/>
    <col min="6667" max="6669" width="11.42578125" style="52"/>
    <col min="6670" max="6670" width="11.7109375" style="52" bestFit="1" customWidth="1"/>
    <col min="6671" max="6912" width="11.42578125" style="52"/>
    <col min="6913" max="6913" width="6.5703125" style="52" customWidth="1"/>
    <col min="6914" max="6914" width="28.7109375" style="52" bestFit="1" customWidth="1"/>
    <col min="6915" max="6916" width="11.28515625" style="52" bestFit="1" customWidth="1"/>
    <col min="6917" max="6922" width="10.28515625" style="52" customWidth="1"/>
    <col min="6923" max="6925" width="11.42578125" style="52"/>
    <col min="6926" max="6926" width="11.7109375" style="52" bestFit="1" customWidth="1"/>
    <col min="6927" max="7168" width="11.42578125" style="52"/>
    <col min="7169" max="7169" width="6.5703125" style="52" customWidth="1"/>
    <col min="7170" max="7170" width="28.7109375" style="52" bestFit="1" customWidth="1"/>
    <col min="7171" max="7172" width="11.28515625" style="52" bestFit="1" customWidth="1"/>
    <col min="7173" max="7178" width="10.28515625" style="52" customWidth="1"/>
    <col min="7179" max="7181" width="11.42578125" style="52"/>
    <col min="7182" max="7182" width="11.7109375" style="52" bestFit="1" customWidth="1"/>
    <col min="7183" max="7424" width="11.42578125" style="52"/>
    <col min="7425" max="7425" width="6.5703125" style="52" customWidth="1"/>
    <col min="7426" max="7426" width="28.7109375" style="52" bestFit="1" customWidth="1"/>
    <col min="7427" max="7428" width="11.28515625" style="52" bestFit="1" customWidth="1"/>
    <col min="7429" max="7434" width="10.28515625" style="52" customWidth="1"/>
    <col min="7435" max="7437" width="11.42578125" style="52"/>
    <col min="7438" max="7438" width="11.7109375" style="52" bestFit="1" customWidth="1"/>
    <col min="7439" max="7680" width="11.42578125" style="52"/>
    <col min="7681" max="7681" width="6.5703125" style="52" customWidth="1"/>
    <col min="7682" max="7682" width="28.7109375" style="52" bestFit="1" customWidth="1"/>
    <col min="7683" max="7684" width="11.28515625" style="52" bestFit="1" customWidth="1"/>
    <col min="7685" max="7690" width="10.28515625" style="52" customWidth="1"/>
    <col min="7691" max="7693" width="11.42578125" style="52"/>
    <col min="7694" max="7694" width="11.7109375" style="52" bestFit="1" customWidth="1"/>
    <col min="7695" max="7936" width="11.42578125" style="52"/>
    <col min="7937" max="7937" width="6.5703125" style="52" customWidth="1"/>
    <col min="7938" max="7938" width="28.7109375" style="52" bestFit="1" customWidth="1"/>
    <col min="7939" max="7940" width="11.28515625" style="52" bestFit="1" customWidth="1"/>
    <col min="7941" max="7946" width="10.28515625" style="52" customWidth="1"/>
    <col min="7947" max="7949" width="11.42578125" style="52"/>
    <col min="7950" max="7950" width="11.7109375" style="52" bestFit="1" customWidth="1"/>
    <col min="7951" max="8192" width="11.42578125" style="52"/>
    <col min="8193" max="8193" width="6.5703125" style="52" customWidth="1"/>
    <col min="8194" max="8194" width="28.7109375" style="52" bestFit="1" customWidth="1"/>
    <col min="8195" max="8196" width="11.28515625" style="52" bestFit="1" customWidth="1"/>
    <col min="8197" max="8202" width="10.28515625" style="52" customWidth="1"/>
    <col min="8203" max="8205" width="11.42578125" style="52"/>
    <col min="8206" max="8206" width="11.7109375" style="52" bestFit="1" customWidth="1"/>
    <col min="8207" max="8448" width="11.42578125" style="52"/>
    <col min="8449" max="8449" width="6.5703125" style="52" customWidth="1"/>
    <col min="8450" max="8450" width="28.7109375" style="52" bestFit="1" customWidth="1"/>
    <col min="8451" max="8452" width="11.28515625" style="52" bestFit="1" customWidth="1"/>
    <col min="8453" max="8458" width="10.28515625" style="52" customWidth="1"/>
    <col min="8459" max="8461" width="11.42578125" style="52"/>
    <col min="8462" max="8462" width="11.7109375" style="52" bestFit="1" customWidth="1"/>
    <col min="8463" max="8704" width="11.42578125" style="52"/>
    <col min="8705" max="8705" width="6.5703125" style="52" customWidth="1"/>
    <col min="8706" max="8706" width="28.7109375" style="52" bestFit="1" customWidth="1"/>
    <col min="8707" max="8708" width="11.28515625" style="52" bestFit="1" customWidth="1"/>
    <col min="8709" max="8714" width="10.28515625" style="52" customWidth="1"/>
    <col min="8715" max="8717" width="11.42578125" style="52"/>
    <col min="8718" max="8718" width="11.7109375" style="52" bestFit="1" customWidth="1"/>
    <col min="8719" max="8960" width="11.42578125" style="52"/>
    <col min="8961" max="8961" width="6.5703125" style="52" customWidth="1"/>
    <col min="8962" max="8962" width="28.7109375" style="52" bestFit="1" customWidth="1"/>
    <col min="8963" max="8964" width="11.28515625" style="52" bestFit="1" customWidth="1"/>
    <col min="8965" max="8970" width="10.28515625" style="52" customWidth="1"/>
    <col min="8971" max="8973" width="11.42578125" style="52"/>
    <col min="8974" max="8974" width="11.7109375" style="52" bestFit="1" customWidth="1"/>
    <col min="8975" max="9216" width="11.42578125" style="52"/>
    <col min="9217" max="9217" width="6.5703125" style="52" customWidth="1"/>
    <col min="9218" max="9218" width="28.7109375" style="52" bestFit="1" customWidth="1"/>
    <col min="9219" max="9220" width="11.28515625" style="52" bestFit="1" customWidth="1"/>
    <col min="9221" max="9226" width="10.28515625" style="52" customWidth="1"/>
    <col min="9227" max="9229" width="11.42578125" style="52"/>
    <col min="9230" max="9230" width="11.7109375" style="52" bestFit="1" customWidth="1"/>
    <col min="9231" max="9472" width="11.42578125" style="52"/>
    <col min="9473" max="9473" width="6.5703125" style="52" customWidth="1"/>
    <col min="9474" max="9474" width="28.7109375" style="52" bestFit="1" customWidth="1"/>
    <col min="9475" max="9476" width="11.28515625" style="52" bestFit="1" customWidth="1"/>
    <col min="9477" max="9482" width="10.28515625" style="52" customWidth="1"/>
    <col min="9483" max="9485" width="11.42578125" style="52"/>
    <col min="9486" max="9486" width="11.7109375" style="52" bestFit="1" customWidth="1"/>
    <col min="9487" max="9728" width="11.42578125" style="52"/>
    <col min="9729" max="9729" width="6.5703125" style="52" customWidth="1"/>
    <col min="9730" max="9730" width="28.7109375" style="52" bestFit="1" customWidth="1"/>
    <col min="9731" max="9732" width="11.28515625" style="52" bestFit="1" customWidth="1"/>
    <col min="9733" max="9738" width="10.28515625" style="52" customWidth="1"/>
    <col min="9739" max="9741" width="11.42578125" style="52"/>
    <col min="9742" max="9742" width="11.7109375" style="52" bestFit="1" customWidth="1"/>
    <col min="9743" max="9984" width="11.42578125" style="52"/>
    <col min="9985" max="9985" width="6.5703125" style="52" customWidth="1"/>
    <col min="9986" max="9986" width="28.7109375" style="52" bestFit="1" customWidth="1"/>
    <col min="9987" max="9988" width="11.28515625" style="52" bestFit="1" customWidth="1"/>
    <col min="9989" max="9994" width="10.28515625" style="52" customWidth="1"/>
    <col min="9995" max="9997" width="11.42578125" style="52"/>
    <col min="9998" max="9998" width="11.7109375" style="52" bestFit="1" customWidth="1"/>
    <col min="9999" max="10240" width="11.42578125" style="52"/>
    <col min="10241" max="10241" width="6.5703125" style="52" customWidth="1"/>
    <col min="10242" max="10242" width="28.7109375" style="52" bestFit="1" customWidth="1"/>
    <col min="10243" max="10244" width="11.28515625" style="52" bestFit="1" customWidth="1"/>
    <col min="10245" max="10250" width="10.28515625" style="52" customWidth="1"/>
    <col min="10251" max="10253" width="11.42578125" style="52"/>
    <col min="10254" max="10254" width="11.7109375" style="52" bestFit="1" customWidth="1"/>
    <col min="10255" max="10496" width="11.42578125" style="52"/>
    <col min="10497" max="10497" width="6.5703125" style="52" customWidth="1"/>
    <col min="10498" max="10498" width="28.7109375" style="52" bestFit="1" customWidth="1"/>
    <col min="10499" max="10500" width="11.28515625" style="52" bestFit="1" customWidth="1"/>
    <col min="10501" max="10506" width="10.28515625" style="52" customWidth="1"/>
    <col min="10507" max="10509" width="11.42578125" style="52"/>
    <col min="10510" max="10510" width="11.7109375" style="52" bestFit="1" customWidth="1"/>
    <col min="10511" max="10752" width="11.42578125" style="52"/>
    <col min="10753" max="10753" width="6.5703125" style="52" customWidth="1"/>
    <col min="10754" max="10754" width="28.7109375" style="52" bestFit="1" customWidth="1"/>
    <col min="10755" max="10756" width="11.28515625" style="52" bestFit="1" customWidth="1"/>
    <col min="10757" max="10762" width="10.28515625" style="52" customWidth="1"/>
    <col min="10763" max="10765" width="11.42578125" style="52"/>
    <col min="10766" max="10766" width="11.7109375" style="52" bestFit="1" customWidth="1"/>
    <col min="10767" max="11008" width="11.42578125" style="52"/>
    <col min="11009" max="11009" width="6.5703125" style="52" customWidth="1"/>
    <col min="11010" max="11010" width="28.7109375" style="52" bestFit="1" customWidth="1"/>
    <col min="11011" max="11012" width="11.28515625" style="52" bestFit="1" customWidth="1"/>
    <col min="11013" max="11018" width="10.28515625" style="52" customWidth="1"/>
    <col min="11019" max="11021" width="11.42578125" style="52"/>
    <col min="11022" max="11022" width="11.7109375" style="52" bestFit="1" customWidth="1"/>
    <col min="11023" max="11264" width="11.42578125" style="52"/>
    <col min="11265" max="11265" width="6.5703125" style="52" customWidth="1"/>
    <col min="11266" max="11266" width="28.7109375" style="52" bestFit="1" customWidth="1"/>
    <col min="11267" max="11268" width="11.28515625" style="52" bestFit="1" customWidth="1"/>
    <col min="11269" max="11274" width="10.28515625" style="52" customWidth="1"/>
    <col min="11275" max="11277" width="11.42578125" style="52"/>
    <col min="11278" max="11278" width="11.7109375" style="52" bestFit="1" customWidth="1"/>
    <col min="11279" max="11520" width="11.42578125" style="52"/>
    <col min="11521" max="11521" width="6.5703125" style="52" customWidth="1"/>
    <col min="11522" max="11522" width="28.7109375" style="52" bestFit="1" customWidth="1"/>
    <col min="11523" max="11524" width="11.28515625" style="52" bestFit="1" customWidth="1"/>
    <col min="11525" max="11530" width="10.28515625" style="52" customWidth="1"/>
    <col min="11531" max="11533" width="11.42578125" style="52"/>
    <col min="11534" max="11534" width="11.7109375" style="52" bestFit="1" customWidth="1"/>
    <col min="11535" max="11776" width="11.42578125" style="52"/>
    <col min="11777" max="11777" width="6.5703125" style="52" customWidth="1"/>
    <col min="11778" max="11778" width="28.7109375" style="52" bestFit="1" customWidth="1"/>
    <col min="11779" max="11780" width="11.28515625" style="52" bestFit="1" customWidth="1"/>
    <col min="11781" max="11786" width="10.28515625" style="52" customWidth="1"/>
    <col min="11787" max="11789" width="11.42578125" style="52"/>
    <col min="11790" max="11790" width="11.7109375" style="52" bestFit="1" customWidth="1"/>
    <col min="11791" max="12032" width="11.42578125" style="52"/>
    <col min="12033" max="12033" width="6.5703125" style="52" customWidth="1"/>
    <col min="12034" max="12034" width="28.7109375" style="52" bestFit="1" customWidth="1"/>
    <col min="12035" max="12036" width="11.28515625" style="52" bestFit="1" customWidth="1"/>
    <col min="12037" max="12042" width="10.28515625" style="52" customWidth="1"/>
    <col min="12043" max="12045" width="11.42578125" style="52"/>
    <col min="12046" max="12046" width="11.7109375" style="52" bestFit="1" customWidth="1"/>
    <col min="12047" max="12288" width="11.42578125" style="52"/>
    <col min="12289" max="12289" width="6.5703125" style="52" customWidth="1"/>
    <col min="12290" max="12290" width="28.7109375" style="52" bestFit="1" customWidth="1"/>
    <col min="12291" max="12292" width="11.28515625" style="52" bestFit="1" customWidth="1"/>
    <col min="12293" max="12298" width="10.28515625" style="52" customWidth="1"/>
    <col min="12299" max="12301" width="11.42578125" style="52"/>
    <col min="12302" max="12302" width="11.7109375" style="52" bestFit="1" customWidth="1"/>
    <col min="12303" max="12544" width="11.42578125" style="52"/>
    <col min="12545" max="12545" width="6.5703125" style="52" customWidth="1"/>
    <col min="12546" max="12546" width="28.7109375" style="52" bestFit="1" customWidth="1"/>
    <col min="12547" max="12548" width="11.28515625" style="52" bestFit="1" customWidth="1"/>
    <col min="12549" max="12554" width="10.28515625" style="52" customWidth="1"/>
    <col min="12555" max="12557" width="11.42578125" style="52"/>
    <col min="12558" max="12558" width="11.7109375" style="52" bestFit="1" customWidth="1"/>
    <col min="12559" max="12800" width="11.42578125" style="52"/>
    <col min="12801" max="12801" width="6.5703125" style="52" customWidth="1"/>
    <col min="12802" max="12802" width="28.7109375" style="52" bestFit="1" customWidth="1"/>
    <col min="12803" max="12804" width="11.28515625" style="52" bestFit="1" customWidth="1"/>
    <col min="12805" max="12810" width="10.28515625" style="52" customWidth="1"/>
    <col min="12811" max="12813" width="11.42578125" style="52"/>
    <col min="12814" max="12814" width="11.7109375" style="52" bestFit="1" customWidth="1"/>
    <col min="12815" max="13056" width="11.42578125" style="52"/>
    <col min="13057" max="13057" width="6.5703125" style="52" customWidth="1"/>
    <col min="13058" max="13058" width="28.7109375" style="52" bestFit="1" customWidth="1"/>
    <col min="13059" max="13060" width="11.28515625" style="52" bestFit="1" customWidth="1"/>
    <col min="13061" max="13066" width="10.28515625" style="52" customWidth="1"/>
    <col min="13067" max="13069" width="11.42578125" style="52"/>
    <col min="13070" max="13070" width="11.7109375" style="52" bestFit="1" customWidth="1"/>
    <col min="13071" max="13312" width="11.42578125" style="52"/>
    <col min="13313" max="13313" width="6.5703125" style="52" customWidth="1"/>
    <col min="13314" max="13314" width="28.7109375" style="52" bestFit="1" customWidth="1"/>
    <col min="13315" max="13316" width="11.28515625" style="52" bestFit="1" customWidth="1"/>
    <col min="13317" max="13322" width="10.28515625" style="52" customWidth="1"/>
    <col min="13323" max="13325" width="11.42578125" style="52"/>
    <col min="13326" max="13326" width="11.7109375" style="52" bestFit="1" customWidth="1"/>
    <col min="13327" max="13568" width="11.42578125" style="52"/>
    <col min="13569" max="13569" width="6.5703125" style="52" customWidth="1"/>
    <col min="13570" max="13570" width="28.7109375" style="52" bestFit="1" customWidth="1"/>
    <col min="13571" max="13572" width="11.28515625" style="52" bestFit="1" customWidth="1"/>
    <col min="13573" max="13578" width="10.28515625" style="52" customWidth="1"/>
    <col min="13579" max="13581" width="11.42578125" style="52"/>
    <col min="13582" max="13582" width="11.7109375" style="52" bestFit="1" customWidth="1"/>
    <col min="13583" max="13824" width="11.42578125" style="52"/>
    <col min="13825" max="13825" width="6.5703125" style="52" customWidth="1"/>
    <col min="13826" max="13826" width="28.7109375" style="52" bestFit="1" customWidth="1"/>
    <col min="13827" max="13828" width="11.28515625" style="52" bestFit="1" customWidth="1"/>
    <col min="13829" max="13834" width="10.28515625" style="52" customWidth="1"/>
    <col min="13835" max="13837" width="11.42578125" style="52"/>
    <col min="13838" max="13838" width="11.7109375" style="52" bestFit="1" customWidth="1"/>
    <col min="13839" max="14080" width="11.42578125" style="52"/>
    <col min="14081" max="14081" width="6.5703125" style="52" customWidth="1"/>
    <col min="14082" max="14082" width="28.7109375" style="52" bestFit="1" customWidth="1"/>
    <col min="14083" max="14084" width="11.28515625" style="52" bestFit="1" customWidth="1"/>
    <col min="14085" max="14090" width="10.28515625" style="52" customWidth="1"/>
    <col min="14091" max="14093" width="11.42578125" style="52"/>
    <col min="14094" max="14094" width="11.7109375" style="52" bestFit="1" customWidth="1"/>
    <col min="14095" max="14336" width="11.42578125" style="52"/>
    <col min="14337" max="14337" width="6.5703125" style="52" customWidth="1"/>
    <col min="14338" max="14338" width="28.7109375" style="52" bestFit="1" customWidth="1"/>
    <col min="14339" max="14340" width="11.28515625" style="52" bestFit="1" customWidth="1"/>
    <col min="14341" max="14346" width="10.28515625" style="52" customWidth="1"/>
    <col min="14347" max="14349" width="11.42578125" style="52"/>
    <col min="14350" max="14350" width="11.7109375" style="52" bestFit="1" customWidth="1"/>
    <col min="14351" max="14592" width="11.42578125" style="52"/>
    <col min="14593" max="14593" width="6.5703125" style="52" customWidth="1"/>
    <col min="14594" max="14594" width="28.7109375" style="52" bestFit="1" customWidth="1"/>
    <col min="14595" max="14596" width="11.28515625" style="52" bestFit="1" customWidth="1"/>
    <col min="14597" max="14602" width="10.28515625" style="52" customWidth="1"/>
    <col min="14603" max="14605" width="11.42578125" style="52"/>
    <col min="14606" max="14606" width="11.7109375" style="52" bestFit="1" customWidth="1"/>
    <col min="14607" max="14848" width="11.42578125" style="52"/>
    <col min="14849" max="14849" width="6.5703125" style="52" customWidth="1"/>
    <col min="14850" max="14850" width="28.7109375" style="52" bestFit="1" customWidth="1"/>
    <col min="14851" max="14852" width="11.28515625" style="52" bestFit="1" customWidth="1"/>
    <col min="14853" max="14858" width="10.28515625" style="52" customWidth="1"/>
    <col min="14859" max="14861" width="11.42578125" style="52"/>
    <col min="14862" max="14862" width="11.7109375" style="52" bestFit="1" customWidth="1"/>
    <col min="14863" max="15104" width="11.42578125" style="52"/>
    <col min="15105" max="15105" width="6.5703125" style="52" customWidth="1"/>
    <col min="15106" max="15106" width="28.7109375" style="52" bestFit="1" customWidth="1"/>
    <col min="15107" max="15108" width="11.28515625" style="52" bestFit="1" customWidth="1"/>
    <col min="15109" max="15114" width="10.28515625" style="52" customWidth="1"/>
    <col min="15115" max="15117" width="11.42578125" style="52"/>
    <col min="15118" max="15118" width="11.7109375" style="52" bestFit="1" customWidth="1"/>
    <col min="15119" max="15360" width="11.42578125" style="52"/>
    <col min="15361" max="15361" width="6.5703125" style="52" customWidth="1"/>
    <col min="15362" max="15362" width="28.7109375" style="52" bestFit="1" customWidth="1"/>
    <col min="15363" max="15364" width="11.28515625" style="52" bestFit="1" customWidth="1"/>
    <col min="15365" max="15370" width="10.28515625" style="52" customWidth="1"/>
    <col min="15371" max="15373" width="11.42578125" style="52"/>
    <col min="15374" max="15374" width="11.7109375" style="52" bestFit="1" customWidth="1"/>
    <col min="15375" max="15616" width="11.42578125" style="52"/>
    <col min="15617" max="15617" width="6.5703125" style="52" customWidth="1"/>
    <col min="15618" max="15618" width="28.7109375" style="52" bestFit="1" customWidth="1"/>
    <col min="15619" max="15620" width="11.28515625" style="52" bestFit="1" customWidth="1"/>
    <col min="15621" max="15626" width="10.28515625" style="52" customWidth="1"/>
    <col min="15627" max="15629" width="11.42578125" style="52"/>
    <col min="15630" max="15630" width="11.7109375" style="52" bestFit="1" customWidth="1"/>
    <col min="15631" max="15872" width="11.42578125" style="52"/>
    <col min="15873" max="15873" width="6.5703125" style="52" customWidth="1"/>
    <col min="15874" max="15874" width="28.7109375" style="52" bestFit="1" customWidth="1"/>
    <col min="15875" max="15876" width="11.28515625" style="52" bestFit="1" customWidth="1"/>
    <col min="15877" max="15882" width="10.28515625" style="52" customWidth="1"/>
    <col min="15883" max="15885" width="11.42578125" style="52"/>
    <col min="15886" max="15886" width="11.7109375" style="52" bestFit="1" customWidth="1"/>
    <col min="15887" max="16128" width="11.42578125" style="52"/>
    <col min="16129" max="16129" width="6.5703125" style="52" customWidth="1"/>
    <col min="16130" max="16130" width="28.7109375" style="52" bestFit="1" customWidth="1"/>
    <col min="16131" max="16132" width="11.28515625" style="52" bestFit="1" customWidth="1"/>
    <col min="16133" max="16138" width="10.28515625" style="52" customWidth="1"/>
    <col min="16139" max="16141" width="11.42578125" style="52"/>
    <col min="16142" max="16142" width="11.7109375" style="52" bestFit="1" customWidth="1"/>
    <col min="16143" max="16384" width="11.42578125" style="52"/>
  </cols>
  <sheetData>
    <row r="1" spans="1:17" x14ac:dyDescent="0.25">
      <c r="A1" s="106" t="s">
        <v>156</v>
      </c>
      <c r="L1" s="52" t="s">
        <v>66</v>
      </c>
      <c r="M1" s="106" t="s">
        <v>157</v>
      </c>
    </row>
    <row r="2" spans="1:17" x14ac:dyDescent="0.25">
      <c r="M2" s="53" t="s">
        <v>22</v>
      </c>
      <c r="N2" s="53"/>
      <c r="O2" s="53"/>
      <c r="P2" s="53"/>
      <c r="Q2" s="54">
        <f>H29</f>
        <v>9145000</v>
      </c>
    </row>
    <row r="3" spans="1:17" x14ac:dyDescent="0.25">
      <c r="A3" s="72" t="s">
        <v>4</v>
      </c>
      <c r="B3" s="73" t="s">
        <v>5</v>
      </c>
      <c r="C3" s="152" t="s">
        <v>0</v>
      </c>
      <c r="D3" s="153"/>
      <c r="E3" s="153" t="s">
        <v>1</v>
      </c>
      <c r="F3" s="153"/>
      <c r="G3" s="153" t="s">
        <v>2</v>
      </c>
      <c r="H3" s="153"/>
      <c r="I3" s="153" t="s">
        <v>3</v>
      </c>
      <c r="J3" s="153"/>
      <c r="M3" s="53" t="s">
        <v>24</v>
      </c>
      <c r="N3" s="53"/>
      <c r="O3" s="53"/>
      <c r="P3" s="53"/>
      <c r="Q3" s="57">
        <f>SUM(Q2:Q2)</f>
        <v>9145000</v>
      </c>
    </row>
    <row r="4" spans="1:17" x14ac:dyDescent="0.25">
      <c r="A4" s="74"/>
      <c r="B4" s="75"/>
      <c r="C4" s="131" t="s">
        <v>6</v>
      </c>
      <c r="D4" s="132" t="s">
        <v>7</v>
      </c>
      <c r="E4" s="132" t="s">
        <v>6</v>
      </c>
      <c r="F4" s="132" t="s">
        <v>7</v>
      </c>
      <c r="G4" s="132" t="s">
        <v>6</v>
      </c>
      <c r="H4" s="132" t="s">
        <v>7</v>
      </c>
      <c r="I4" s="132" t="s">
        <v>6</v>
      </c>
      <c r="J4" s="133" t="s">
        <v>7</v>
      </c>
      <c r="M4" s="53"/>
      <c r="N4" s="53"/>
      <c r="O4" s="53"/>
      <c r="P4" s="53"/>
      <c r="Q4" s="55"/>
    </row>
    <row r="5" spans="1:17" s="1" customFormat="1" ht="15.75" x14ac:dyDescent="0.25">
      <c r="A5" s="32">
        <v>1100</v>
      </c>
      <c r="B5" s="33" t="s">
        <v>41</v>
      </c>
      <c r="C5" s="16">
        <v>1700000</v>
      </c>
      <c r="D5" s="38"/>
      <c r="E5" s="14"/>
      <c r="F5" s="15">
        <f>4000000*0.025</f>
        <v>100000</v>
      </c>
      <c r="G5" s="16"/>
      <c r="H5" s="17"/>
      <c r="I5" s="16">
        <f>C5-F5</f>
        <v>1600000</v>
      </c>
      <c r="J5" s="17"/>
      <c r="L5" s="52"/>
      <c r="M5" s="53" t="s">
        <v>75</v>
      </c>
      <c r="N5" s="53"/>
      <c r="O5" s="53"/>
      <c r="P5" s="53"/>
      <c r="Q5" s="54">
        <f>G31</f>
        <v>5056800</v>
      </c>
    </row>
    <row r="6" spans="1:17" s="1" customFormat="1" ht="15.75" x14ac:dyDescent="0.25">
      <c r="A6" s="32">
        <v>1230</v>
      </c>
      <c r="B6" s="33" t="s">
        <v>13</v>
      </c>
      <c r="C6" s="16">
        <v>210000</v>
      </c>
      <c r="D6" s="38"/>
      <c r="E6" s="14"/>
      <c r="F6" s="15">
        <v>56600</v>
      </c>
      <c r="G6" s="16"/>
      <c r="H6" s="17"/>
      <c r="I6" s="16">
        <f>C6-F6</f>
        <v>153400</v>
      </c>
      <c r="J6" s="17"/>
      <c r="L6" s="52"/>
      <c r="M6" s="53" t="s">
        <v>92</v>
      </c>
      <c r="N6" s="53"/>
      <c r="O6" s="53"/>
      <c r="P6" s="53"/>
      <c r="Q6" s="58">
        <f>G32+G33+G34</f>
        <v>2961000</v>
      </c>
    </row>
    <row r="7" spans="1:17" s="1" customFormat="1" ht="15.75" x14ac:dyDescent="0.25">
      <c r="A7" s="32">
        <v>1239</v>
      </c>
      <c r="B7" s="33" t="s">
        <v>42</v>
      </c>
      <c r="C7" s="16"/>
      <c r="D7" s="38">
        <v>15000</v>
      </c>
      <c r="E7" s="14">
        <v>15000</v>
      </c>
      <c r="F7" s="15"/>
      <c r="G7" s="16"/>
      <c r="H7" s="17"/>
      <c r="I7" s="16"/>
      <c r="J7" s="17"/>
      <c r="L7" s="52"/>
      <c r="M7" s="53" t="s">
        <v>25</v>
      </c>
      <c r="N7" s="53"/>
      <c r="O7" s="53"/>
      <c r="P7" s="53"/>
      <c r="Q7" s="58">
        <f>G35</f>
        <v>190600</v>
      </c>
    </row>
    <row r="8" spans="1:17" s="1" customFormat="1" ht="15.75" x14ac:dyDescent="0.25">
      <c r="A8" s="32">
        <v>1250</v>
      </c>
      <c r="B8" s="33" t="s">
        <v>12</v>
      </c>
      <c r="C8" s="33">
        <v>240000</v>
      </c>
      <c r="D8" s="38"/>
      <c r="E8" s="14"/>
      <c r="F8" s="15">
        <v>100000</v>
      </c>
      <c r="G8" s="16"/>
      <c r="H8" s="17"/>
      <c r="I8" s="16">
        <f>C8-F8</f>
        <v>140000</v>
      </c>
      <c r="J8" s="17"/>
      <c r="L8" s="52"/>
      <c r="M8" s="53" t="s">
        <v>10</v>
      </c>
      <c r="N8" s="53"/>
      <c r="O8" s="53"/>
      <c r="P8" s="53"/>
      <c r="Q8" s="58">
        <f>G36</f>
        <v>40000</v>
      </c>
    </row>
    <row r="9" spans="1:17" s="1" customFormat="1" ht="15.75" x14ac:dyDescent="0.25">
      <c r="A9" s="32">
        <v>1350</v>
      </c>
      <c r="B9" s="33" t="s">
        <v>8</v>
      </c>
      <c r="C9" s="33">
        <v>500000</v>
      </c>
      <c r="D9" s="38"/>
      <c r="E9" s="14"/>
      <c r="F9" s="15"/>
      <c r="G9" s="16"/>
      <c r="H9" s="17"/>
      <c r="I9" s="16">
        <f>C9-F9</f>
        <v>500000</v>
      </c>
      <c r="J9" s="17"/>
      <c r="L9" s="52"/>
      <c r="M9" s="53" t="s">
        <v>26</v>
      </c>
      <c r="N9" s="53"/>
      <c r="O9" s="53"/>
      <c r="P9" s="53"/>
      <c r="Q9" s="59">
        <f>G37+G38+G39+G40</f>
        <v>465080</v>
      </c>
    </row>
    <row r="10" spans="1:17" s="1" customFormat="1" ht="15.75" x14ac:dyDescent="0.25">
      <c r="A10" s="32">
        <v>1460</v>
      </c>
      <c r="B10" s="33" t="s">
        <v>17</v>
      </c>
      <c r="C10" s="33">
        <v>811000</v>
      </c>
      <c r="D10" s="38"/>
      <c r="E10" s="14"/>
      <c r="F10" s="15">
        <v>76000</v>
      </c>
      <c r="G10" s="16"/>
      <c r="H10" s="17"/>
      <c r="I10" s="16">
        <f>C10-F10</f>
        <v>735000</v>
      </c>
      <c r="J10" s="17"/>
      <c r="L10" s="52"/>
      <c r="M10" s="53" t="s">
        <v>27</v>
      </c>
      <c r="N10" s="53"/>
      <c r="O10" s="53"/>
      <c r="P10" s="53"/>
      <c r="Q10" s="60">
        <f>SUM(Q5:Q9)</f>
        <v>8713480</v>
      </c>
    </row>
    <row r="11" spans="1:17" s="1" customFormat="1" ht="15.75" x14ac:dyDescent="0.25">
      <c r="A11" s="76">
        <v>1500</v>
      </c>
      <c r="B11" s="78" t="s">
        <v>19</v>
      </c>
      <c r="C11" s="77">
        <v>593400</v>
      </c>
      <c r="D11" s="38"/>
      <c r="E11" s="14"/>
      <c r="F11" s="15"/>
      <c r="G11" s="16"/>
      <c r="H11" s="17"/>
      <c r="I11" s="16">
        <f>SUM(C11)</f>
        <v>593400</v>
      </c>
      <c r="J11" s="17"/>
      <c r="L11" s="52"/>
      <c r="M11" s="61" t="s">
        <v>28</v>
      </c>
      <c r="N11" s="53"/>
      <c r="O11" s="53"/>
      <c r="P11" s="53"/>
      <c r="Q11" s="57">
        <f>Q3-Q10</f>
        <v>431520</v>
      </c>
    </row>
    <row r="12" spans="1:17" s="1" customFormat="1" ht="15.75" x14ac:dyDescent="0.25">
      <c r="A12" s="76">
        <v>1580</v>
      </c>
      <c r="B12" s="78" t="s">
        <v>43</v>
      </c>
      <c r="C12" s="77"/>
      <c r="D12" s="38">
        <v>13000</v>
      </c>
      <c r="E12" s="14"/>
      <c r="F12" s="15">
        <v>17000</v>
      </c>
      <c r="G12" s="16"/>
      <c r="H12" s="17"/>
      <c r="I12" s="16"/>
      <c r="J12" s="17">
        <f>D12+F12-E12</f>
        <v>30000</v>
      </c>
      <c r="L12" s="52"/>
      <c r="M12" s="63"/>
      <c r="N12" s="63"/>
      <c r="O12" s="63"/>
      <c r="P12" s="63"/>
      <c r="Q12" s="64"/>
    </row>
    <row r="13" spans="1:17" s="1" customFormat="1" ht="15.75" x14ac:dyDescent="0.25">
      <c r="A13" s="76">
        <v>1730</v>
      </c>
      <c r="B13" s="78" t="s">
        <v>151</v>
      </c>
      <c r="C13" s="77"/>
      <c r="D13" s="38"/>
      <c r="E13" s="14">
        <v>10500</v>
      </c>
      <c r="F13" s="15"/>
      <c r="G13" s="16"/>
      <c r="H13" s="17"/>
      <c r="I13" s="16">
        <f>SUM(E13:H13)</f>
        <v>10500</v>
      </c>
      <c r="J13" s="17"/>
      <c r="L13" s="52"/>
      <c r="M13" s="53" t="s">
        <v>29</v>
      </c>
      <c r="N13" s="53"/>
      <c r="O13" s="53"/>
      <c r="P13" s="53"/>
      <c r="Q13" s="54">
        <f>H41</f>
        <v>1000</v>
      </c>
    </row>
    <row r="14" spans="1:17" s="1" customFormat="1" ht="15.75" x14ac:dyDescent="0.25">
      <c r="A14" s="76">
        <v>1950</v>
      </c>
      <c r="B14" s="78" t="s">
        <v>44</v>
      </c>
      <c r="C14" s="77">
        <v>74000</v>
      </c>
      <c r="D14" s="38"/>
      <c r="E14" s="14"/>
      <c r="F14" s="15"/>
      <c r="G14" s="16"/>
      <c r="H14" s="17"/>
      <c r="I14" s="16">
        <f>SUM(C14:H14)</f>
        <v>74000</v>
      </c>
      <c r="J14" s="17"/>
      <c r="L14" s="52"/>
      <c r="M14" s="53" t="s">
        <v>31</v>
      </c>
      <c r="N14" s="53"/>
      <c r="O14" s="53"/>
      <c r="P14" s="53"/>
      <c r="Q14" s="56">
        <f>G43</f>
        <v>57500</v>
      </c>
    </row>
    <row r="15" spans="1:17" s="1" customFormat="1" ht="15.75" x14ac:dyDescent="0.25">
      <c r="A15" s="76">
        <v>2000</v>
      </c>
      <c r="B15" s="78" t="s">
        <v>45</v>
      </c>
      <c r="C15" s="77"/>
      <c r="D15" s="38">
        <v>1000000</v>
      </c>
      <c r="E15" s="14"/>
      <c r="F15" s="15"/>
      <c r="G15" s="16"/>
      <c r="H15" s="17"/>
      <c r="I15" s="16"/>
      <c r="J15" s="17">
        <f>D15</f>
        <v>1000000</v>
      </c>
      <c r="L15" s="62"/>
      <c r="M15" s="52" t="s">
        <v>32</v>
      </c>
      <c r="N15" s="52"/>
      <c r="O15" s="53"/>
      <c r="P15" s="53"/>
      <c r="Q15" s="57">
        <f>Q13-Q14</f>
        <v>-56500</v>
      </c>
    </row>
    <row r="16" spans="1:17" s="1" customFormat="1" ht="15.75" x14ac:dyDescent="0.25">
      <c r="A16" s="76">
        <v>2050</v>
      </c>
      <c r="B16" s="78" t="s">
        <v>46</v>
      </c>
      <c r="C16" s="77"/>
      <c r="D16" s="38">
        <v>418000</v>
      </c>
      <c r="E16" s="14"/>
      <c r="F16" s="15">
        <f>E46-F26</f>
        <v>171270</v>
      </c>
      <c r="G16" s="16"/>
      <c r="H16" s="17"/>
      <c r="I16" s="16"/>
      <c r="J16" s="17">
        <f>D16+F16</f>
        <v>589270</v>
      </c>
      <c r="L16" s="52"/>
      <c r="M16" s="66"/>
      <c r="N16" s="66"/>
      <c r="O16" s="66"/>
      <c r="P16" s="66"/>
      <c r="Q16" s="67"/>
    </row>
    <row r="17" spans="1:17" s="1" customFormat="1" ht="15.75" x14ac:dyDescent="0.25">
      <c r="A17" s="76">
        <v>2120</v>
      </c>
      <c r="B17" s="78" t="s">
        <v>47</v>
      </c>
      <c r="C17" s="77"/>
      <c r="D17" s="38">
        <v>62000</v>
      </c>
      <c r="E17" s="14">
        <v>15000</v>
      </c>
      <c r="F17" s="15"/>
      <c r="G17" s="16"/>
      <c r="H17" s="17"/>
      <c r="I17" s="16"/>
      <c r="J17" s="17">
        <f>D17-E17</f>
        <v>47000</v>
      </c>
      <c r="L17" s="52"/>
      <c r="M17" s="61" t="s">
        <v>33</v>
      </c>
      <c r="N17" s="53"/>
      <c r="O17" s="53"/>
      <c r="P17" s="53"/>
      <c r="Q17" s="54">
        <f>Q11+Q15</f>
        <v>375020</v>
      </c>
    </row>
    <row r="18" spans="1:17" s="1" customFormat="1" ht="15.75" x14ac:dyDescent="0.25">
      <c r="A18" s="76">
        <v>2240</v>
      </c>
      <c r="B18" s="78" t="s">
        <v>48</v>
      </c>
      <c r="C18" s="77"/>
      <c r="D18" s="38">
        <f>870000-13500</f>
        <v>856500</v>
      </c>
      <c r="E18" s="14"/>
      <c r="F18" s="15"/>
      <c r="G18" s="16"/>
      <c r="H18" s="17"/>
      <c r="I18" s="16"/>
      <c r="J18" s="17">
        <f>SUM(D18)</f>
        <v>856500</v>
      </c>
      <c r="L18" s="52"/>
      <c r="M18" s="68"/>
      <c r="N18" s="66"/>
      <c r="O18" s="66"/>
      <c r="P18" s="66"/>
      <c r="Q18" s="67"/>
    </row>
    <row r="19" spans="1:17" s="1" customFormat="1" ht="15.75" x14ac:dyDescent="0.25">
      <c r="A19" s="76">
        <v>2380</v>
      </c>
      <c r="B19" s="78" t="s">
        <v>49</v>
      </c>
      <c r="C19" s="77"/>
      <c r="D19" s="38">
        <v>229910</v>
      </c>
      <c r="E19" s="14"/>
      <c r="F19" s="15"/>
      <c r="G19" s="16"/>
      <c r="H19" s="17"/>
      <c r="I19" s="16"/>
      <c r="J19" s="17">
        <f t="shared" ref="J19:J25" si="0">SUM(D19)</f>
        <v>229910</v>
      </c>
      <c r="L19" s="52"/>
      <c r="M19" s="53" t="s">
        <v>34</v>
      </c>
      <c r="N19" s="53"/>
      <c r="O19" s="53"/>
      <c r="P19" s="53"/>
      <c r="Q19" s="60">
        <f>G44-H45</f>
        <v>83750</v>
      </c>
    </row>
    <row r="20" spans="1:17" s="1" customFormat="1" ht="15.75" x14ac:dyDescent="0.25">
      <c r="A20" s="76">
        <v>2400</v>
      </c>
      <c r="B20" s="78" t="s">
        <v>50</v>
      </c>
      <c r="C20" s="77"/>
      <c r="D20" s="38">
        <v>353640</v>
      </c>
      <c r="E20" s="14"/>
      <c r="F20" s="15"/>
      <c r="G20" s="16"/>
      <c r="H20" s="17"/>
      <c r="I20" s="16"/>
      <c r="J20" s="17">
        <f t="shared" si="0"/>
        <v>353640</v>
      </c>
      <c r="L20" s="65"/>
      <c r="M20" s="66"/>
      <c r="N20" s="66"/>
      <c r="O20" s="66"/>
      <c r="P20" s="66"/>
      <c r="Q20" s="67"/>
    </row>
    <row r="21" spans="1:17" s="1" customFormat="1" ht="15.75" x14ac:dyDescent="0.25">
      <c r="A21" s="76">
        <v>2500</v>
      </c>
      <c r="B21" s="78" t="s">
        <v>51</v>
      </c>
      <c r="C21" s="77"/>
      <c r="D21" s="38">
        <v>250</v>
      </c>
      <c r="E21" s="14"/>
      <c r="F21" s="15">
        <v>98750</v>
      </c>
      <c r="G21" s="16"/>
      <c r="H21" s="17"/>
      <c r="I21" s="16"/>
      <c r="J21" s="17">
        <f>SUM(D21:F21)</f>
        <v>99000</v>
      </c>
      <c r="L21" s="52"/>
      <c r="M21" s="66"/>
      <c r="N21" s="66"/>
      <c r="O21" s="66"/>
      <c r="P21" s="66"/>
      <c r="Q21" s="67"/>
    </row>
    <row r="22" spans="1:17" s="1" customFormat="1" ht="15.75" x14ac:dyDescent="0.25">
      <c r="A22" s="76">
        <v>2600</v>
      </c>
      <c r="B22" s="78" t="s">
        <v>52</v>
      </c>
      <c r="C22" s="77"/>
      <c r="D22" s="38">
        <v>74000</v>
      </c>
      <c r="E22" s="14"/>
      <c r="F22" s="15"/>
      <c r="G22" s="16"/>
      <c r="H22" s="17"/>
      <c r="I22" s="16"/>
      <c r="J22" s="17">
        <f t="shared" si="0"/>
        <v>74000</v>
      </c>
      <c r="L22" s="65"/>
      <c r="M22" s="61" t="s">
        <v>35</v>
      </c>
      <c r="N22" s="53"/>
      <c r="O22" s="53"/>
      <c r="P22" s="53"/>
      <c r="Q22" s="60">
        <f>Q17-Q19</f>
        <v>291270</v>
      </c>
    </row>
    <row r="23" spans="1:17" s="1" customFormat="1" ht="15.75" x14ac:dyDescent="0.25">
      <c r="A23" s="76">
        <v>2740</v>
      </c>
      <c r="B23" s="78" t="s">
        <v>53</v>
      </c>
      <c r="C23" s="77"/>
      <c r="D23" s="38">
        <v>30200</v>
      </c>
      <c r="E23" s="14"/>
      <c r="F23" s="15"/>
      <c r="G23" s="16"/>
      <c r="H23" s="17"/>
      <c r="I23" s="16"/>
      <c r="J23" s="17">
        <f t="shared" si="0"/>
        <v>30200</v>
      </c>
      <c r="L23" s="52"/>
      <c r="M23" s="53"/>
      <c r="N23" s="53"/>
      <c r="O23" s="53"/>
      <c r="P23" s="53"/>
      <c r="Q23" s="55"/>
    </row>
    <row r="24" spans="1:17" s="1" customFormat="1" ht="15.75" x14ac:dyDescent="0.25">
      <c r="A24" s="76">
        <v>2770</v>
      </c>
      <c r="B24" s="79" t="s">
        <v>54</v>
      </c>
      <c r="C24" s="77"/>
      <c r="D24" s="38">
        <v>56000</v>
      </c>
      <c r="E24" s="14"/>
      <c r="F24" s="15"/>
      <c r="G24" s="16"/>
      <c r="H24" s="17"/>
      <c r="I24" s="16"/>
      <c r="J24" s="17">
        <f t="shared" si="0"/>
        <v>56000</v>
      </c>
      <c r="L24" s="65"/>
      <c r="M24" s="69" t="s">
        <v>36</v>
      </c>
      <c r="N24" s="53"/>
      <c r="O24" s="53"/>
      <c r="P24" s="53"/>
      <c r="Q24" s="55"/>
    </row>
    <row r="25" spans="1:17" s="1" customFormat="1" ht="15.75" x14ac:dyDescent="0.25">
      <c r="A25" s="76">
        <v>2780</v>
      </c>
      <c r="B25" s="80" t="s">
        <v>55</v>
      </c>
      <c r="C25" s="77"/>
      <c r="D25" s="38">
        <v>39780</v>
      </c>
      <c r="E25" s="14"/>
      <c r="F25" s="15"/>
      <c r="G25" s="16"/>
      <c r="H25" s="17"/>
      <c r="I25" s="16"/>
      <c r="J25" s="17">
        <f t="shared" si="0"/>
        <v>39780</v>
      </c>
      <c r="L25" s="65"/>
      <c r="M25" s="69" t="s">
        <v>37</v>
      </c>
      <c r="N25" s="53"/>
      <c r="O25" s="53"/>
      <c r="P25" s="53"/>
      <c r="Q25" s="55"/>
    </row>
    <row r="26" spans="1:17" s="1" customFormat="1" ht="15.75" x14ac:dyDescent="0.25">
      <c r="A26" s="76">
        <v>2800</v>
      </c>
      <c r="B26" s="80" t="s">
        <v>38</v>
      </c>
      <c r="C26" s="77"/>
      <c r="D26" s="38"/>
      <c r="E26" s="14"/>
      <c r="F26" s="15">
        <v>120000</v>
      </c>
      <c r="G26" s="16"/>
      <c r="H26" s="17"/>
      <c r="I26" s="16"/>
      <c r="J26" s="17">
        <f>F26</f>
        <v>120000</v>
      </c>
      <c r="K26" s="134"/>
      <c r="L26" s="52"/>
      <c r="M26" s="53" t="s">
        <v>38</v>
      </c>
      <c r="N26" s="53"/>
      <c r="O26" s="53"/>
      <c r="P26" s="53"/>
      <c r="Q26" s="54">
        <f>F26</f>
        <v>120000</v>
      </c>
    </row>
    <row r="27" spans="1:17" s="1" customFormat="1" ht="15.75" x14ac:dyDescent="0.25">
      <c r="A27" s="76">
        <v>2940</v>
      </c>
      <c r="B27" s="80" t="s">
        <v>90</v>
      </c>
      <c r="C27" s="77"/>
      <c r="D27" s="38">
        <v>281000</v>
      </c>
      <c r="E27" s="14"/>
      <c r="F27" s="15"/>
      <c r="G27" s="16"/>
      <c r="H27" s="17"/>
      <c r="I27" s="16"/>
      <c r="J27" s="17">
        <f>SUM(D27)</f>
        <v>281000</v>
      </c>
      <c r="K27" s="135"/>
      <c r="L27" s="52"/>
      <c r="M27" s="53" t="s">
        <v>39</v>
      </c>
      <c r="N27" s="53"/>
      <c r="O27" s="53"/>
      <c r="P27" s="53"/>
      <c r="Q27" s="56">
        <f>F16</f>
        <v>171270</v>
      </c>
    </row>
    <row r="28" spans="1:17" s="1" customFormat="1" ht="15.75" x14ac:dyDescent="0.25">
      <c r="A28" s="76">
        <v>2950</v>
      </c>
      <c r="B28" s="80" t="s">
        <v>152</v>
      </c>
      <c r="C28" s="77"/>
      <c r="D28" s="38"/>
      <c r="E28" s="14"/>
      <c r="F28" s="15"/>
      <c r="G28" s="16"/>
      <c r="H28" s="17"/>
      <c r="I28" s="16"/>
      <c r="J28" s="17">
        <f>SUM(F28)</f>
        <v>0</v>
      </c>
      <c r="K28" s="134"/>
      <c r="L28" s="52"/>
      <c r="M28" s="53" t="s">
        <v>40</v>
      </c>
      <c r="N28" s="53"/>
      <c r="O28" s="53"/>
      <c r="P28" s="53"/>
      <c r="Q28" s="57">
        <f>SUM(Q26:Q27)</f>
        <v>291270</v>
      </c>
    </row>
    <row r="29" spans="1:17" s="1" customFormat="1" ht="15.75" x14ac:dyDescent="0.25">
      <c r="A29" s="76">
        <v>3000</v>
      </c>
      <c r="B29" s="80" t="s">
        <v>56</v>
      </c>
      <c r="C29" s="77"/>
      <c r="D29" s="38">
        <v>9145000</v>
      </c>
      <c r="E29" s="14"/>
      <c r="F29" s="15"/>
      <c r="G29" s="16"/>
      <c r="H29" s="17">
        <f>D29</f>
        <v>9145000</v>
      </c>
      <c r="I29" s="16"/>
      <c r="J29" s="17"/>
      <c r="L29" s="52"/>
    </row>
    <row r="30" spans="1:17" s="1" customFormat="1" ht="15.75" x14ac:dyDescent="0.25">
      <c r="A30" s="76">
        <v>3800</v>
      </c>
      <c r="B30" s="80" t="s">
        <v>57</v>
      </c>
      <c r="C30" s="77"/>
      <c r="D30" s="38"/>
      <c r="E30" s="14"/>
      <c r="F30" s="15"/>
      <c r="G30" s="16"/>
      <c r="H30" s="17">
        <f>F30</f>
        <v>0</v>
      </c>
      <c r="I30" s="16"/>
      <c r="J30" s="17"/>
      <c r="L30" s="52"/>
    </row>
    <row r="31" spans="1:17" s="1" customFormat="1" ht="15.75" x14ac:dyDescent="0.25">
      <c r="A31" s="76">
        <v>4300</v>
      </c>
      <c r="B31" s="80" t="s">
        <v>18</v>
      </c>
      <c r="C31" s="77">
        <v>4980800</v>
      </c>
      <c r="D31" s="38"/>
      <c r="E31" s="14">
        <f>F10</f>
        <v>76000</v>
      </c>
      <c r="F31" s="15"/>
      <c r="G31" s="16">
        <f>C31+E31</f>
        <v>5056800</v>
      </c>
      <c r="H31" s="17"/>
      <c r="I31" s="16"/>
      <c r="J31" s="17"/>
      <c r="L31" s="52"/>
    </row>
    <row r="32" spans="1:17" s="1" customFormat="1" ht="15.75" x14ac:dyDescent="0.25">
      <c r="A32" s="76">
        <v>5000</v>
      </c>
      <c r="B32" s="79" t="s">
        <v>91</v>
      </c>
      <c r="C32" s="77">
        <v>2633000</v>
      </c>
      <c r="D32" s="38"/>
      <c r="E32" s="81"/>
      <c r="F32" s="38"/>
      <c r="G32" s="16">
        <f>SUM(C32)</f>
        <v>2633000</v>
      </c>
      <c r="H32" s="17"/>
      <c r="I32" s="16"/>
      <c r="J32" s="17"/>
      <c r="L32" s="52"/>
    </row>
    <row r="33" spans="1:18" s="1" customFormat="1" ht="15.75" x14ac:dyDescent="0.25">
      <c r="A33" s="76">
        <v>5400</v>
      </c>
      <c r="B33" s="80" t="s">
        <v>58</v>
      </c>
      <c r="C33" s="77">
        <v>279000</v>
      </c>
      <c r="D33" s="38"/>
      <c r="E33" s="81"/>
      <c r="F33" s="38"/>
      <c r="G33" s="16">
        <f>C33+E33-F33</f>
        <v>279000</v>
      </c>
      <c r="H33" s="17"/>
      <c r="I33" s="16"/>
      <c r="J33" s="17"/>
    </row>
    <row r="34" spans="1:18" s="1" customFormat="1" ht="15.75" x14ac:dyDescent="0.25">
      <c r="A34" s="76">
        <v>5420</v>
      </c>
      <c r="B34" s="80" t="s">
        <v>59</v>
      </c>
      <c r="C34" s="77">
        <v>49000</v>
      </c>
      <c r="D34" s="38"/>
      <c r="E34" s="81"/>
      <c r="F34" s="38"/>
      <c r="G34" s="16">
        <f t="shared" ref="G34:G40" si="1">C34+E34-F34</f>
        <v>49000</v>
      </c>
      <c r="H34" s="17"/>
      <c r="I34" s="16"/>
      <c r="J34" s="17"/>
    </row>
    <row r="35" spans="1:18" s="1" customFormat="1" ht="15.75" x14ac:dyDescent="0.25">
      <c r="A35" s="76">
        <v>6010</v>
      </c>
      <c r="B35" s="80" t="s">
        <v>11</v>
      </c>
      <c r="C35" s="77"/>
      <c r="D35" s="38"/>
      <c r="E35" s="81">
        <f>F5+30600+60000</f>
        <v>190600</v>
      </c>
      <c r="F35" s="38"/>
      <c r="G35" s="16">
        <f t="shared" si="1"/>
        <v>190600</v>
      </c>
      <c r="H35" s="17"/>
      <c r="I35" s="16"/>
      <c r="J35" s="17"/>
    </row>
    <row r="36" spans="1:18" s="1" customFormat="1" ht="15.75" x14ac:dyDescent="0.25">
      <c r="A36" s="76">
        <v>6050</v>
      </c>
      <c r="B36" s="80" t="s">
        <v>153</v>
      </c>
      <c r="C36" s="77"/>
      <c r="D36" s="38"/>
      <c r="E36" s="81">
        <v>40000</v>
      </c>
      <c r="F36" s="38"/>
      <c r="G36" s="16">
        <f t="shared" si="1"/>
        <v>40000</v>
      </c>
      <c r="H36" s="17"/>
      <c r="I36" s="16"/>
      <c r="J36" s="17"/>
    </row>
    <row r="37" spans="1:18" s="1" customFormat="1" ht="15.75" x14ac:dyDescent="0.25">
      <c r="A37" s="76">
        <v>6390</v>
      </c>
      <c r="B37" s="80" t="s">
        <v>60</v>
      </c>
      <c r="C37" s="77">
        <v>141260</v>
      </c>
      <c r="D37" s="38"/>
      <c r="E37" s="81"/>
      <c r="F37" s="38">
        <f>E13</f>
        <v>10500</v>
      </c>
      <c r="G37" s="16">
        <f t="shared" si="1"/>
        <v>130760</v>
      </c>
      <c r="H37" s="17"/>
      <c r="I37" s="16"/>
      <c r="J37" s="17"/>
    </row>
    <row r="38" spans="1:18" s="1" customFormat="1" ht="15.75" x14ac:dyDescent="0.25">
      <c r="A38" s="76">
        <v>7790</v>
      </c>
      <c r="B38" s="80" t="s">
        <v>61</v>
      </c>
      <c r="C38" s="77">
        <v>288820</v>
      </c>
      <c r="D38" s="38"/>
      <c r="E38" s="81"/>
      <c r="F38" s="38"/>
      <c r="G38" s="16">
        <f t="shared" si="1"/>
        <v>288820</v>
      </c>
      <c r="H38" s="17"/>
      <c r="I38" s="16"/>
      <c r="J38" s="17"/>
    </row>
    <row r="39" spans="1:18" s="1" customFormat="1" ht="15.75" x14ac:dyDescent="0.25">
      <c r="A39" s="76">
        <v>7800</v>
      </c>
      <c r="B39" s="80" t="s">
        <v>15</v>
      </c>
      <c r="C39" s="77"/>
      <c r="D39" s="38"/>
      <c r="E39" s="81">
        <v>26000</v>
      </c>
      <c r="F39" s="38">
        <f>E7</f>
        <v>15000</v>
      </c>
      <c r="G39" s="16">
        <f t="shared" si="1"/>
        <v>11000</v>
      </c>
      <c r="H39" s="17"/>
      <c r="I39" s="16"/>
      <c r="J39" s="17"/>
    </row>
    <row r="40" spans="1:18" s="1" customFormat="1" ht="15.75" x14ac:dyDescent="0.25">
      <c r="A40" s="76">
        <v>7830</v>
      </c>
      <c r="B40" s="80" t="s">
        <v>21</v>
      </c>
      <c r="C40" s="77">
        <v>17500</v>
      </c>
      <c r="D40" s="38"/>
      <c r="E40" s="14">
        <v>17000</v>
      </c>
      <c r="F40" s="38"/>
      <c r="G40" s="16">
        <f t="shared" si="1"/>
        <v>34500</v>
      </c>
      <c r="H40" s="17"/>
      <c r="I40" s="16"/>
      <c r="J40" s="17"/>
    </row>
    <row r="41" spans="1:18" s="1" customFormat="1" ht="15.75" x14ac:dyDescent="0.25">
      <c r="A41" s="76">
        <v>8050</v>
      </c>
      <c r="B41" s="80" t="s">
        <v>62</v>
      </c>
      <c r="C41" s="77"/>
      <c r="D41" s="38">
        <v>1000</v>
      </c>
      <c r="E41" s="14"/>
      <c r="F41" s="38"/>
      <c r="G41" s="16"/>
      <c r="H41" s="17">
        <f>SUM(D41)</f>
        <v>1000</v>
      </c>
      <c r="I41" s="16"/>
      <c r="J41" s="17"/>
    </row>
    <row r="42" spans="1:18" s="1" customFormat="1" ht="15.75" x14ac:dyDescent="0.25">
      <c r="A42" s="76">
        <v>8100</v>
      </c>
      <c r="B42" s="80" t="s">
        <v>63</v>
      </c>
      <c r="C42" s="77"/>
      <c r="D42" s="38"/>
      <c r="E42" s="14"/>
      <c r="F42" s="38"/>
      <c r="G42" s="16">
        <f>SUM(E42)</f>
        <v>0</v>
      </c>
      <c r="H42" s="17"/>
      <c r="I42" s="16"/>
      <c r="J42" s="17"/>
    </row>
    <row r="43" spans="1:18" s="1" customFormat="1" ht="15.75" x14ac:dyDescent="0.25">
      <c r="A43" s="76">
        <v>8150</v>
      </c>
      <c r="B43" s="82" t="s">
        <v>31</v>
      </c>
      <c r="C43" s="14">
        <v>57500</v>
      </c>
      <c r="D43" s="38"/>
      <c r="E43" s="14"/>
      <c r="F43" s="38"/>
      <c r="G43" s="16">
        <f>SUM(C43:E43)</f>
        <v>57500</v>
      </c>
      <c r="H43" s="17"/>
      <c r="I43" s="16"/>
      <c r="J43" s="17"/>
    </row>
    <row r="44" spans="1:18" s="1" customFormat="1" ht="15.75" x14ac:dyDescent="0.25">
      <c r="A44" s="76">
        <v>8300</v>
      </c>
      <c r="B44" s="82" t="s">
        <v>51</v>
      </c>
      <c r="C44" s="14"/>
      <c r="D44" s="38"/>
      <c r="E44" s="83">
        <f>F21</f>
        <v>98750</v>
      </c>
      <c r="F44" s="84"/>
      <c r="G44" s="83">
        <f>E44</f>
        <v>98750</v>
      </c>
      <c r="H44" s="84"/>
      <c r="I44" s="83"/>
      <c r="J44" s="136"/>
    </row>
    <row r="45" spans="1:18" s="1" customFormat="1" ht="15.75" x14ac:dyDescent="0.25">
      <c r="A45" s="85">
        <v>8320</v>
      </c>
      <c r="B45" s="86" t="s">
        <v>64</v>
      </c>
      <c r="C45" s="35"/>
      <c r="D45" s="39"/>
      <c r="E45" s="87"/>
      <c r="F45" s="88">
        <f>E17</f>
        <v>15000</v>
      </c>
      <c r="G45" s="87"/>
      <c r="H45" s="88">
        <v>15000</v>
      </c>
      <c r="I45" s="87"/>
      <c r="J45" s="137"/>
    </row>
    <row r="46" spans="1:18" s="1" customFormat="1" ht="15.75" x14ac:dyDescent="0.25">
      <c r="A46" s="34">
        <v>8800</v>
      </c>
      <c r="B46" s="89" t="s">
        <v>35</v>
      </c>
      <c r="C46" s="23"/>
      <c r="D46" s="24"/>
      <c r="E46" s="90">
        <f>-SUM(G30:G45)+H29+H41+H45</f>
        <v>291270</v>
      </c>
      <c r="F46" s="91"/>
      <c r="G46" s="90">
        <f>E46</f>
        <v>291270</v>
      </c>
      <c r="H46" s="91"/>
      <c r="I46" s="90"/>
      <c r="J46" s="138"/>
      <c r="M46" s="52"/>
      <c r="N46" s="52"/>
      <c r="O46" s="52"/>
      <c r="P46" s="52"/>
      <c r="Q46" s="52"/>
      <c r="R46" s="52"/>
    </row>
    <row r="47" spans="1:18" s="50" customFormat="1" ht="20.25" x14ac:dyDescent="0.3">
      <c r="A47" s="92"/>
      <c r="B47" s="93"/>
      <c r="C47" s="94">
        <f t="shared" ref="C47:J47" si="2">SUM(C5:C46)</f>
        <v>12575280</v>
      </c>
      <c r="D47" s="95">
        <f t="shared" si="2"/>
        <v>12575280</v>
      </c>
      <c r="E47" s="94">
        <f t="shared" si="2"/>
        <v>780120</v>
      </c>
      <c r="F47" s="95">
        <f t="shared" si="2"/>
        <v>780120</v>
      </c>
      <c r="G47" s="94">
        <f t="shared" si="2"/>
        <v>9161000</v>
      </c>
      <c r="H47" s="95">
        <f t="shared" si="2"/>
        <v>9161000</v>
      </c>
      <c r="I47" s="94">
        <f t="shared" si="2"/>
        <v>3806300</v>
      </c>
      <c r="J47" s="95">
        <f t="shared" si="2"/>
        <v>3806300</v>
      </c>
      <c r="K47" s="1"/>
      <c r="L47" s="1"/>
      <c r="M47" s="52"/>
      <c r="N47" s="52"/>
      <c r="O47" s="52"/>
      <c r="P47" s="52"/>
      <c r="Q47" s="52"/>
      <c r="R47" s="52"/>
    </row>
    <row r="48" spans="1:18" x14ac:dyDescent="0.25">
      <c r="A48" s="96"/>
      <c r="B48" s="97"/>
      <c r="C48" s="98"/>
      <c r="D48" s="98"/>
    </row>
    <row r="49" spans="1:10" x14ac:dyDescent="0.25">
      <c r="A49" s="96"/>
      <c r="B49" s="97"/>
      <c r="C49" s="98"/>
      <c r="D49" s="98"/>
    </row>
    <row r="50" spans="1:10" x14ac:dyDescent="0.25">
      <c r="A50" s="141" t="s">
        <v>16</v>
      </c>
      <c r="B50" s="97" t="s">
        <v>163</v>
      </c>
      <c r="C50" s="98"/>
      <c r="D50" s="98">
        <f>G44</f>
        <v>98750</v>
      </c>
    </row>
    <row r="51" spans="1:10" x14ac:dyDescent="0.25">
      <c r="A51" s="143" t="s">
        <v>67</v>
      </c>
      <c r="B51" s="97" t="s">
        <v>164</v>
      </c>
      <c r="C51" s="98"/>
      <c r="D51" s="98">
        <f>H45</f>
        <v>15000</v>
      </c>
    </row>
    <row r="52" spans="1:10" s="50" customFormat="1" ht="20.25" x14ac:dyDescent="0.3">
      <c r="A52" s="144" t="s">
        <v>68</v>
      </c>
      <c r="B52" s="97" t="s">
        <v>119</v>
      </c>
      <c r="C52" s="98"/>
      <c r="D52" s="142">
        <f>D50-D51</f>
        <v>83750</v>
      </c>
      <c r="E52" s="52"/>
      <c r="F52" s="52"/>
      <c r="G52" s="52"/>
      <c r="H52" s="52"/>
      <c r="I52" s="52"/>
      <c r="J52" s="52"/>
    </row>
    <row r="53" spans="1:10" x14ac:dyDescent="0.25">
      <c r="A53" s="96"/>
      <c r="B53" s="97"/>
      <c r="C53" s="98"/>
      <c r="D53" s="98"/>
    </row>
    <row r="54" spans="1:10" x14ac:dyDescent="0.25">
      <c r="A54" s="141" t="s">
        <v>9</v>
      </c>
      <c r="B54" s="97" t="s">
        <v>158</v>
      </c>
      <c r="C54" s="98"/>
      <c r="D54" s="98"/>
    </row>
    <row r="55" spans="1:10" x14ac:dyDescent="0.25">
      <c r="A55" s="141"/>
      <c r="B55" s="97" t="s">
        <v>159</v>
      </c>
      <c r="C55" s="98"/>
      <c r="D55" s="98"/>
    </row>
    <row r="56" spans="1:10" x14ac:dyDescent="0.25">
      <c r="A56" s="141"/>
      <c r="B56" s="97" t="s">
        <v>160</v>
      </c>
      <c r="C56" s="98"/>
      <c r="D56" s="98"/>
    </row>
    <row r="57" spans="1:10" x14ac:dyDescent="0.25">
      <c r="A57" s="141"/>
      <c r="B57" s="97"/>
      <c r="C57" s="98"/>
      <c r="D57" s="98"/>
    </row>
    <row r="58" spans="1:10" x14ac:dyDescent="0.25">
      <c r="A58" s="141"/>
      <c r="B58" s="97"/>
      <c r="C58" s="154" t="s">
        <v>161</v>
      </c>
      <c r="D58" s="154"/>
    </row>
    <row r="59" spans="1:10" x14ac:dyDescent="0.25">
      <c r="A59" s="141"/>
      <c r="B59" s="97"/>
      <c r="C59" s="98">
        <v>19750</v>
      </c>
      <c r="D59" s="140" t="s">
        <v>162</v>
      </c>
    </row>
    <row r="60" spans="1:10" x14ac:dyDescent="0.25">
      <c r="A60" s="141"/>
      <c r="B60" s="97"/>
      <c r="C60" s="98"/>
      <c r="D60" s="139"/>
    </row>
    <row r="61" spans="1:10" x14ac:dyDescent="0.25">
      <c r="A61" s="141"/>
      <c r="B61" s="97" t="s">
        <v>195</v>
      </c>
      <c r="C61" s="98"/>
      <c r="D61" s="98"/>
    </row>
    <row r="62" spans="1:10" x14ac:dyDescent="0.25">
      <c r="A62" s="141"/>
      <c r="B62" s="97"/>
      <c r="C62" s="98"/>
      <c r="D62" s="98"/>
    </row>
    <row r="63" spans="1:10" x14ac:dyDescent="0.25">
      <c r="A63" s="141" t="s">
        <v>123</v>
      </c>
      <c r="B63" s="97" t="s">
        <v>165</v>
      </c>
      <c r="C63" s="98">
        <f>I10</f>
        <v>735000</v>
      </c>
      <c r="D63" s="98"/>
    </row>
    <row r="64" spans="1:10" x14ac:dyDescent="0.25">
      <c r="A64" s="143" t="s">
        <v>67</v>
      </c>
      <c r="B64" s="97" t="s">
        <v>201</v>
      </c>
      <c r="C64" s="98">
        <f>850000-140000</f>
        <v>710000</v>
      </c>
      <c r="D64" s="98" t="s">
        <v>166</v>
      </c>
    </row>
    <row r="65" spans="1:11" s="51" customFormat="1" ht="18.75" x14ac:dyDescent="0.3">
      <c r="A65" s="144" t="s">
        <v>68</v>
      </c>
      <c r="B65" s="97" t="s">
        <v>167</v>
      </c>
      <c r="C65" s="142">
        <f>C63-C64</f>
        <v>25000</v>
      </c>
      <c r="D65" s="98"/>
      <c r="E65" s="52"/>
      <c r="F65" s="52"/>
      <c r="G65" s="52"/>
      <c r="H65" s="52"/>
      <c r="I65" s="52"/>
      <c r="J65" s="52"/>
      <c r="K65" s="52"/>
    </row>
    <row r="66" spans="1:11" x14ac:dyDescent="0.25">
      <c r="B66" s="97"/>
      <c r="C66" s="98"/>
      <c r="D66" s="98"/>
    </row>
    <row r="67" spans="1:11" x14ac:dyDescent="0.25">
      <c r="A67" s="141" t="s">
        <v>130</v>
      </c>
      <c r="B67" s="97" t="s">
        <v>168</v>
      </c>
      <c r="C67" s="98"/>
      <c r="D67" s="98">
        <f>100000*0.12*9/12</f>
        <v>9000</v>
      </c>
    </row>
    <row r="68" spans="1:11" x14ac:dyDescent="0.25">
      <c r="A68" s="141"/>
      <c r="B68" s="97" t="s">
        <v>169</v>
      </c>
      <c r="C68" s="98"/>
      <c r="D68" s="98">
        <v>26000</v>
      </c>
    </row>
    <row r="69" spans="1:11" s="51" customFormat="1" ht="18.75" x14ac:dyDescent="0.3">
      <c r="A69" s="141"/>
      <c r="B69" s="97" t="s">
        <v>170</v>
      </c>
      <c r="C69" s="98"/>
      <c r="D69" s="142">
        <f>SUM(D67:D68)</f>
        <v>35000</v>
      </c>
      <c r="E69" s="52"/>
      <c r="F69" s="52"/>
      <c r="G69" s="52"/>
      <c r="H69" s="52"/>
      <c r="I69" s="52"/>
      <c r="J69" s="52"/>
      <c r="K69" s="52"/>
    </row>
    <row r="70" spans="1:11" x14ac:dyDescent="0.25">
      <c r="A70" s="145"/>
      <c r="B70" s="97"/>
      <c r="C70" s="98"/>
      <c r="D70" s="98"/>
    </row>
    <row r="71" spans="1:11" x14ac:dyDescent="0.25">
      <c r="A71" s="145" t="s">
        <v>134</v>
      </c>
      <c r="B71" s="97" t="s">
        <v>171</v>
      </c>
      <c r="C71" s="98"/>
      <c r="D71" s="98"/>
    </row>
    <row r="72" spans="1:11" x14ac:dyDescent="0.25">
      <c r="A72" s="145"/>
      <c r="B72" s="97" t="s">
        <v>172</v>
      </c>
      <c r="C72" s="98"/>
      <c r="D72" s="98"/>
    </row>
    <row r="73" spans="1:11" x14ac:dyDescent="0.25">
      <c r="A73" s="145"/>
      <c r="B73" s="97" t="s">
        <v>173</v>
      </c>
      <c r="C73" s="98"/>
      <c r="D73" s="98"/>
    </row>
    <row r="74" spans="1:11" x14ac:dyDescent="0.25">
      <c r="A74" s="145"/>
      <c r="B74" s="97"/>
      <c r="C74" s="98"/>
      <c r="D74" s="98"/>
    </row>
    <row r="75" spans="1:11" x14ac:dyDescent="0.25">
      <c r="A75" s="145" t="s">
        <v>137</v>
      </c>
      <c r="B75" s="97" t="s">
        <v>196</v>
      </c>
      <c r="C75" s="98"/>
      <c r="D75" s="98"/>
    </row>
    <row r="76" spans="1:11" x14ac:dyDescent="0.25">
      <c r="A76" s="145"/>
      <c r="B76" s="97" t="s">
        <v>174</v>
      </c>
      <c r="C76" s="98"/>
      <c r="D76" s="98"/>
    </row>
    <row r="77" spans="1:11" x14ac:dyDescent="0.25">
      <c r="A77" s="145"/>
      <c r="B77" s="97"/>
      <c r="C77" s="98"/>
      <c r="D77" s="98"/>
    </row>
    <row r="78" spans="1:11" x14ac:dyDescent="0.25">
      <c r="A78" s="145" t="s">
        <v>139</v>
      </c>
      <c r="B78" s="97" t="s">
        <v>175</v>
      </c>
      <c r="C78" s="98"/>
      <c r="D78" s="98"/>
    </row>
    <row r="79" spans="1:11" x14ac:dyDescent="0.25">
      <c r="A79" s="145"/>
      <c r="B79" s="97" t="s">
        <v>176</v>
      </c>
      <c r="C79" s="98"/>
      <c r="D79" s="98"/>
    </row>
    <row r="80" spans="1:11" x14ac:dyDescent="0.25">
      <c r="A80" s="145"/>
      <c r="B80" s="97" t="s">
        <v>177</v>
      </c>
      <c r="C80" s="98"/>
      <c r="D80" s="98"/>
    </row>
    <row r="81" spans="1:11" x14ac:dyDescent="0.25">
      <c r="A81" s="145"/>
      <c r="B81" s="97"/>
      <c r="C81" s="98"/>
      <c r="D81" s="98"/>
    </row>
    <row r="82" spans="1:11" x14ac:dyDescent="0.25">
      <c r="A82" s="145" t="s">
        <v>143</v>
      </c>
      <c r="B82" s="97" t="s">
        <v>178</v>
      </c>
      <c r="C82" s="98"/>
      <c r="D82" s="98"/>
    </row>
    <row r="83" spans="1:11" x14ac:dyDescent="0.25">
      <c r="A83" s="145"/>
      <c r="B83" s="97" t="s">
        <v>179</v>
      </c>
      <c r="C83" s="98"/>
      <c r="D83" s="98"/>
    </row>
    <row r="84" spans="1:11" x14ac:dyDescent="0.25">
      <c r="A84" s="145"/>
      <c r="B84" s="97"/>
      <c r="C84" s="98"/>
      <c r="D84" s="98"/>
    </row>
    <row r="85" spans="1:11" x14ac:dyDescent="0.25">
      <c r="A85" s="145" t="s">
        <v>147</v>
      </c>
      <c r="B85" s="97" t="s">
        <v>180</v>
      </c>
      <c r="C85" s="98"/>
      <c r="D85" s="98"/>
    </row>
    <row r="86" spans="1:11" x14ac:dyDescent="0.25">
      <c r="A86" s="145"/>
      <c r="B86" s="97"/>
      <c r="C86" s="98"/>
      <c r="D86" s="98"/>
    </row>
    <row r="87" spans="1:11" x14ac:dyDescent="0.25">
      <c r="A87" s="145" t="s">
        <v>149</v>
      </c>
      <c r="B87" s="97" t="s">
        <v>154</v>
      </c>
      <c r="C87" s="98">
        <f>H29</f>
        <v>9145000</v>
      </c>
      <c r="D87" s="98"/>
    </row>
    <row r="88" spans="1:11" x14ac:dyDescent="0.25">
      <c r="A88" s="143" t="s">
        <v>67</v>
      </c>
      <c r="B88" s="97" t="s">
        <v>155</v>
      </c>
      <c r="C88" s="98">
        <f>G31</f>
        <v>5056800</v>
      </c>
      <c r="D88" s="98"/>
    </row>
    <row r="89" spans="1:11" s="51" customFormat="1" ht="18.75" x14ac:dyDescent="0.3">
      <c r="A89" s="144" t="s">
        <v>68</v>
      </c>
      <c r="B89" s="97" t="s">
        <v>197</v>
      </c>
      <c r="C89" s="142">
        <f>C87-C88</f>
        <v>4088200</v>
      </c>
      <c r="D89" s="98"/>
      <c r="E89" s="52"/>
      <c r="F89" s="52"/>
      <c r="G89" s="52"/>
      <c r="H89" s="52"/>
      <c r="I89" s="52"/>
      <c r="J89" s="52"/>
      <c r="K89" s="52"/>
    </row>
    <row r="90" spans="1:11" x14ac:dyDescent="0.25">
      <c r="A90" s="96"/>
      <c r="B90" s="97"/>
      <c r="C90" s="98"/>
      <c r="D90" s="98"/>
    </row>
    <row r="91" spans="1:11" x14ac:dyDescent="0.25">
      <c r="A91" s="96"/>
      <c r="B91" s="97" t="s">
        <v>181</v>
      </c>
      <c r="C91" s="98"/>
      <c r="D91" s="98"/>
      <c r="E91" s="146">
        <f>C89/C87</f>
        <v>0.44704209950792784</v>
      </c>
    </row>
    <row r="92" spans="1:11" x14ac:dyDescent="0.25">
      <c r="A92" s="141"/>
      <c r="B92" s="97"/>
      <c r="C92" s="98"/>
      <c r="D92" s="98"/>
    </row>
    <row r="93" spans="1:11" x14ac:dyDescent="0.25">
      <c r="A93" s="141" t="s">
        <v>182</v>
      </c>
      <c r="B93" s="97" t="s">
        <v>183</v>
      </c>
      <c r="C93" s="98"/>
      <c r="D93" s="98"/>
    </row>
    <row r="94" spans="1:11" x14ac:dyDescent="0.25">
      <c r="A94" s="141"/>
      <c r="B94" s="97" t="s">
        <v>198</v>
      </c>
      <c r="C94" s="98"/>
      <c r="D94" s="98"/>
    </row>
    <row r="95" spans="1:11" x14ac:dyDescent="0.25">
      <c r="A95" s="141"/>
      <c r="B95" s="97" t="s">
        <v>184</v>
      </c>
      <c r="C95" s="98"/>
      <c r="D95" s="98"/>
    </row>
    <row r="96" spans="1:11" x14ac:dyDescent="0.25">
      <c r="A96" s="141"/>
      <c r="B96" s="97" t="s">
        <v>185</v>
      </c>
      <c r="C96" s="98"/>
      <c r="D96" s="98"/>
    </row>
    <row r="97" spans="1:4" x14ac:dyDescent="0.25">
      <c r="A97" s="141"/>
      <c r="B97" s="97" t="s">
        <v>186</v>
      </c>
      <c r="C97" s="98"/>
      <c r="D97" s="98"/>
    </row>
    <row r="98" spans="1:4" x14ac:dyDescent="0.25">
      <c r="A98" s="141"/>
      <c r="B98" s="97"/>
      <c r="C98" s="98"/>
      <c r="D98" s="98"/>
    </row>
    <row r="99" spans="1:4" x14ac:dyDescent="0.25">
      <c r="A99" s="141" t="s">
        <v>187</v>
      </c>
      <c r="B99" s="97" t="s">
        <v>188</v>
      </c>
      <c r="C99" s="98"/>
      <c r="D99" s="98"/>
    </row>
    <row r="100" spans="1:4" x14ac:dyDescent="0.25">
      <c r="A100" s="96"/>
      <c r="B100" s="97"/>
      <c r="C100" s="98"/>
      <c r="D100" s="98"/>
    </row>
    <row r="101" spans="1:4" x14ac:dyDescent="0.25">
      <c r="A101" s="141" t="s">
        <v>199</v>
      </c>
      <c r="B101" s="97" t="s">
        <v>200</v>
      </c>
      <c r="C101" s="98"/>
      <c r="D101" s="98"/>
    </row>
    <row r="102" spans="1:4" x14ac:dyDescent="0.25">
      <c r="A102" s="96"/>
      <c r="B102" s="97"/>
      <c r="C102" s="98"/>
      <c r="D102" s="98"/>
    </row>
  </sheetData>
  <mergeCells count="5">
    <mergeCell ref="C3:D3"/>
    <mergeCell ref="E3:F3"/>
    <mergeCell ref="G3:H3"/>
    <mergeCell ref="I3:J3"/>
    <mergeCell ref="C58:D58"/>
  </mergeCells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>
    <oddHeader>&amp;COppgave 13.25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Oppgave 13.18</vt:lpstr>
      <vt:lpstr>Oppgave 13.19</vt:lpstr>
      <vt:lpstr>Oppgave 13.21 og 13.22</vt:lpstr>
      <vt:lpstr>Oppgave 13.24</vt:lpstr>
      <vt:lpstr>Oppgave 13.25</vt:lpstr>
      <vt:lpstr>'Oppgave 13.25'!Utskriftsområde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2020-04-05T12:22:14Z</cp:lastPrinted>
  <dcterms:created xsi:type="dcterms:W3CDTF">1997-01-16T18:32:43Z</dcterms:created>
  <dcterms:modified xsi:type="dcterms:W3CDTF">2020-08-02T12:28:29Z</dcterms:modified>
</cp:coreProperties>
</file>