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13_ncr:1_{59426793-8FDC-4350-B8FD-5036417DBB1A}" xr6:coauthVersionLast="47" xr6:coauthVersionMax="47" xr10:uidLastSave="{00000000-0000-0000-0000-000000000000}"/>
  <bookViews>
    <workbookView xWindow="-120" yWindow="-120" windowWidth="38640" windowHeight="21120" firstSheet="2" activeTab="13" xr2:uid="{00000000-000D-0000-FFFF-FFFF00000000}"/>
  </bookViews>
  <sheets>
    <sheet name="Oppgave 3.1" sheetId="12" r:id="rId1"/>
    <sheet name="Oppgave 3.2" sheetId="14" r:id="rId2"/>
    <sheet name="Oppgave 3.3" sheetId="13" r:id="rId3"/>
    <sheet name="Oppgave 3.4" sheetId="16" r:id="rId4"/>
    <sheet name="Oppgave 3.5" sheetId="15" r:id="rId5"/>
    <sheet name="Oppgave 3.6" sheetId="17" r:id="rId6"/>
    <sheet name="Oppgave 3.7" sheetId="18" r:id="rId7"/>
    <sheet name="Oppgave 3.8" sheetId="19" r:id="rId8"/>
    <sheet name="Oppgave 3.9" sheetId="20" r:id="rId9"/>
    <sheet name="Oppgave 3.10" sheetId="22" r:id="rId10"/>
    <sheet name="Oppgave 3.11" sheetId="21" r:id="rId11"/>
    <sheet name="Oppgave 3.12" sheetId="11" r:id="rId12"/>
    <sheet name="Oppgave 3.13" sheetId="23" r:id="rId13"/>
    <sheet name="Oppave 3.14" sheetId="2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3" i="24" l="1"/>
  <c r="C134" i="24" s="1"/>
  <c r="C117" i="24"/>
  <c r="C122" i="24" s="1"/>
  <c r="C115" i="24"/>
  <c r="C119" i="24" s="1"/>
  <c r="C110" i="24"/>
  <c r="D109" i="24"/>
  <c r="C109" i="24"/>
  <c r="C101" i="24"/>
  <c r="D111" i="24" s="1"/>
  <c r="C99" i="24"/>
  <c r="D110" i="24" s="1"/>
  <c r="C95" i="24"/>
  <c r="C92" i="24"/>
  <c r="D86" i="24"/>
  <c r="D85" i="24"/>
  <c r="D84" i="24"/>
  <c r="D83" i="24"/>
  <c r="D82" i="24"/>
  <c r="C76" i="24"/>
  <c r="C75" i="24"/>
  <c r="C63" i="24"/>
  <c r="C64" i="24" s="1"/>
  <c r="C57" i="24"/>
  <c r="C49" i="24"/>
  <c r="C50" i="24" s="1"/>
  <c r="C47" i="24"/>
  <c r="C46" i="24"/>
  <c r="E34" i="24"/>
  <c r="F34" i="24" s="1"/>
  <c r="C31" i="24"/>
  <c r="C29" i="24"/>
  <c r="C30" i="24" s="1"/>
  <c r="C22" i="24"/>
  <c r="C21" i="24"/>
  <c r="C19" i="24"/>
  <c r="C20" i="24" s="1"/>
  <c r="C12" i="24"/>
  <c r="C6" i="24"/>
  <c r="B8" i="23"/>
  <c r="G8" i="23" s="1"/>
  <c r="K4" i="23"/>
  <c r="K5" i="23" s="1"/>
  <c r="J4" i="23"/>
  <c r="J5" i="23" s="1"/>
  <c r="I4" i="23"/>
  <c r="I5" i="23" s="1"/>
  <c r="H4" i="23"/>
  <c r="H5" i="23" s="1"/>
  <c r="G4" i="23"/>
  <c r="G5" i="23" s="1"/>
  <c r="F4" i="23"/>
  <c r="E4" i="23"/>
  <c r="D4" i="23"/>
  <c r="C4" i="23"/>
  <c r="B4" i="23"/>
  <c r="B5" i="11"/>
  <c r="B5" i="21"/>
  <c r="B4" i="22"/>
  <c r="D8" i="20"/>
  <c r="D9" i="20" s="1"/>
  <c r="C8" i="20"/>
  <c r="D7" i="20"/>
  <c r="C7" i="20"/>
  <c r="D6" i="20"/>
  <c r="C6" i="20"/>
  <c r="B8" i="20"/>
  <c r="E8" i="19"/>
  <c r="E9" i="19" s="1"/>
  <c r="E7" i="19"/>
  <c r="E6" i="19"/>
  <c r="D7" i="19"/>
  <c r="D8" i="19"/>
  <c r="D9" i="19"/>
  <c r="D6" i="19"/>
  <c r="C7" i="19"/>
  <c r="C8" i="19"/>
  <c r="C9" i="19"/>
  <c r="C6" i="19"/>
  <c r="B8" i="19"/>
  <c r="B9" i="19"/>
  <c r="B7" i="19"/>
  <c r="B6" i="19"/>
  <c r="B11" i="18"/>
  <c r="B7" i="18"/>
  <c r="B6" i="18"/>
  <c r="B3" i="18"/>
  <c r="C8" i="17"/>
  <c r="B8" i="17"/>
  <c r="C6" i="15"/>
  <c r="D6" i="15"/>
  <c r="B6" i="15"/>
  <c r="B4" i="16"/>
  <c r="B5" i="13"/>
  <c r="B7" i="13" s="1"/>
  <c r="B3" i="13"/>
  <c r="B5" i="14"/>
  <c r="B5" i="12"/>
  <c r="G34" i="24" l="1"/>
  <c r="C38" i="24"/>
  <c r="D123" i="24"/>
  <c r="D122" i="24"/>
  <c r="E122" i="24" s="1"/>
  <c r="E123" i="24" s="1"/>
  <c r="D127" i="24"/>
  <c r="D126" i="24"/>
  <c r="D124" i="24"/>
  <c r="D125" i="24"/>
  <c r="C106" i="24"/>
  <c r="D106" i="24"/>
  <c r="E106" i="24" s="1"/>
  <c r="C65" i="24"/>
  <c r="C68" i="24" s="1"/>
  <c r="C103" i="24"/>
  <c r="C107" i="24"/>
  <c r="D107" i="24"/>
  <c r="C111" i="24"/>
  <c r="C108" i="24"/>
  <c r="D108" i="24"/>
  <c r="G7" i="23"/>
  <c r="G9" i="23" s="1"/>
  <c r="B5" i="23"/>
  <c r="C9" i="20"/>
  <c r="B7" i="20"/>
  <c r="B9" i="20"/>
  <c r="E124" i="24" l="1"/>
  <c r="E125" i="24" s="1"/>
  <c r="E126" i="24" s="1"/>
  <c r="E127" i="24" s="1"/>
  <c r="E107" i="24"/>
  <c r="E108" i="24" s="1"/>
  <c r="E109" i="24" s="1"/>
  <c r="E110" i="24" s="1"/>
  <c r="E111" i="24" s="1"/>
  <c r="C123" i="24"/>
  <c r="C124" i="24" s="1"/>
  <c r="C125" i="24" s="1"/>
  <c r="C126" i="24" s="1"/>
  <c r="C127" i="24" s="1"/>
</calcChain>
</file>

<file path=xl/sharedStrings.xml><?xml version="1.0" encoding="utf-8"?>
<sst xmlns="http://schemas.openxmlformats.org/spreadsheetml/2006/main" count="186" uniqueCount="85">
  <si>
    <t>År</t>
  </si>
  <si>
    <t>Kontantstrøm</t>
  </si>
  <si>
    <t>Nåverdi</t>
  </si>
  <si>
    <t>Alternativ</t>
  </si>
  <si>
    <t>Beløp</t>
  </si>
  <si>
    <t>Rente</t>
  </si>
  <si>
    <t>Antall år</t>
  </si>
  <si>
    <t>Sluttverdi</t>
  </si>
  <si>
    <t>Legg inn det aktuelle antall år og sluttverdien beregnes automatisk</t>
  </si>
  <si>
    <t>Legg inn det aktuelle antall år og nåverdien beregnes automatisk</t>
  </si>
  <si>
    <t>Årsrente</t>
  </si>
  <si>
    <t>Havårsrente</t>
  </si>
  <si>
    <t>Antall halvår</t>
  </si>
  <si>
    <t>Legg inn den aktuelle renten i celle B2.</t>
  </si>
  <si>
    <t>Bruk målsøking i Excel</t>
  </si>
  <si>
    <t>DATA, HVA SKJER HVIS, MÅLSØKING</t>
  </si>
  <si>
    <t>Sett celle B4 til 10 000 ved å endre celle B3</t>
  </si>
  <si>
    <t>Antall beløp</t>
  </si>
  <si>
    <t>Årlig beløp</t>
  </si>
  <si>
    <t>Årlig avkastning</t>
  </si>
  <si>
    <t>Månedsrente</t>
  </si>
  <si>
    <t>Måneder</t>
  </si>
  <si>
    <t>Vekst</t>
  </si>
  <si>
    <t>NV endelig vekstrekke, eventuelt kan man tabulere opp</t>
  </si>
  <si>
    <t>Lån</t>
  </si>
  <si>
    <t>Løpetid</t>
  </si>
  <si>
    <t>Annuitet</t>
  </si>
  <si>
    <t>Avdrag</t>
  </si>
  <si>
    <t>Restgjeld</t>
  </si>
  <si>
    <t>Kurs</t>
  </si>
  <si>
    <t>Datteren er</t>
  </si>
  <si>
    <t>Levekostnader</t>
  </si>
  <si>
    <t>Arv</t>
  </si>
  <si>
    <t>Finansieringsbehov</t>
  </si>
  <si>
    <t>a)</t>
  </si>
  <si>
    <t>Beløp i dag</t>
  </si>
  <si>
    <t>b)</t>
  </si>
  <si>
    <t>Beløp om 4 år</t>
  </si>
  <si>
    <t>c)</t>
  </si>
  <si>
    <t>Sluttverdi alternativ beregning</t>
  </si>
  <si>
    <t>Sluttverdi alternativ beregning 2</t>
  </si>
  <si>
    <t>d)</t>
  </si>
  <si>
    <t>e)</t>
  </si>
  <si>
    <t>f)</t>
  </si>
  <si>
    <t>Internrente</t>
  </si>
  <si>
    <t>g)</t>
  </si>
  <si>
    <t>Nåverdi år 1 til 4</t>
  </si>
  <si>
    <t>Årlig beløp (nåverdiannuitet)</t>
  </si>
  <si>
    <t>h)</t>
  </si>
  <si>
    <t>Årlig rente</t>
  </si>
  <si>
    <t>i)</t>
  </si>
  <si>
    <t>Rente år 7</t>
  </si>
  <si>
    <t>Sum</t>
  </si>
  <si>
    <t>Mål</t>
  </si>
  <si>
    <t>Innskudd år 7</t>
  </si>
  <si>
    <t>Alternativ løsning</t>
  </si>
  <si>
    <t xml:space="preserve">Sluttverdi </t>
  </si>
  <si>
    <t>726 for mye dvs. siste innskudd</t>
  </si>
  <si>
    <t>j)</t>
  </si>
  <si>
    <t>Nominell rente</t>
  </si>
  <si>
    <t>Terminer år</t>
  </si>
  <si>
    <t>Effektiv årsrente</t>
  </si>
  <si>
    <t>Årlig betaling</t>
  </si>
  <si>
    <t>Halvårlig</t>
  </si>
  <si>
    <t>Kvartal</t>
  </si>
  <si>
    <t>Daglig</t>
  </si>
  <si>
    <t>Kontinuerlig</t>
  </si>
  <si>
    <t>kontinuerlig</t>
  </si>
  <si>
    <t>l)</t>
  </si>
  <si>
    <t>Innskudd</t>
  </si>
  <si>
    <t>Sett inn for år inntil sluttverdi 2</t>
  </si>
  <si>
    <t>Nøyaktig beregning</t>
  </si>
  <si>
    <t>m)</t>
  </si>
  <si>
    <t>Løpetid år</t>
  </si>
  <si>
    <t>Løpetid halvår</t>
  </si>
  <si>
    <t>Rente pr. år.</t>
  </si>
  <si>
    <t>Halvårsrente</t>
  </si>
  <si>
    <t>Halvårlig rente og avdrag</t>
  </si>
  <si>
    <t xml:space="preserve">Avdrag </t>
  </si>
  <si>
    <t>Halvårlig avdrag</t>
  </si>
  <si>
    <t>n)</t>
  </si>
  <si>
    <t>Pålydende</t>
  </si>
  <si>
    <t>Pris</t>
  </si>
  <si>
    <t>Avkastning totalt</t>
  </si>
  <si>
    <t>Årlig (tilnærmet)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</si>
</sst>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\ %"/>
    <numFmt numFmtId="167" formatCode="_-* #,##0_-;\-* #,##0_-;_-* &quot;-&quot;??_-;_-@_-"/>
    <numFmt numFmtId="168" formatCode="#,##0_ ;\-#,##0\ "/>
    <numFmt numFmtId="169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3" fontId="0" fillId="0" borderId="0" xfId="0" applyNumberFormat="1"/>
    <xf numFmtId="0" fontId="0" fillId="4" borderId="0" xfId="0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3" fontId="0" fillId="4" borderId="3" xfId="0" applyNumberFormat="1" applyFill="1" applyBorder="1"/>
    <xf numFmtId="9" fontId="0" fillId="4" borderId="4" xfId="0" applyNumberFormat="1" applyFill="1" applyBorder="1"/>
    <xf numFmtId="0" fontId="0" fillId="4" borderId="5" xfId="0" applyFill="1" applyBorder="1"/>
    <xf numFmtId="0" fontId="0" fillId="5" borderId="2" xfId="0" applyFill="1" applyBorder="1"/>
    <xf numFmtId="165" fontId="2" fillId="4" borderId="2" xfId="1" applyNumberFormat="1" applyFont="1" applyFill="1" applyBorder="1"/>
    <xf numFmtId="166" fontId="0" fillId="4" borderId="4" xfId="0" applyNumberFormat="1" applyFill="1" applyBorder="1"/>
    <xf numFmtId="166" fontId="2" fillId="4" borderId="4" xfId="0" applyNumberFormat="1" applyFont="1" applyFill="1" applyBorder="1"/>
    <xf numFmtId="0" fontId="0" fillId="4" borderId="4" xfId="0" applyFill="1" applyBorder="1"/>
    <xf numFmtId="0" fontId="2" fillId="4" borderId="5" xfId="0" applyFont="1" applyFill="1" applyBorder="1"/>
    <xf numFmtId="0" fontId="0" fillId="4" borderId="3" xfId="0" applyFill="1" applyBorder="1"/>
    <xf numFmtId="3" fontId="0" fillId="5" borderId="3" xfId="0" applyNumberFormat="1" applyFill="1" applyBorder="1"/>
    <xf numFmtId="9" fontId="0" fillId="5" borderId="4" xfId="0" applyNumberFormat="1" applyFill="1" applyBorder="1"/>
    <xf numFmtId="2" fontId="2" fillId="5" borderId="4" xfId="0" applyNumberFormat="1" applyFont="1" applyFill="1" applyBorder="1"/>
    <xf numFmtId="165" fontId="1" fillId="5" borderId="5" xfId="1" applyNumberFormat="1" applyFont="1" applyFill="1" applyBorder="1"/>
    <xf numFmtId="0" fontId="2" fillId="2" borderId="2" xfId="0" applyFont="1" applyFill="1" applyBorder="1"/>
    <xf numFmtId="0" fontId="0" fillId="0" borderId="4" xfId="0" applyBorder="1"/>
    <xf numFmtId="0" fontId="0" fillId="0" borderId="5" xfId="0" applyBorder="1"/>
    <xf numFmtId="9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9" fontId="0" fillId="0" borderId="8" xfId="0" applyNumberFormat="1" applyBorder="1"/>
    <xf numFmtId="0" fontId="2" fillId="2" borderId="2" xfId="0" applyFont="1" applyFill="1" applyBorder="1" applyAlignment="1">
      <alignment horizontal="center"/>
    </xf>
    <xf numFmtId="3" fontId="0" fillId="0" borderId="4" xfId="0" applyNumberFormat="1" applyBorder="1"/>
    <xf numFmtId="0" fontId="0" fillId="3" borderId="2" xfId="0" applyFill="1" applyBorder="1"/>
    <xf numFmtId="165" fontId="0" fillId="3" borderId="2" xfId="1" applyNumberFormat="1" applyFont="1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3" fontId="0" fillId="0" borderId="5" xfId="0" applyNumberFormat="1" applyBorder="1"/>
    <xf numFmtId="10" fontId="0" fillId="3" borderId="2" xfId="2" applyNumberFormat="1" applyFont="1" applyFill="1" applyBorder="1"/>
    <xf numFmtId="10" fontId="0" fillId="3" borderId="2" xfId="0" applyNumberForma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10" fontId="0" fillId="4" borderId="4" xfId="0" applyNumberFormat="1" applyFill="1" applyBorder="1"/>
    <xf numFmtId="10" fontId="0" fillId="4" borderId="4" xfId="2" applyNumberFormat="1" applyFont="1" applyFill="1" applyBorder="1"/>
    <xf numFmtId="165" fontId="2" fillId="4" borderId="4" xfId="1" applyNumberFormat="1" applyFont="1" applyFill="1" applyBorder="1"/>
    <xf numFmtId="165" fontId="2" fillId="4" borderId="5" xfId="1" applyNumberFormat="1" applyFont="1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3" fontId="0" fillId="3" borderId="3" xfId="0" applyNumberFormat="1" applyFill="1" applyBorder="1"/>
    <xf numFmtId="9" fontId="0" fillId="3" borderId="4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4" xfId="1" applyNumberFormat="1" applyFon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5" xfId="1" applyNumberFormat="1" applyFont="1" applyBorder="1"/>
    <xf numFmtId="9" fontId="0" fillId="4" borderId="5" xfId="0" applyNumberFormat="1" applyFill="1" applyBorder="1"/>
    <xf numFmtId="165" fontId="0" fillId="4" borderId="2" xfId="1" applyNumberFormat="1" applyFont="1" applyFill="1" applyBorder="1"/>
    <xf numFmtId="9" fontId="0" fillId="6" borderId="3" xfId="0" applyNumberFormat="1" applyFill="1" applyBorder="1"/>
    <xf numFmtId="165" fontId="0" fillId="6" borderId="5" xfId="1" applyNumberFormat="1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167" fontId="0" fillId="0" borderId="0" xfId="1" applyNumberFormat="1" applyFont="1"/>
    <xf numFmtId="0" fontId="0" fillId="0" borderId="0" xfId="0" applyBorder="1"/>
    <xf numFmtId="167" fontId="0" fillId="0" borderId="0" xfId="0" applyNumberFormat="1" applyBorder="1"/>
    <xf numFmtId="167" fontId="0" fillId="0" borderId="0" xfId="1" applyNumberFormat="1" applyFont="1" applyBorder="1"/>
    <xf numFmtId="167" fontId="0" fillId="0" borderId="0" xfId="0" applyNumberFormat="1"/>
    <xf numFmtId="0" fontId="0" fillId="6" borderId="0" xfId="0" applyFill="1" applyBorder="1"/>
    <xf numFmtId="167" fontId="0" fillId="6" borderId="0" xfId="0" applyNumberFormat="1" applyFill="1" applyBorder="1"/>
    <xf numFmtId="167" fontId="0" fillId="6" borderId="0" xfId="1" applyNumberFormat="1" applyFont="1" applyFill="1" applyBorder="1"/>
    <xf numFmtId="9" fontId="0" fillId="0" borderId="0" xfId="0" applyNumberFormat="1"/>
    <xf numFmtId="0" fontId="0" fillId="3" borderId="0" xfId="0" applyFill="1"/>
    <xf numFmtId="9" fontId="0" fillId="6" borderId="0" xfId="0" applyNumberFormat="1" applyFill="1"/>
    <xf numFmtId="0" fontId="0" fillId="5" borderId="0" xfId="0" applyFill="1"/>
    <xf numFmtId="2" fontId="0" fillId="3" borderId="0" xfId="0" applyNumberFormat="1" applyFill="1"/>
    <xf numFmtId="9" fontId="0" fillId="5" borderId="0" xfId="0" applyNumberFormat="1" applyFill="1"/>
    <xf numFmtId="164" fontId="0" fillId="3" borderId="0" xfId="1" applyFont="1" applyFill="1"/>
    <xf numFmtId="43" fontId="0" fillId="3" borderId="0" xfId="0" applyNumberFormat="1" applyFill="1"/>
    <xf numFmtId="4" fontId="0" fillId="0" borderId="0" xfId="0" applyNumberFormat="1"/>
    <xf numFmtId="10" fontId="0" fillId="3" borderId="0" xfId="0" applyNumberFormat="1" applyFill="1"/>
    <xf numFmtId="3" fontId="0" fillId="8" borderId="0" xfId="0" applyNumberFormat="1" applyFill="1"/>
    <xf numFmtId="0" fontId="0" fillId="8" borderId="0" xfId="0" applyFill="1"/>
    <xf numFmtId="10" fontId="0" fillId="5" borderId="0" xfId="2" applyNumberFormat="1" applyFont="1" applyFill="1"/>
    <xf numFmtId="167" fontId="0" fillId="3" borderId="4" xfId="1" applyNumberFormat="1" applyFont="1" applyFill="1" applyBorder="1"/>
    <xf numFmtId="167" fontId="0" fillId="3" borderId="5" xfId="0" applyNumberFormat="1" applyFill="1" applyBorder="1"/>
    <xf numFmtId="167" fontId="0" fillId="3" borderId="4" xfId="0" applyNumberFormat="1" applyFill="1" applyBorder="1"/>
    <xf numFmtId="3" fontId="0" fillId="3" borderId="4" xfId="0" applyNumberFormat="1" applyFill="1" applyBorder="1"/>
    <xf numFmtId="0" fontId="2" fillId="2" borderId="0" xfId="0" applyFont="1" applyFill="1"/>
    <xf numFmtId="167" fontId="2" fillId="2" borderId="0" xfId="0" applyNumberFormat="1" applyFont="1" applyFill="1"/>
    <xf numFmtId="1" fontId="0" fillId="3" borderId="4" xfId="0" applyNumberFormat="1" applyFill="1" applyBorder="1"/>
    <xf numFmtId="0" fontId="0" fillId="2" borderId="2" xfId="0" applyFill="1" applyBorder="1"/>
    <xf numFmtId="167" fontId="0" fillId="2" borderId="2" xfId="0" applyNumberFormat="1" applyFill="1" applyBorder="1"/>
    <xf numFmtId="9" fontId="0" fillId="3" borderId="2" xfId="0" applyNumberFormat="1" applyFill="1" applyBorder="1"/>
    <xf numFmtId="0" fontId="2" fillId="9" borderId="9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8" borderId="3" xfId="0" applyFill="1" applyBorder="1"/>
    <xf numFmtId="0" fontId="0" fillId="4" borderId="6" xfId="0" applyFill="1" applyBorder="1"/>
    <xf numFmtId="10" fontId="0" fillId="5" borderId="4" xfId="2" applyNumberFormat="1" applyFont="1" applyFill="1" applyBorder="1" applyAlignment="1">
      <alignment horizontal="center"/>
    </xf>
    <xf numFmtId="0" fontId="0" fillId="8" borderId="4" xfId="0" applyFill="1" applyBorder="1"/>
    <xf numFmtId="0" fontId="0" fillId="4" borderId="7" xfId="0" applyFill="1" applyBorder="1"/>
    <xf numFmtId="0" fontId="0" fillId="8" borderId="5" xfId="0" applyFill="1" applyBorder="1"/>
    <xf numFmtId="0" fontId="0" fillId="4" borderId="8" xfId="0" applyFill="1" applyBorder="1" applyAlignment="1">
      <alignment horizontal="center"/>
    </xf>
    <xf numFmtId="10" fontId="0" fillId="5" borderId="5" xfId="2" applyNumberFormat="1" applyFont="1" applyFill="1" applyBorder="1" applyAlignment="1">
      <alignment horizontal="center"/>
    </xf>
    <xf numFmtId="0" fontId="0" fillId="10" borderId="0" xfId="0" applyFill="1"/>
    <xf numFmtId="9" fontId="0" fillId="10" borderId="0" xfId="0" applyNumberFormat="1" applyFill="1"/>
    <xf numFmtId="2" fontId="0" fillId="0" borderId="0" xfId="0" applyNumberFormat="1"/>
    <xf numFmtId="2" fontId="0" fillId="5" borderId="0" xfId="0" applyNumberFormat="1" applyFill="1"/>
    <xf numFmtId="0" fontId="0" fillId="2" borderId="3" xfId="0" applyFill="1" applyBorder="1"/>
    <xf numFmtId="0" fontId="0" fillId="2" borderId="4" xfId="0" applyFill="1" applyBorder="1"/>
    <xf numFmtId="10" fontId="0" fillId="5" borderId="4" xfId="2" applyNumberFormat="1" applyFont="1" applyFill="1" applyBorder="1"/>
    <xf numFmtId="0" fontId="0" fillId="2" borderId="5" xfId="0" applyFill="1" applyBorder="1"/>
    <xf numFmtId="10" fontId="0" fillId="5" borderId="5" xfId="2" applyNumberFormat="1" applyFont="1" applyFill="1" applyBorder="1"/>
    <xf numFmtId="164" fontId="0" fillId="5" borderId="2" xfId="1" applyFont="1" applyFill="1" applyBorder="1"/>
    <xf numFmtId="0" fontId="2" fillId="4" borderId="2" xfId="0" applyFont="1" applyFill="1" applyBorder="1" applyAlignment="1">
      <alignment horizontal="center"/>
    </xf>
    <xf numFmtId="164" fontId="0" fillId="0" borderId="3" xfId="1" applyFont="1" applyBorder="1"/>
    <xf numFmtId="164" fontId="0" fillId="0" borderId="4" xfId="1" applyFont="1" applyBorder="1"/>
    <xf numFmtId="43" fontId="0" fillId="0" borderId="4" xfId="0" applyNumberFormat="1" applyBorder="1"/>
    <xf numFmtId="164" fontId="0" fillId="0" borderId="5" xfId="1" applyFont="1" applyBorder="1"/>
    <xf numFmtId="43" fontId="0" fillId="0" borderId="5" xfId="0" applyNumberFormat="1" applyBorder="1"/>
    <xf numFmtId="0" fontId="0" fillId="0" borderId="0" xfId="0" applyAlignment="1">
      <alignment horizontal="center"/>
    </xf>
    <xf numFmtId="164" fontId="0" fillId="0" borderId="0" xfId="1" applyFont="1" applyBorder="1"/>
    <xf numFmtId="168" fontId="0" fillId="0" borderId="0" xfId="0" applyNumberFormat="1"/>
    <xf numFmtId="10" fontId="0" fillId="0" borderId="0" xfId="2" applyNumberFormat="1" applyFont="1" applyFill="1" applyBorder="1"/>
    <xf numFmtId="0" fontId="2" fillId="4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9" fontId="0" fillId="0" borderId="5" xfId="0" applyNumberFormat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10" fontId="0" fillId="4" borderId="3" xfId="2" applyNumberFormat="1" applyFont="1" applyFill="1" applyBorder="1"/>
    <xf numFmtId="10" fontId="0" fillId="4" borderId="5" xfId="2" applyNumberFormat="1" applyFon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714095</xdr:colOff>
      <xdr:row>8</xdr:row>
      <xdr:rowOff>152190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14A98B2-150D-4561-A78F-1FC667F9E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0"/>
          <a:ext cx="2238095" cy="1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DC59-B631-4A24-A81E-498234A00153}">
  <dimension ref="A1:F7"/>
  <sheetViews>
    <sheetView zoomScale="190" zoomScaleNormal="190" workbookViewId="0">
      <selection activeCell="B5" sqref="B5"/>
    </sheetView>
  </sheetViews>
  <sheetFormatPr baseColWidth="10" defaultRowHeight="15" x14ac:dyDescent="0.25"/>
  <sheetData>
    <row r="1" spans="1:6" x14ac:dyDescent="0.25">
      <c r="A1" s="5" t="s">
        <v>4</v>
      </c>
      <c r="B1" s="8">
        <v>5000</v>
      </c>
    </row>
    <row r="2" spans="1:6" x14ac:dyDescent="0.25">
      <c r="A2" s="6" t="s">
        <v>5</v>
      </c>
      <c r="B2" s="9">
        <v>7.0000000000000007E-2</v>
      </c>
    </row>
    <row r="3" spans="1:6" x14ac:dyDescent="0.25">
      <c r="A3" s="7" t="s">
        <v>6</v>
      </c>
      <c r="B3" s="10">
        <v>1</v>
      </c>
    </row>
    <row r="5" spans="1:6" x14ac:dyDescent="0.25">
      <c r="A5" s="11" t="s">
        <v>7</v>
      </c>
      <c r="B5" s="12">
        <f>B1*(1+B2)^B3</f>
        <v>5350</v>
      </c>
    </row>
    <row r="7" spans="1:6" x14ac:dyDescent="0.25">
      <c r="A7" s="2" t="s">
        <v>8</v>
      </c>
      <c r="B7" s="2"/>
      <c r="C7" s="2"/>
      <c r="D7" s="2"/>
      <c r="E7" s="2"/>
      <c r="F7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19ED-81C4-479B-9969-696123262BA5}">
  <dimension ref="A1:B4"/>
  <sheetViews>
    <sheetView zoomScale="160" zoomScaleNormal="160" workbookViewId="0">
      <selection activeCell="F21" sqref="F21"/>
    </sheetView>
  </sheetViews>
  <sheetFormatPr baseColWidth="10" defaultRowHeight="15" x14ac:dyDescent="0.25"/>
  <sheetData>
    <row r="1" spans="1:2" x14ac:dyDescent="0.25">
      <c r="A1" s="38" t="s">
        <v>4</v>
      </c>
      <c r="B1" s="17">
        <v>100</v>
      </c>
    </row>
    <row r="2" spans="1:2" x14ac:dyDescent="0.25">
      <c r="A2" s="40" t="s">
        <v>5</v>
      </c>
      <c r="B2" s="56">
        <v>7.0000000000000007E-2</v>
      </c>
    </row>
    <row r="4" spans="1:2" x14ac:dyDescent="0.25">
      <c r="A4" s="11" t="s">
        <v>29</v>
      </c>
      <c r="B4" s="57">
        <f>B1/B2</f>
        <v>1428.5714285714284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444BC-DB9E-4FD4-8B57-4BE60C5D0B80}">
  <dimension ref="A1:F5"/>
  <sheetViews>
    <sheetView zoomScale="150" zoomScaleNormal="150" workbookViewId="0">
      <selection activeCell="H18" sqref="H18"/>
    </sheetView>
  </sheetViews>
  <sheetFormatPr baseColWidth="10" defaultRowHeight="15" x14ac:dyDescent="0.25"/>
  <cols>
    <col min="1" max="1" width="13.140625" bestFit="1" customWidth="1"/>
    <col min="2" max="2" width="14" bestFit="1" customWidth="1"/>
  </cols>
  <sheetData>
    <row r="1" spans="1:6" x14ac:dyDescent="0.25">
      <c r="A1" s="3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</row>
    <row r="2" spans="1:6" x14ac:dyDescent="0.25">
      <c r="A2" t="s">
        <v>1</v>
      </c>
      <c r="B2" s="1">
        <v>300000</v>
      </c>
      <c r="C2" s="1">
        <v>400000</v>
      </c>
      <c r="D2" s="1">
        <v>400000</v>
      </c>
      <c r="E2" s="1">
        <v>400000</v>
      </c>
      <c r="F2" s="1">
        <v>100000</v>
      </c>
    </row>
    <row r="4" spans="1:6" x14ac:dyDescent="0.25">
      <c r="A4" s="38" t="s">
        <v>5</v>
      </c>
      <c r="B4" s="58">
        <v>0.08</v>
      </c>
    </row>
    <row r="5" spans="1:6" x14ac:dyDescent="0.25">
      <c r="A5" s="40" t="s">
        <v>2</v>
      </c>
      <c r="B5" s="59">
        <f>NPV(B4,B2:F2)</f>
        <v>1300316.4631285155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E8AA1-978C-4FDA-92E3-DF53AB2622BA}">
  <dimension ref="A1:F5"/>
  <sheetViews>
    <sheetView zoomScale="160" zoomScaleNormal="160" workbookViewId="0">
      <selection activeCell="C8" sqref="C8"/>
    </sheetView>
  </sheetViews>
  <sheetFormatPr baseColWidth="10" defaultRowHeight="15" x14ac:dyDescent="0.25"/>
  <cols>
    <col min="1" max="1" width="13.140625" bestFit="1" customWidth="1"/>
  </cols>
  <sheetData>
    <row r="1" spans="1:6" x14ac:dyDescent="0.25">
      <c r="A1" s="3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</row>
    <row r="2" spans="1:6" x14ac:dyDescent="0.25">
      <c r="A2" t="s">
        <v>1</v>
      </c>
      <c r="B2" s="1">
        <v>100000</v>
      </c>
      <c r="C2" s="1">
        <v>400000</v>
      </c>
      <c r="D2" s="1">
        <v>400000</v>
      </c>
      <c r="E2" s="1">
        <v>400000</v>
      </c>
      <c r="F2" s="1">
        <v>300000</v>
      </c>
    </row>
    <row r="4" spans="1:6" x14ac:dyDescent="0.25">
      <c r="A4" s="38" t="s">
        <v>5</v>
      </c>
      <c r="B4" s="58">
        <v>0.1</v>
      </c>
    </row>
    <row r="5" spans="1:6" x14ac:dyDescent="0.25">
      <c r="A5" s="40" t="s">
        <v>2</v>
      </c>
      <c r="B5" s="59">
        <f>NPV(B4,B2:F2)</f>
        <v>1181495.3027301908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67CB-B1C7-4AD6-959C-499D08A01722}">
  <dimension ref="A1:K14"/>
  <sheetViews>
    <sheetView workbookViewId="0">
      <selection activeCell="R29" sqref="R29"/>
    </sheetView>
  </sheetViews>
  <sheetFormatPr baseColWidth="10" defaultRowHeight="15" x14ac:dyDescent="0.25"/>
  <cols>
    <col min="1" max="1" width="20.5703125" customWidth="1"/>
  </cols>
  <sheetData>
    <row r="1" spans="1:11" x14ac:dyDescent="0.25">
      <c r="A1" s="60" t="s">
        <v>30</v>
      </c>
      <c r="B1" s="61">
        <v>13</v>
      </c>
      <c r="C1" s="61">
        <v>14</v>
      </c>
      <c r="D1" s="61">
        <v>15</v>
      </c>
      <c r="E1" s="61">
        <v>16</v>
      </c>
      <c r="F1" s="61">
        <v>17</v>
      </c>
      <c r="G1" s="61">
        <v>18</v>
      </c>
      <c r="H1" s="61">
        <v>19</v>
      </c>
      <c r="I1" s="61">
        <v>20</v>
      </c>
      <c r="J1" s="61">
        <v>21</v>
      </c>
      <c r="K1" s="61">
        <v>22</v>
      </c>
    </row>
    <row r="3" spans="1:11" x14ac:dyDescent="0.25">
      <c r="A3" s="62" t="s">
        <v>0</v>
      </c>
      <c r="B3" s="63">
        <v>0</v>
      </c>
      <c r="C3" s="63">
        <v>1</v>
      </c>
      <c r="D3" s="63">
        <v>2</v>
      </c>
      <c r="E3" s="63">
        <v>3</v>
      </c>
      <c r="F3" s="63">
        <v>4</v>
      </c>
      <c r="G3" s="63">
        <v>5</v>
      </c>
      <c r="H3" s="63">
        <v>6</v>
      </c>
      <c r="I3" s="63">
        <v>7</v>
      </c>
      <c r="J3" s="63">
        <v>8</v>
      </c>
      <c r="K3" s="63">
        <v>9</v>
      </c>
    </row>
    <row r="4" spans="1:11" x14ac:dyDescent="0.25">
      <c r="A4" t="s">
        <v>31</v>
      </c>
      <c r="B4" s="64">
        <f>B11</f>
        <v>150000</v>
      </c>
      <c r="C4" s="64">
        <f>$B$11*(1+$B$12)^C3</f>
        <v>153000</v>
      </c>
      <c r="D4" s="64">
        <f>$B$11*(1+$B$12)^D3</f>
        <v>156060</v>
      </c>
      <c r="E4" s="64">
        <f>$B$11*(1+$B$12)^E3</f>
        <v>159181.19999999998</v>
      </c>
      <c r="F4" s="64">
        <f t="shared" ref="F4:K4" si="0">$B$11*(1+$B$12)^F3</f>
        <v>162364.82399999999</v>
      </c>
      <c r="G4" s="64">
        <f t="shared" si="0"/>
        <v>165612.12048000001</v>
      </c>
      <c r="H4" s="64">
        <f t="shared" si="0"/>
        <v>168924.36288960002</v>
      </c>
      <c r="I4" s="64">
        <f t="shared" si="0"/>
        <v>172302.85014739196</v>
      </c>
      <c r="J4" s="64">
        <f t="shared" si="0"/>
        <v>175748.90715033983</v>
      </c>
      <c r="K4" s="64">
        <f t="shared" si="0"/>
        <v>179263.88529334663</v>
      </c>
    </row>
    <row r="5" spans="1:11" x14ac:dyDescent="0.25">
      <c r="A5" s="65" t="s">
        <v>2</v>
      </c>
      <c r="B5" s="66">
        <f>SUM(G5:K5)</f>
        <v>782075.58636409254</v>
      </c>
      <c r="C5" s="65"/>
      <c r="D5" s="65"/>
      <c r="E5" s="65"/>
      <c r="F5" s="65"/>
      <c r="G5" s="67">
        <f>G4</f>
        <v>165612.12048000001</v>
      </c>
      <c r="H5" s="67">
        <f>H4/(1+B14)</f>
        <v>160880.34560914285</v>
      </c>
      <c r="I5" s="67">
        <f>I4/(1+B14)^2</f>
        <v>156283.76430602444</v>
      </c>
      <c r="J5" s="67">
        <f>J4/(1+B14)^3</f>
        <v>151818.51389728091</v>
      </c>
      <c r="K5" s="67">
        <f>K4/(1+B14)^4</f>
        <v>147480.84207164432</v>
      </c>
    </row>
    <row r="6" spans="1:11" x14ac:dyDescent="0.25">
      <c r="B6" s="68"/>
      <c r="G6" s="64"/>
      <c r="H6" s="64"/>
      <c r="I6" s="64"/>
      <c r="J6" s="64"/>
      <c r="K6" s="64"/>
    </row>
    <row r="7" spans="1:11" x14ac:dyDescent="0.25">
      <c r="A7" t="s">
        <v>31</v>
      </c>
      <c r="B7" s="68"/>
      <c r="G7" s="64">
        <f>SUM(G5:K5)</f>
        <v>782075.58636409254</v>
      </c>
      <c r="H7" s="64"/>
      <c r="I7" s="64"/>
      <c r="J7" s="64"/>
      <c r="K7" s="64"/>
    </row>
    <row r="8" spans="1:11" x14ac:dyDescent="0.25">
      <c r="A8" s="65" t="s">
        <v>32</v>
      </c>
      <c r="B8" s="66">
        <f>B13</f>
        <v>250000</v>
      </c>
      <c r="C8" s="65"/>
      <c r="D8" s="65"/>
      <c r="E8" s="65"/>
      <c r="F8" s="65"/>
      <c r="G8" s="67">
        <f>B8*(1+B14)^5</f>
        <v>319070.39062500006</v>
      </c>
      <c r="H8" s="64"/>
      <c r="I8" s="64"/>
      <c r="J8" s="64"/>
      <c r="K8" s="64"/>
    </row>
    <row r="9" spans="1:11" x14ac:dyDescent="0.25">
      <c r="A9" s="69" t="s">
        <v>33</v>
      </c>
      <c r="B9" s="70"/>
      <c r="C9" s="69"/>
      <c r="D9" s="69"/>
      <c r="E9" s="69"/>
      <c r="F9" s="69"/>
      <c r="G9" s="71">
        <f>G7-G8</f>
        <v>463005.19573909248</v>
      </c>
      <c r="H9" s="64"/>
      <c r="I9" s="64"/>
      <c r="J9" s="64"/>
      <c r="K9" s="64"/>
    </row>
    <row r="11" spans="1:11" x14ac:dyDescent="0.25">
      <c r="A11" s="1" t="s">
        <v>31</v>
      </c>
      <c r="B11" s="1">
        <v>150000</v>
      </c>
    </row>
    <row r="12" spans="1:11" x14ac:dyDescent="0.25">
      <c r="A12" t="s">
        <v>22</v>
      </c>
      <c r="B12" s="72">
        <v>0.02</v>
      </c>
    </row>
    <row r="13" spans="1:11" x14ac:dyDescent="0.25">
      <c r="A13" t="s">
        <v>32</v>
      </c>
      <c r="B13" s="1">
        <v>250000</v>
      </c>
    </row>
    <row r="14" spans="1:11" x14ac:dyDescent="0.25">
      <c r="A14" t="s">
        <v>5</v>
      </c>
      <c r="B14" s="72">
        <v>0.05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73022-D60A-4812-B99C-9D6AC842F55D}">
  <dimension ref="A2:G134"/>
  <sheetViews>
    <sheetView tabSelected="1" workbookViewId="0">
      <selection activeCell="J14" sqref="J14"/>
    </sheetView>
  </sheetViews>
  <sheetFormatPr baseColWidth="10" defaultRowHeight="15" x14ac:dyDescent="0.25"/>
  <cols>
    <col min="2" max="2" width="30" bestFit="1" customWidth="1"/>
    <col min="3" max="3" width="12.85546875" customWidth="1"/>
    <col min="4" max="4" width="25.85546875" bestFit="1" customWidth="1"/>
  </cols>
  <sheetData>
    <row r="2" spans="1:7" x14ac:dyDescent="0.25">
      <c r="A2" t="s">
        <v>34</v>
      </c>
      <c r="B2" s="73" t="s">
        <v>35</v>
      </c>
      <c r="C2" s="62">
        <v>100</v>
      </c>
    </row>
    <row r="3" spans="1:7" x14ac:dyDescent="0.25">
      <c r="B3" s="73" t="s">
        <v>5</v>
      </c>
      <c r="C3" s="74">
        <v>0.1</v>
      </c>
    </row>
    <row r="4" spans="1:7" x14ac:dyDescent="0.25">
      <c r="B4" s="73" t="s">
        <v>0</v>
      </c>
      <c r="C4" s="62">
        <v>4</v>
      </c>
    </row>
    <row r="6" spans="1:7" x14ac:dyDescent="0.25">
      <c r="B6" s="75" t="s">
        <v>7</v>
      </c>
      <c r="C6" s="73">
        <f>C2*(1+C3)^C4</f>
        <v>146.41000000000005</v>
      </c>
    </row>
    <row r="8" spans="1:7" x14ac:dyDescent="0.25">
      <c r="A8" t="s">
        <v>36</v>
      </c>
      <c r="B8" s="73" t="s">
        <v>37</v>
      </c>
      <c r="C8" s="62">
        <v>100</v>
      </c>
    </row>
    <row r="9" spans="1:7" x14ac:dyDescent="0.25">
      <c r="B9" s="73" t="s">
        <v>5</v>
      </c>
      <c r="C9" s="74">
        <v>0.1</v>
      </c>
    </row>
    <row r="10" spans="1:7" x14ac:dyDescent="0.25">
      <c r="B10" s="73" t="s">
        <v>0</v>
      </c>
      <c r="C10" s="62">
        <v>4</v>
      </c>
    </row>
    <row r="12" spans="1:7" x14ac:dyDescent="0.25">
      <c r="B12" s="75" t="s">
        <v>2</v>
      </c>
      <c r="C12" s="76">
        <f>C8/(1+C9)^4</f>
        <v>68.301345536507057</v>
      </c>
    </row>
    <row r="14" spans="1:7" x14ac:dyDescent="0.25">
      <c r="A14" t="s">
        <v>38</v>
      </c>
      <c r="B14" s="3" t="s">
        <v>0</v>
      </c>
      <c r="C14" s="4">
        <v>0</v>
      </c>
      <c r="D14" s="4">
        <v>1</v>
      </c>
      <c r="E14" s="4">
        <v>2</v>
      </c>
      <c r="F14" s="4">
        <v>3</v>
      </c>
      <c r="G14" s="4">
        <v>4</v>
      </c>
    </row>
    <row r="15" spans="1:7" x14ac:dyDescent="0.25">
      <c r="B15" t="s">
        <v>1</v>
      </c>
      <c r="C15">
        <v>0</v>
      </c>
      <c r="D15" s="1">
        <v>1000</v>
      </c>
      <c r="E15" s="1">
        <v>1000</v>
      </c>
      <c r="F15" s="1">
        <v>1000</v>
      </c>
      <c r="G15" s="1">
        <v>1000</v>
      </c>
    </row>
    <row r="17" spans="1:7" x14ac:dyDescent="0.25">
      <c r="B17" s="75" t="s">
        <v>5</v>
      </c>
      <c r="C17" s="77">
        <v>0.1</v>
      </c>
    </row>
    <row r="19" spans="1:7" x14ac:dyDescent="0.25">
      <c r="B19" s="75" t="s">
        <v>2</v>
      </c>
      <c r="C19" s="78">
        <f>NPV(C17,D15:G15)</f>
        <v>3169.8654463492926</v>
      </c>
    </row>
    <row r="20" spans="1:7" x14ac:dyDescent="0.25">
      <c r="B20" s="75" t="s">
        <v>7</v>
      </c>
      <c r="C20" s="78">
        <f>C19*(1+C17)^G14</f>
        <v>4641.0000000000009</v>
      </c>
    </row>
    <row r="21" spans="1:7" x14ac:dyDescent="0.25">
      <c r="B21" s="75" t="s">
        <v>39</v>
      </c>
      <c r="C21" s="78">
        <f>-FV(C17,G14,G15)</f>
        <v>4641.0000000000036</v>
      </c>
    </row>
    <row r="22" spans="1:7" x14ac:dyDescent="0.25">
      <c r="B22" s="75" t="s">
        <v>40</v>
      </c>
      <c r="C22" s="78">
        <f>D15*(1+C17)^F14+E15*(1+C17)^E14+F15*(1+C17)+G15</f>
        <v>4641.0000000000009</v>
      </c>
    </row>
    <row r="24" spans="1:7" x14ac:dyDescent="0.25">
      <c r="A24" t="s">
        <v>41</v>
      </c>
      <c r="B24" s="3" t="s">
        <v>0</v>
      </c>
      <c r="C24" s="4">
        <v>0</v>
      </c>
      <c r="D24" s="4">
        <v>1</v>
      </c>
      <c r="E24" s="4">
        <v>2</v>
      </c>
      <c r="F24" s="4">
        <v>3</v>
      </c>
      <c r="G24" s="4">
        <v>4</v>
      </c>
    </row>
    <row r="25" spans="1:7" x14ac:dyDescent="0.25">
      <c r="B25" t="s">
        <v>1</v>
      </c>
      <c r="C25">
        <v>0</v>
      </c>
      <c r="D25" s="1">
        <v>1000</v>
      </c>
      <c r="E25" s="1">
        <v>3000</v>
      </c>
      <c r="F25" s="1">
        <v>4000</v>
      </c>
      <c r="G25" s="1">
        <v>-1000</v>
      </c>
    </row>
    <row r="27" spans="1:7" x14ac:dyDescent="0.25">
      <c r="B27" s="75" t="s">
        <v>5</v>
      </c>
      <c r="C27" s="77">
        <v>0.1</v>
      </c>
    </row>
    <row r="29" spans="1:7" x14ac:dyDescent="0.25">
      <c r="B29" s="75" t="s">
        <v>2</v>
      </c>
      <c r="C29" s="78">
        <f>NPV(C27,D25:G25)</f>
        <v>5710.6755003073549</v>
      </c>
    </row>
    <row r="30" spans="1:7" x14ac:dyDescent="0.25">
      <c r="B30" s="75" t="s">
        <v>7</v>
      </c>
      <c r="C30" s="79">
        <f>C29*(1+C27)^G24</f>
        <v>8361</v>
      </c>
    </row>
    <row r="31" spans="1:7" x14ac:dyDescent="0.25">
      <c r="B31" s="75" t="s">
        <v>39</v>
      </c>
      <c r="C31" s="78">
        <f>D25*(1+C27)^F24+E25*(1+C27)^E24+F25*(1+C27)+G25</f>
        <v>8361</v>
      </c>
    </row>
    <row r="33" spans="1:7" x14ac:dyDescent="0.25">
      <c r="A33" t="s">
        <v>42</v>
      </c>
      <c r="B33" s="3" t="s">
        <v>0</v>
      </c>
      <c r="C33" s="4">
        <v>0</v>
      </c>
      <c r="D33" s="4">
        <v>1</v>
      </c>
      <c r="E33" s="4">
        <v>2</v>
      </c>
      <c r="F33" s="4">
        <v>3</v>
      </c>
      <c r="G33" s="4">
        <v>4</v>
      </c>
    </row>
    <row r="34" spans="1:7" x14ac:dyDescent="0.25">
      <c r="B34" t="s">
        <v>1</v>
      </c>
      <c r="C34">
        <v>0</v>
      </c>
      <c r="D34" s="1">
        <v>1050</v>
      </c>
      <c r="E34" s="80">
        <f>D34*1.05</f>
        <v>1102.5</v>
      </c>
      <c r="F34" s="80">
        <f t="shared" ref="F34:G34" si="0">E34*1.05</f>
        <v>1157.625</v>
      </c>
      <c r="G34" s="80">
        <f t="shared" si="0"/>
        <v>1215.5062500000001</v>
      </c>
    </row>
    <row r="36" spans="1:7" x14ac:dyDescent="0.25">
      <c r="B36" s="75" t="s">
        <v>5</v>
      </c>
      <c r="C36" s="77">
        <v>0.1</v>
      </c>
    </row>
    <row r="38" spans="1:7" x14ac:dyDescent="0.25">
      <c r="B38" s="75" t="s">
        <v>2</v>
      </c>
      <c r="C38" s="78">
        <f>NPV(C36,D34:G34)</f>
        <v>3565.6503995628709</v>
      </c>
    </row>
    <row r="41" spans="1:7" x14ac:dyDescent="0.25">
      <c r="A41" t="s">
        <v>43</v>
      </c>
      <c r="B41" s="3" t="s">
        <v>0</v>
      </c>
      <c r="C41" s="4">
        <v>0</v>
      </c>
      <c r="D41" s="4">
        <v>1</v>
      </c>
      <c r="E41" s="4">
        <v>2</v>
      </c>
      <c r="F41" s="4">
        <v>3</v>
      </c>
      <c r="G41" s="4">
        <v>4</v>
      </c>
    </row>
    <row r="42" spans="1:7" x14ac:dyDescent="0.25">
      <c r="B42" t="s">
        <v>1</v>
      </c>
      <c r="C42" s="1">
        <v>-5000</v>
      </c>
      <c r="D42" s="1">
        <v>2500</v>
      </c>
      <c r="E42" s="1">
        <v>2000</v>
      </c>
      <c r="F42" s="1">
        <v>1000</v>
      </c>
      <c r="G42" s="1">
        <v>3000</v>
      </c>
    </row>
    <row r="44" spans="1:7" x14ac:dyDescent="0.25">
      <c r="B44" s="75" t="s">
        <v>5</v>
      </c>
      <c r="C44" s="77">
        <v>0.1</v>
      </c>
    </row>
    <row r="46" spans="1:7" x14ac:dyDescent="0.25">
      <c r="B46" s="75" t="s">
        <v>2</v>
      </c>
      <c r="C46" s="78">
        <f>NPV(C44,D42:G42)+C42</f>
        <v>1725.9750017075312</v>
      </c>
    </row>
    <row r="47" spans="1:7" x14ac:dyDescent="0.25">
      <c r="B47" s="75" t="s">
        <v>44</v>
      </c>
      <c r="C47" s="81">
        <f>IRR(C42:G42)</f>
        <v>0.25236985416937596</v>
      </c>
    </row>
    <row r="49" spans="1:3" x14ac:dyDescent="0.25">
      <c r="A49" t="s">
        <v>45</v>
      </c>
      <c r="B49" s="75" t="s">
        <v>46</v>
      </c>
      <c r="C49" s="78">
        <f>NPV(C44,D42:G42)</f>
        <v>6725.9750017075312</v>
      </c>
    </row>
    <row r="50" spans="1:3" x14ac:dyDescent="0.25">
      <c r="B50" s="75" t="s">
        <v>47</v>
      </c>
      <c r="C50" s="78">
        <f>PMT(C44,G41,-C49)</f>
        <v>2121.8487394957974</v>
      </c>
    </row>
    <row r="53" spans="1:3" x14ac:dyDescent="0.25">
      <c r="A53" t="s">
        <v>48</v>
      </c>
      <c r="B53" s="75" t="s">
        <v>7</v>
      </c>
      <c r="C53" s="82">
        <v>1518</v>
      </c>
    </row>
    <row r="54" spans="1:3" x14ac:dyDescent="0.25">
      <c r="B54" s="75" t="s">
        <v>2</v>
      </c>
      <c r="C54" s="82">
        <v>1000</v>
      </c>
    </row>
    <row r="55" spans="1:3" x14ac:dyDescent="0.25">
      <c r="B55" s="75" t="s">
        <v>0</v>
      </c>
      <c r="C55" s="83">
        <v>4</v>
      </c>
    </row>
    <row r="57" spans="1:3" x14ac:dyDescent="0.25">
      <c r="B57" s="75" t="s">
        <v>49</v>
      </c>
      <c r="C57" s="84">
        <f>(C53/C54)^(1/C55)-1</f>
        <v>0.10998712897984331</v>
      </c>
    </row>
    <row r="60" spans="1:3" x14ac:dyDescent="0.25">
      <c r="A60" t="s">
        <v>50</v>
      </c>
      <c r="B60" s="5" t="s">
        <v>18</v>
      </c>
      <c r="C60" s="48">
        <v>12000</v>
      </c>
    </row>
    <row r="61" spans="1:3" x14ac:dyDescent="0.25">
      <c r="B61" s="6" t="s">
        <v>5</v>
      </c>
      <c r="C61" s="49">
        <v>0.06</v>
      </c>
    </row>
    <row r="62" spans="1:3" x14ac:dyDescent="0.25">
      <c r="B62" s="6" t="s">
        <v>0</v>
      </c>
      <c r="C62" s="39">
        <v>6</v>
      </c>
    </row>
    <row r="63" spans="1:3" x14ac:dyDescent="0.25">
      <c r="B63" s="6" t="s">
        <v>7</v>
      </c>
      <c r="C63" s="85">
        <f>-FV(C61,C62,C60)</f>
        <v>83703.822451200118</v>
      </c>
    </row>
    <row r="64" spans="1:3" x14ac:dyDescent="0.25">
      <c r="B64" s="7" t="s">
        <v>51</v>
      </c>
      <c r="C64" s="86">
        <f>C63*C61</f>
        <v>5022.2293470720069</v>
      </c>
    </row>
    <row r="65" spans="1:3" x14ac:dyDescent="0.25">
      <c r="B65" s="6" t="s">
        <v>52</v>
      </c>
      <c r="C65" s="87">
        <f>SUM(C63:C64)</f>
        <v>88726.051798272121</v>
      </c>
    </row>
    <row r="66" spans="1:3" x14ac:dyDescent="0.25">
      <c r="B66" s="6"/>
      <c r="C66" s="39"/>
    </row>
    <row r="67" spans="1:3" x14ac:dyDescent="0.25">
      <c r="B67" s="6" t="s">
        <v>53</v>
      </c>
      <c r="C67" s="88">
        <v>100000</v>
      </c>
    </row>
    <row r="68" spans="1:3" x14ac:dyDescent="0.25">
      <c r="B68" s="7" t="s">
        <v>54</v>
      </c>
      <c r="C68" s="86">
        <f>C67-C65</f>
        <v>11273.948201727879</v>
      </c>
    </row>
    <row r="69" spans="1:3" x14ac:dyDescent="0.25">
      <c r="C69" s="68"/>
    </row>
    <row r="70" spans="1:3" x14ac:dyDescent="0.25">
      <c r="B70" s="89" t="s">
        <v>55</v>
      </c>
      <c r="C70" s="90"/>
    </row>
    <row r="71" spans="1:3" x14ac:dyDescent="0.25">
      <c r="C71" s="68"/>
    </row>
    <row r="72" spans="1:3" x14ac:dyDescent="0.25">
      <c r="B72" s="5" t="s">
        <v>18</v>
      </c>
      <c r="C72" s="48">
        <v>12000</v>
      </c>
    </row>
    <row r="73" spans="1:3" x14ac:dyDescent="0.25">
      <c r="B73" s="6" t="s">
        <v>5</v>
      </c>
      <c r="C73" s="49">
        <v>0.06</v>
      </c>
    </row>
    <row r="74" spans="1:3" x14ac:dyDescent="0.25">
      <c r="B74" s="6" t="s">
        <v>0</v>
      </c>
      <c r="C74" s="91">
        <v>7</v>
      </c>
    </row>
    <row r="75" spans="1:3" x14ac:dyDescent="0.25">
      <c r="B75" s="6" t="s">
        <v>56</v>
      </c>
      <c r="C75" s="85">
        <f>-FV(C73,C74,C72)</f>
        <v>100726.05179827216</v>
      </c>
    </row>
    <row r="76" spans="1:3" x14ac:dyDescent="0.25">
      <c r="B76" s="92" t="s">
        <v>57</v>
      </c>
      <c r="C76" s="93">
        <f>C72-726</f>
        <v>11274</v>
      </c>
    </row>
    <row r="77" spans="1:3" x14ac:dyDescent="0.25">
      <c r="C77" s="68"/>
    </row>
    <row r="79" spans="1:3" x14ac:dyDescent="0.25">
      <c r="A79" t="s">
        <v>58</v>
      </c>
      <c r="B79" s="31" t="s">
        <v>59</v>
      </c>
      <c r="C79" s="94">
        <v>0.1</v>
      </c>
    </row>
    <row r="80" spans="1:3" x14ac:dyDescent="0.25">
      <c r="C80" s="72"/>
    </row>
    <row r="81" spans="1:4" x14ac:dyDescent="0.25">
      <c r="C81" s="95" t="s">
        <v>60</v>
      </c>
      <c r="D81" s="96" t="s">
        <v>61</v>
      </c>
    </row>
    <row r="82" spans="1:4" x14ac:dyDescent="0.25">
      <c r="B82" s="97" t="s">
        <v>62</v>
      </c>
      <c r="C82" s="98">
        <v>1</v>
      </c>
      <c r="D82" s="99">
        <f>EFFECT($C$79,C82)</f>
        <v>0.10000000000000009</v>
      </c>
    </row>
    <row r="83" spans="1:4" x14ac:dyDescent="0.25">
      <c r="B83" s="100" t="s">
        <v>63</v>
      </c>
      <c r="C83" s="101">
        <v>2</v>
      </c>
      <c r="D83" s="99">
        <f t="shared" ref="D83:D85" si="1">EFFECT($C$79,C83)</f>
        <v>0.10250000000000004</v>
      </c>
    </row>
    <row r="84" spans="1:4" x14ac:dyDescent="0.25">
      <c r="B84" s="100" t="s">
        <v>64</v>
      </c>
      <c r="C84" s="101">
        <v>4</v>
      </c>
      <c r="D84" s="99">
        <f t="shared" si="1"/>
        <v>0.10381289062499977</v>
      </c>
    </row>
    <row r="85" spans="1:4" x14ac:dyDescent="0.25">
      <c r="B85" s="100" t="s">
        <v>65</v>
      </c>
      <c r="C85" s="101">
        <v>365</v>
      </c>
      <c r="D85" s="99">
        <f t="shared" si="1"/>
        <v>0.10515578161622718</v>
      </c>
    </row>
    <row r="86" spans="1:4" x14ac:dyDescent="0.25">
      <c r="B86" s="102" t="s">
        <v>66</v>
      </c>
      <c r="C86" s="103" t="s">
        <v>67</v>
      </c>
      <c r="D86" s="104">
        <f>EXP(1)^C79-1</f>
        <v>0.10517091807564771</v>
      </c>
    </row>
    <row r="88" spans="1:4" x14ac:dyDescent="0.25">
      <c r="A88" t="s">
        <v>68</v>
      </c>
      <c r="B88" s="105" t="s">
        <v>22</v>
      </c>
      <c r="C88" s="106">
        <v>0.2</v>
      </c>
    </row>
    <row r="90" spans="1:4" x14ac:dyDescent="0.25">
      <c r="B90" t="s">
        <v>69</v>
      </c>
      <c r="C90">
        <v>1</v>
      </c>
    </row>
    <row r="91" spans="1:4" x14ac:dyDescent="0.25">
      <c r="B91" s="75" t="s">
        <v>0</v>
      </c>
      <c r="C91" s="75">
        <v>3.8</v>
      </c>
    </row>
    <row r="92" spans="1:4" x14ac:dyDescent="0.25">
      <c r="B92" s="73" t="s">
        <v>7</v>
      </c>
      <c r="C92" s="76">
        <f>C90*(1+C88)^C91</f>
        <v>1.9993495762998474</v>
      </c>
    </row>
    <row r="93" spans="1:4" x14ac:dyDescent="0.25">
      <c r="B93" t="s">
        <v>70</v>
      </c>
      <c r="C93" s="107"/>
    </row>
    <row r="95" spans="1:4" x14ac:dyDescent="0.25">
      <c r="B95" s="75" t="s">
        <v>71</v>
      </c>
      <c r="C95" s="108">
        <f>LN(2)/LN(1.2)</f>
        <v>3.8017840169239308</v>
      </c>
    </row>
    <row r="97" spans="1:5" x14ac:dyDescent="0.25">
      <c r="A97" t="s">
        <v>72</v>
      </c>
      <c r="B97" s="109" t="s">
        <v>24</v>
      </c>
      <c r="C97" s="18">
        <v>100000</v>
      </c>
    </row>
    <row r="98" spans="1:5" x14ac:dyDescent="0.25">
      <c r="B98" s="110" t="s">
        <v>73</v>
      </c>
      <c r="C98" s="6">
        <v>3</v>
      </c>
    </row>
    <row r="99" spans="1:5" x14ac:dyDescent="0.25">
      <c r="B99" s="110" t="s">
        <v>74</v>
      </c>
      <c r="C99" s="6">
        <f>C98*2</f>
        <v>6</v>
      </c>
    </row>
    <row r="100" spans="1:5" x14ac:dyDescent="0.25">
      <c r="B100" s="110" t="s">
        <v>75</v>
      </c>
      <c r="C100" s="111">
        <v>0.08</v>
      </c>
    </row>
    <row r="101" spans="1:5" x14ac:dyDescent="0.25">
      <c r="B101" s="112" t="s">
        <v>76</v>
      </c>
      <c r="C101" s="113">
        <f>C100/2</f>
        <v>0.04</v>
      </c>
    </row>
    <row r="103" spans="1:5" x14ac:dyDescent="0.25">
      <c r="B103" s="92" t="s">
        <v>77</v>
      </c>
      <c r="C103" s="114">
        <f>PMT(C101,C99,C97)</f>
        <v>-19076.190250795404</v>
      </c>
    </row>
    <row r="105" spans="1:5" x14ac:dyDescent="0.25">
      <c r="B105" s="115" t="s">
        <v>0</v>
      </c>
      <c r="C105" s="115" t="s">
        <v>5</v>
      </c>
      <c r="D105" s="115" t="s">
        <v>78</v>
      </c>
      <c r="E105" s="115" t="s">
        <v>28</v>
      </c>
    </row>
    <row r="106" spans="1:5" x14ac:dyDescent="0.25">
      <c r="B106" s="50">
        <v>1</v>
      </c>
      <c r="C106" s="116">
        <f>IPMT($C$101,B106,$C$99,$C$97)</f>
        <v>-4000</v>
      </c>
      <c r="D106" s="117">
        <f>PPMT($C$101,B106,$C$99,$C$97)</f>
        <v>-15076.190250795406</v>
      </c>
      <c r="E106" s="118">
        <f>C97+D106</f>
        <v>84923.809749204593</v>
      </c>
    </row>
    <row r="107" spans="1:5" x14ac:dyDescent="0.25">
      <c r="B107" s="50">
        <v>2</v>
      </c>
      <c r="C107" s="117">
        <f t="shared" ref="C107:C111" si="2">IPMT($C$101,B107,$C$99,$C$97)</f>
        <v>-3396.9523899681844</v>
      </c>
      <c r="D107" s="117">
        <f t="shared" ref="D107:D111" si="3">PPMT($C$101,B107,$C$99,$C$97)</f>
        <v>-15679.237860827221</v>
      </c>
      <c r="E107" s="118">
        <f>E106+D107</f>
        <v>69244.571888377366</v>
      </c>
    </row>
    <row r="108" spans="1:5" x14ac:dyDescent="0.25">
      <c r="B108" s="50">
        <v>3</v>
      </c>
      <c r="C108" s="117">
        <f t="shared" si="2"/>
        <v>-2769.7828755350961</v>
      </c>
      <c r="D108" s="117">
        <f t="shared" si="3"/>
        <v>-16306.407375260307</v>
      </c>
      <c r="E108" s="118">
        <f t="shared" ref="E108:E111" si="4">E107+D108</f>
        <v>52938.164513117059</v>
      </c>
    </row>
    <row r="109" spans="1:5" x14ac:dyDescent="0.25">
      <c r="B109" s="50">
        <v>4</v>
      </c>
      <c r="C109" s="117">
        <f t="shared" si="2"/>
        <v>-2117.5265805246836</v>
      </c>
      <c r="D109" s="117">
        <f t="shared" si="3"/>
        <v>-16958.663670270722</v>
      </c>
      <c r="E109" s="118">
        <f t="shared" si="4"/>
        <v>35979.500842846333</v>
      </c>
    </row>
    <row r="110" spans="1:5" x14ac:dyDescent="0.25">
      <c r="B110" s="50">
        <v>5</v>
      </c>
      <c r="C110" s="117">
        <f t="shared" si="2"/>
        <v>-1439.1800337138545</v>
      </c>
      <c r="D110" s="117">
        <f t="shared" si="3"/>
        <v>-17637.010217081552</v>
      </c>
      <c r="E110" s="118">
        <f t="shared" si="4"/>
        <v>18342.490625764782</v>
      </c>
    </row>
    <row r="111" spans="1:5" x14ac:dyDescent="0.25">
      <c r="B111" s="51">
        <v>6</v>
      </c>
      <c r="C111" s="119">
        <f t="shared" si="2"/>
        <v>-733.69962503059264</v>
      </c>
      <c r="D111" s="119">
        <f t="shared" si="3"/>
        <v>-18342.490625764811</v>
      </c>
      <c r="E111" s="120">
        <f t="shared" si="4"/>
        <v>-2.9103830456733704E-11</v>
      </c>
    </row>
    <row r="112" spans="1:5" x14ac:dyDescent="0.25">
      <c r="B112" s="121"/>
      <c r="C112" s="122"/>
      <c r="D112" s="122"/>
      <c r="E112" s="123"/>
    </row>
    <row r="113" spans="2:5" x14ac:dyDescent="0.25">
      <c r="B113" s="109" t="s">
        <v>24</v>
      </c>
      <c r="C113" s="18">
        <v>100000</v>
      </c>
    </row>
    <row r="114" spans="2:5" x14ac:dyDescent="0.25">
      <c r="B114" s="110" t="s">
        <v>73</v>
      </c>
      <c r="C114" s="6">
        <v>3</v>
      </c>
    </row>
    <row r="115" spans="2:5" x14ac:dyDescent="0.25">
      <c r="B115" s="110" t="s">
        <v>74</v>
      </c>
      <c r="C115" s="6">
        <f>C114*2</f>
        <v>6</v>
      </c>
    </row>
    <row r="116" spans="2:5" x14ac:dyDescent="0.25">
      <c r="B116" s="110" t="s">
        <v>75</v>
      </c>
      <c r="C116" s="111">
        <v>0.08</v>
      </c>
    </row>
    <row r="117" spans="2:5" x14ac:dyDescent="0.25">
      <c r="B117" s="112" t="s">
        <v>76</v>
      </c>
      <c r="C117" s="113">
        <f>C116/2</f>
        <v>0.04</v>
      </c>
    </row>
    <row r="118" spans="2:5" x14ac:dyDescent="0.25">
      <c r="C118" s="124"/>
    </row>
    <row r="119" spans="2:5" x14ac:dyDescent="0.25">
      <c r="B119" s="92" t="s">
        <v>79</v>
      </c>
      <c r="C119" s="114">
        <f>-C113/C115</f>
        <v>-16666.666666666668</v>
      </c>
    </row>
    <row r="121" spans="2:5" x14ac:dyDescent="0.25">
      <c r="B121" s="125" t="s">
        <v>0</v>
      </c>
      <c r="C121" s="115" t="s">
        <v>5</v>
      </c>
      <c r="D121" s="115" t="s">
        <v>78</v>
      </c>
      <c r="E121" s="115" t="s">
        <v>28</v>
      </c>
    </row>
    <row r="122" spans="2:5" x14ac:dyDescent="0.25">
      <c r="B122" s="126">
        <v>1</v>
      </c>
      <c r="C122" s="116">
        <f>-C113*C117</f>
        <v>-4000</v>
      </c>
      <c r="D122" s="116">
        <f>$C$119</f>
        <v>-16666.666666666668</v>
      </c>
      <c r="E122" s="118">
        <f>C113+D122</f>
        <v>83333.333333333328</v>
      </c>
    </row>
    <row r="123" spans="2:5" x14ac:dyDescent="0.25">
      <c r="B123" s="127">
        <v>2</v>
      </c>
      <c r="C123" s="117">
        <f>C122-D122*$C$117</f>
        <v>-3333.333333333333</v>
      </c>
      <c r="D123" s="117">
        <f t="shared" ref="D123:D127" si="5">$C$119</f>
        <v>-16666.666666666668</v>
      </c>
      <c r="E123" s="118">
        <f>E122+D123</f>
        <v>66666.666666666657</v>
      </c>
    </row>
    <row r="124" spans="2:5" x14ac:dyDescent="0.25">
      <c r="B124" s="127">
        <v>3</v>
      </c>
      <c r="C124" s="117">
        <f t="shared" ref="C124:C127" si="6">C123-D123*$C$117</f>
        <v>-2666.6666666666661</v>
      </c>
      <c r="D124" s="117">
        <f t="shared" si="5"/>
        <v>-16666.666666666668</v>
      </c>
      <c r="E124" s="118">
        <f t="shared" ref="E124:E127" si="7">E123+D124</f>
        <v>49999.999999999985</v>
      </c>
    </row>
    <row r="125" spans="2:5" x14ac:dyDescent="0.25">
      <c r="B125" s="127">
        <v>4</v>
      </c>
      <c r="C125" s="117">
        <f t="shared" si="6"/>
        <v>-1999.9999999999993</v>
      </c>
      <c r="D125" s="117">
        <f t="shared" si="5"/>
        <v>-16666.666666666668</v>
      </c>
      <c r="E125" s="118">
        <f t="shared" si="7"/>
        <v>33333.333333333314</v>
      </c>
    </row>
    <row r="126" spans="2:5" x14ac:dyDescent="0.25">
      <c r="B126" s="127">
        <v>5</v>
      </c>
      <c r="C126" s="117">
        <f t="shared" si="6"/>
        <v>-1333.3333333333326</v>
      </c>
      <c r="D126" s="117">
        <f t="shared" si="5"/>
        <v>-16666.666666666668</v>
      </c>
      <c r="E126" s="118">
        <f t="shared" si="7"/>
        <v>16666.666666666646</v>
      </c>
    </row>
    <row r="127" spans="2:5" x14ac:dyDescent="0.25">
      <c r="B127" s="128">
        <v>6</v>
      </c>
      <c r="C127" s="119">
        <f t="shared" si="6"/>
        <v>-666.66666666666583</v>
      </c>
      <c r="D127" s="119">
        <f t="shared" si="5"/>
        <v>-16666.666666666668</v>
      </c>
      <c r="E127" s="129">
        <f t="shared" si="7"/>
        <v>0</v>
      </c>
    </row>
    <row r="129" spans="1:3" x14ac:dyDescent="0.25">
      <c r="A129" t="s">
        <v>80</v>
      </c>
      <c r="B129" s="130" t="s">
        <v>81</v>
      </c>
      <c r="C129" s="8">
        <v>1000</v>
      </c>
    </row>
    <row r="130" spans="1:3" x14ac:dyDescent="0.25">
      <c r="B130" s="131" t="s">
        <v>82</v>
      </c>
      <c r="C130" s="15">
        <v>850</v>
      </c>
    </row>
    <row r="131" spans="1:3" x14ac:dyDescent="0.25">
      <c r="B131" s="132" t="s">
        <v>21</v>
      </c>
      <c r="C131" s="10">
        <v>15</v>
      </c>
    </row>
    <row r="133" spans="1:3" x14ac:dyDescent="0.25">
      <c r="B133" s="5" t="s">
        <v>83</v>
      </c>
      <c r="C133" s="133">
        <f>C129/C130-1</f>
        <v>0.17647058823529416</v>
      </c>
    </row>
    <row r="134" spans="1:3" x14ac:dyDescent="0.25">
      <c r="B134" s="7" t="s">
        <v>84</v>
      </c>
      <c r="C134" s="134">
        <f>C133*12/C131</f>
        <v>0.14117647058823532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CE1D-2D62-45A0-9D6F-81687E78E4B4}">
  <dimension ref="A1:F7"/>
  <sheetViews>
    <sheetView zoomScale="190" zoomScaleNormal="190" workbookViewId="0">
      <selection activeCell="E14" sqref="E14"/>
    </sheetView>
  </sheetViews>
  <sheetFormatPr baseColWidth="10" defaultRowHeight="15" x14ac:dyDescent="0.25"/>
  <sheetData>
    <row r="1" spans="1:6" x14ac:dyDescent="0.25">
      <c r="A1" s="5" t="s">
        <v>4</v>
      </c>
      <c r="B1" s="8">
        <v>5000</v>
      </c>
    </row>
    <row r="2" spans="1:6" x14ac:dyDescent="0.25">
      <c r="A2" s="6" t="s">
        <v>5</v>
      </c>
      <c r="B2" s="9">
        <v>7.0000000000000007E-2</v>
      </c>
    </row>
    <row r="3" spans="1:6" x14ac:dyDescent="0.25">
      <c r="A3" s="7" t="s">
        <v>6</v>
      </c>
      <c r="B3" s="10">
        <v>1</v>
      </c>
    </row>
    <row r="5" spans="1:6" x14ac:dyDescent="0.25">
      <c r="A5" s="11" t="s">
        <v>2</v>
      </c>
      <c r="B5" s="12">
        <f>B1/(1+B2)^B3</f>
        <v>4672.8971962616815</v>
      </c>
    </row>
    <row r="7" spans="1:6" x14ac:dyDescent="0.25">
      <c r="A7" s="2" t="s">
        <v>9</v>
      </c>
      <c r="B7" s="2"/>
      <c r="C7" s="2"/>
      <c r="D7" s="2"/>
      <c r="E7" s="2"/>
      <c r="F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7D961-47FD-4156-AC82-C19CD99E054C}">
  <dimension ref="A1:F9"/>
  <sheetViews>
    <sheetView zoomScale="160" zoomScaleNormal="160" workbookViewId="0">
      <selection activeCell="B7" sqref="B7"/>
    </sheetView>
  </sheetViews>
  <sheetFormatPr baseColWidth="10" defaultRowHeight="15" x14ac:dyDescent="0.25"/>
  <cols>
    <col min="1" max="1" width="13.140625" customWidth="1"/>
  </cols>
  <sheetData>
    <row r="1" spans="1:6" x14ac:dyDescent="0.25">
      <c r="A1" s="5" t="s">
        <v>4</v>
      </c>
      <c r="B1" s="8">
        <v>5000</v>
      </c>
    </row>
    <row r="2" spans="1:6" x14ac:dyDescent="0.25">
      <c r="A2" s="6" t="s">
        <v>10</v>
      </c>
      <c r="B2" s="13">
        <v>7.0000000000000007E-2</v>
      </c>
    </row>
    <row r="3" spans="1:6" x14ac:dyDescent="0.25">
      <c r="A3" s="6" t="s">
        <v>11</v>
      </c>
      <c r="B3" s="14">
        <f>B2/2</f>
        <v>3.5000000000000003E-2</v>
      </c>
    </row>
    <row r="4" spans="1:6" x14ac:dyDescent="0.25">
      <c r="A4" s="6" t="s">
        <v>6</v>
      </c>
      <c r="B4" s="15">
        <v>1</v>
      </c>
    </row>
    <row r="5" spans="1:6" x14ac:dyDescent="0.25">
      <c r="A5" s="7" t="s">
        <v>12</v>
      </c>
      <c r="B5" s="16">
        <f>B4*2</f>
        <v>2</v>
      </c>
    </row>
    <row r="7" spans="1:6" x14ac:dyDescent="0.25">
      <c r="A7" s="11" t="s">
        <v>7</v>
      </c>
      <c r="B7" s="12">
        <f>B1*(1+B3)^B5</f>
        <v>5356.1249999999991</v>
      </c>
    </row>
    <row r="9" spans="1:6" x14ac:dyDescent="0.25">
      <c r="A9" s="2" t="s">
        <v>8</v>
      </c>
      <c r="B9" s="2"/>
      <c r="C9" s="2"/>
      <c r="D9" s="2"/>
      <c r="E9" s="2"/>
      <c r="F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0A183-45B3-407E-A88A-5C8DAA878524}">
  <dimension ref="A1:E10"/>
  <sheetViews>
    <sheetView zoomScale="180" zoomScaleNormal="180" workbookViewId="0">
      <selection activeCell="E23" sqref="E22:E23"/>
    </sheetView>
  </sheetViews>
  <sheetFormatPr baseColWidth="10" defaultRowHeight="15" x14ac:dyDescent="0.25"/>
  <sheetData>
    <row r="1" spans="1:5" x14ac:dyDescent="0.25">
      <c r="A1" s="17" t="s">
        <v>4</v>
      </c>
      <c r="B1" s="18">
        <v>5000</v>
      </c>
    </row>
    <row r="2" spans="1:5" x14ac:dyDescent="0.25">
      <c r="A2" s="15" t="s">
        <v>5</v>
      </c>
      <c r="B2" s="19">
        <v>7.0000000000000007E-2</v>
      </c>
    </row>
    <row r="3" spans="1:5" x14ac:dyDescent="0.25">
      <c r="A3" s="15" t="s">
        <v>6</v>
      </c>
      <c r="B3" s="20">
        <v>10.244768350866904</v>
      </c>
    </row>
    <row r="4" spans="1:5" x14ac:dyDescent="0.25">
      <c r="A4" s="10" t="s">
        <v>7</v>
      </c>
      <c r="B4" s="21">
        <f>B1*(1+B2)^B3</f>
        <v>9999.999999870226</v>
      </c>
    </row>
    <row r="6" spans="1:5" x14ac:dyDescent="0.25">
      <c r="A6" t="s">
        <v>13</v>
      </c>
    </row>
    <row r="7" spans="1:5" x14ac:dyDescent="0.25">
      <c r="A7" t="s">
        <v>14</v>
      </c>
    </row>
    <row r="8" spans="1:5" x14ac:dyDescent="0.25">
      <c r="A8" t="s">
        <v>15</v>
      </c>
    </row>
    <row r="10" spans="1:5" x14ac:dyDescent="0.25">
      <c r="A10" t="s">
        <v>16</v>
      </c>
      <c r="E10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6713-1555-4ABA-AC08-874FEC07801F}">
  <dimension ref="A1:D6"/>
  <sheetViews>
    <sheetView zoomScale="160" zoomScaleNormal="160" workbookViewId="0">
      <selection activeCell="F12" sqref="F12"/>
    </sheetView>
  </sheetViews>
  <sheetFormatPr baseColWidth="10" defaultRowHeight="15" x14ac:dyDescent="0.25"/>
  <sheetData>
    <row r="1" spans="1:4" x14ac:dyDescent="0.25">
      <c r="A1" s="22" t="s">
        <v>3</v>
      </c>
      <c r="B1" s="4">
        <v>1</v>
      </c>
      <c r="C1" s="29">
        <v>2</v>
      </c>
      <c r="D1" s="29">
        <v>3</v>
      </c>
    </row>
    <row r="2" spans="1:4" x14ac:dyDescent="0.25">
      <c r="A2" s="23" t="s">
        <v>4</v>
      </c>
      <c r="B2" s="26">
        <v>5000</v>
      </c>
      <c r="C2" s="30">
        <v>4000</v>
      </c>
      <c r="D2" s="30">
        <v>3000</v>
      </c>
    </row>
    <row r="3" spans="1:4" x14ac:dyDescent="0.25">
      <c r="A3" s="23" t="s">
        <v>0</v>
      </c>
      <c r="B3" s="27">
        <v>10</v>
      </c>
      <c r="C3" s="23">
        <v>5</v>
      </c>
      <c r="D3" s="23">
        <v>3</v>
      </c>
    </row>
    <row r="4" spans="1:4" x14ac:dyDescent="0.25">
      <c r="A4" s="24" t="s">
        <v>5</v>
      </c>
      <c r="B4" s="28">
        <v>0.1</v>
      </c>
      <c r="C4" s="25">
        <v>0.05</v>
      </c>
      <c r="D4" s="25">
        <v>0.03</v>
      </c>
    </row>
    <row r="6" spans="1:4" x14ac:dyDescent="0.25">
      <c r="A6" s="31" t="s">
        <v>7</v>
      </c>
      <c r="B6" s="32">
        <f>FV(B4,B3,-B2)</f>
        <v>79687.123005000089</v>
      </c>
      <c r="C6" s="32">
        <f t="shared" ref="C6:D6" si="0">FV(C4,C3,-C2)</f>
        <v>22102.525000000012</v>
      </c>
      <c r="D6" s="32">
        <f t="shared" si="0"/>
        <v>9272.7000000000007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98AA-1A69-4AAF-87D8-DCF855851FD7}">
  <dimension ref="A1:C8"/>
  <sheetViews>
    <sheetView zoomScale="160" zoomScaleNormal="160" workbookViewId="0">
      <selection activeCell="G9" sqref="G9"/>
    </sheetView>
  </sheetViews>
  <sheetFormatPr baseColWidth="10" defaultRowHeight="15" x14ac:dyDescent="0.25"/>
  <cols>
    <col min="1" max="1" width="15" bestFit="1" customWidth="1"/>
  </cols>
  <sheetData>
    <row r="1" spans="1:3" x14ac:dyDescent="0.25">
      <c r="A1" s="33" t="s">
        <v>3</v>
      </c>
      <c r="B1" s="34">
        <v>1</v>
      </c>
      <c r="C1" s="34">
        <v>2</v>
      </c>
    </row>
    <row r="2" spans="1:3" x14ac:dyDescent="0.25">
      <c r="A2" s="23" t="s">
        <v>2</v>
      </c>
      <c r="B2" s="30">
        <v>100000</v>
      </c>
      <c r="C2" s="30">
        <v>100000</v>
      </c>
    </row>
    <row r="3" spans="1:3" x14ac:dyDescent="0.25">
      <c r="A3" s="23" t="s">
        <v>17</v>
      </c>
      <c r="B3" s="23">
        <v>1</v>
      </c>
      <c r="C3" s="23">
        <v>5</v>
      </c>
    </row>
    <row r="4" spans="1:3" x14ac:dyDescent="0.25">
      <c r="A4" s="23" t="s">
        <v>0</v>
      </c>
      <c r="B4" s="23">
        <v>7</v>
      </c>
      <c r="C4" s="23">
        <v>5</v>
      </c>
    </row>
    <row r="5" spans="1:3" x14ac:dyDescent="0.25">
      <c r="A5" s="23" t="s">
        <v>7</v>
      </c>
      <c r="B5" s="30">
        <v>150363</v>
      </c>
      <c r="C5" s="23"/>
    </row>
    <row r="6" spans="1:3" x14ac:dyDescent="0.25">
      <c r="A6" s="24" t="s">
        <v>18</v>
      </c>
      <c r="B6" s="24"/>
      <c r="C6" s="35">
        <v>25046</v>
      </c>
    </row>
    <row r="8" spans="1:3" x14ac:dyDescent="0.25">
      <c r="A8" s="31" t="s">
        <v>19</v>
      </c>
      <c r="B8" s="36">
        <f>(B5/B2)^(1/B4)-1</f>
        <v>5.9999973917328253E-2</v>
      </c>
      <c r="C8" s="37">
        <f>RATE(C4,C6,-C2)</f>
        <v>8.0005370970106293E-2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43A38-DE37-4399-BA6C-86012D54B08A}">
  <dimension ref="A1:D11"/>
  <sheetViews>
    <sheetView zoomScale="160" zoomScaleNormal="160" workbookViewId="0">
      <selection activeCell="E10" sqref="E10"/>
    </sheetView>
  </sheetViews>
  <sheetFormatPr baseColWidth="10" defaultRowHeight="15" x14ac:dyDescent="0.25"/>
  <cols>
    <col min="1" max="1" width="12.85546875" customWidth="1"/>
    <col min="3" max="3" width="6.42578125" customWidth="1"/>
  </cols>
  <sheetData>
    <row r="1" spans="1:4" x14ac:dyDescent="0.25">
      <c r="A1" s="38" t="s">
        <v>4</v>
      </c>
      <c r="B1" s="17">
        <v>400</v>
      </c>
    </row>
    <row r="2" spans="1:4" x14ac:dyDescent="0.25">
      <c r="A2" s="39" t="s">
        <v>10</v>
      </c>
      <c r="B2" s="41">
        <v>0.12</v>
      </c>
    </row>
    <row r="3" spans="1:4" x14ac:dyDescent="0.25">
      <c r="A3" s="39" t="s">
        <v>20</v>
      </c>
      <c r="B3" s="42">
        <f>B2/12</f>
        <v>0.01</v>
      </c>
    </row>
    <row r="4" spans="1:4" x14ac:dyDescent="0.25">
      <c r="A4" s="39" t="s">
        <v>21</v>
      </c>
      <c r="B4" s="15">
        <v>12</v>
      </c>
    </row>
    <row r="5" spans="1:4" x14ac:dyDescent="0.25">
      <c r="A5" s="39"/>
      <c r="B5" s="15"/>
    </row>
    <row r="6" spans="1:4" x14ac:dyDescent="0.25">
      <c r="A6" s="39" t="s">
        <v>7</v>
      </c>
      <c r="B6" s="43">
        <f>-FV(B3,B4,B1)</f>
        <v>5073.0012052787906</v>
      </c>
    </row>
    <row r="7" spans="1:4" x14ac:dyDescent="0.25">
      <c r="A7" s="39" t="s">
        <v>2</v>
      </c>
      <c r="B7" s="43">
        <f>PV(B3,B4,-B1)</f>
        <v>4502.0309893938538</v>
      </c>
    </row>
    <row r="8" spans="1:4" x14ac:dyDescent="0.25">
      <c r="A8" s="39"/>
      <c r="B8" s="15"/>
    </row>
    <row r="9" spans="1:4" x14ac:dyDescent="0.25">
      <c r="A9" s="39" t="s">
        <v>22</v>
      </c>
      <c r="B9" s="41">
        <v>5.0000000000000001E-3</v>
      </c>
    </row>
    <row r="10" spans="1:4" x14ac:dyDescent="0.25">
      <c r="A10" s="39"/>
      <c r="B10" s="15"/>
    </row>
    <row r="11" spans="1:4" x14ac:dyDescent="0.25">
      <c r="A11" s="40" t="s">
        <v>2</v>
      </c>
      <c r="B11" s="44">
        <f>B1*(1+B9)*((1+B3)^B4-(1+B9)^12)/((1+B3)^B4*(B3-B9))</f>
        <v>4648.3138097237015</v>
      </c>
      <c r="D11" t="s">
        <v>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59848-EA35-4E63-B6F2-23F5F9ED7B2F}">
  <dimension ref="A1:E9"/>
  <sheetViews>
    <sheetView zoomScale="150" zoomScaleNormal="150" workbookViewId="0">
      <selection activeCell="E5" sqref="E5:E9"/>
    </sheetView>
  </sheetViews>
  <sheetFormatPr baseColWidth="10" defaultRowHeight="15" x14ac:dyDescent="0.25"/>
  <cols>
    <col min="3" max="3" width="12" bestFit="1" customWidth="1"/>
  </cols>
  <sheetData>
    <row r="1" spans="1:5" x14ac:dyDescent="0.25">
      <c r="A1" s="45" t="s">
        <v>24</v>
      </c>
      <c r="B1" s="48">
        <v>100000</v>
      </c>
    </row>
    <row r="2" spans="1:5" x14ac:dyDescent="0.25">
      <c r="A2" s="46" t="s">
        <v>5</v>
      </c>
      <c r="B2" s="49">
        <v>0.1</v>
      </c>
    </row>
    <row r="3" spans="1:5" x14ac:dyDescent="0.25">
      <c r="A3" s="47" t="s">
        <v>25</v>
      </c>
      <c r="B3" s="40">
        <v>4</v>
      </c>
    </row>
    <row r="5" spans="1:5" x14ac:dyDescent="0.25">
      <c r="A5" s="29" t="s">
        <v>0</v>
      </c>
      <c r="B5" s="29" t="s">
        <v>26</v>
      </c>
      <c r="C5" s="29" t="s">
        <v>5</v>
      </c>
      <c r="D5" s="29" t="s">
        <v>27</v>
      </c>
      <c r="E5" s="29" t="s">
        <v>28</v>
      </c>
    </row>
    <row r="6" spans="1:5" x14ac:dyDescent="0.25">
      <c r="A6" s="50">
        <v>1</v>
      </c>
      <c r="B6" s="52">
        <f>-PMT($B$2,$B$3,$B$1)</f>
        <v>31547.080370609783</v>
      </c>
      <c r="C6" s="52">
        <f>-IPMT($B$2,A6,$B$3,$B$1)</f>
        <v>10000</v>
      </c>
      <c r="D6" s="52">
        <f>-PPMT($B$2,A6,$B$3,$B$1)</f>
        <v>21547.080370609787</v>
      </c>
      <c r="E6" s="53">
        <f>B1-D6</f>
        <v>78452.919629390206</v>
      </c>
    </row>
    <row r="7" spans="1:5" x14ac:dyDescent="0.25">
      <c r="A7" s="50">
        <v>2</v>
      </c>
      <c r="B7" s="53">
        <f>$B$6</f>
        <v>31547.080370609783</v>
      </c>
      <c r="C7" s="52">
        <f t="shared" ref="C7:C9" si="0">-IPMT($B$2,A7,$B$3,$B$1)</f>
        <v>7845.2919629390208</v>
      </c>
      <c r="D7" s="52">
        <f t="shared" ref="D7:D9" si="1">-PPMT($B$2,A7,$B$3,$B$1)</f>
        <v>23701.788407670763</v>
      </c>
      <c r="E7" s="53">
        <f>E6-D7</f>
        <v>54751.131221719443</v>
      </c>
    </row>
    <row r="8" spans="1:5" x14ac:dyDescent="0.25">
      <c r="A8" s="50">
        <v>3</v>
      </c>
      <c r="B8" s="53">
        <f t="shared" ref="B8:B9" si="2">$B$6</f>
        <v>31547.080370609783</v>
      </c>
      <c r="C8" s="52">
        <f t="shared" si="0"/>
        <v>5475.1131221719452</v>
      </c>
      <c r="D8" s="52">
        <f t="shared" si="1"/>
        <v>26071.967248437839</v>
      </c>
      <c r="E8" s="53">
        <f t="shared" ref="E8:E9" si="3">E7-D8</f>
        <v>28679.163973281604</v>
      </c>
    </row>
    <row r="9" spans="1:5" x14ac:dyDescent="0.25">
      <c r="A9" s="51">
        <v>4</v>
      </c>
      <c r="B9" s="54">
        <f t="shared" si="2"/>
        <v>31547.080370609783</v>
      </c>
      <c r="C9" s="55">
        <f t="shared" si="0"/>
        <v>2867.916397328162</v>
      </c>
      <c r="D9" s="55">
        <f t="shared" si="1"/>
        <v>28679.163973281622</v>
      </c>
      <c r="E9" s="54">
        <f t="shared" si="3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1FACA-BB93-4890-BE39-92F311E7DBB1}">
  <dimension ref="A1:D9"/>
  <sheetViews>
    <sheetView zoomScale="160" zoomScaleNormal="160" workbookViewId="0">
      <selection activeCell="B1" sqref="B1:B3"/>
    </sheetView>
  </sheetViews>
  <sheetFormatPr baseColWidth="10" defaultRowHeight="15" x14ac:dyDescent="0.25"/>
  <sheetData>
    <row r="1" spans="1:4" x14ac:dyDescent="0.25">
      <c r="A1" s="45" t="s">
        <v>24</v>
      </c>
      <c r="B1" s="8">
        <v>100000</v>
      </c>
    </row>
    <row r="2" spans="1:4" x14ac:dyDescent="0.25">
      <c r="A2" s="46" t="s">
        <v>5</v>
      </c>
      <c r="B2" s="9">
        <v>0.1</v>
      </c>
    </row>
    <row r="3" spans="1:4" x14ac:dyDescent="0.25">
      <c r="A3" s="47" t="s">
        <v>25</v>
      </c>
      <c r="B3" s="10">
        <v>4</v>
      </c>
    </row>
    <row r="5" spans="1:4" x14ac:dyDescent="0.25">
      <c r="A5" s="29" t="s">
        <v>0</v>
      </c>
      <c r="B5" s="29" t="s">
        <v>27</v>
      </c>
      <c r="C5" s="29" t="s">
        <v>5</v>
      </c>
      <c r="D5" s="29" t="s">
        <v>28</v>
      </c>
    </row>
    <row r="6" spans="1:4" x14ac:dyDescent="0.25">
      <c r="A6" s="50">
        <v>1</v>
      </c>
      <c r="B6" s="52">
        <v>25000</v>
      </c>
      <c r="C6" s="52">
        <f>B1*B2</f>
        <v>10000</v>
      </c>
      <c r="D6" s="53">
        <f>B1-B6</f>
        <v>75000</v>
      </c>
    </row>
    <row r="7" spans="1:4" x14ac:dyDescent="0.25">
      <c r="A7" s="50">
        <v>2</v>
      </c>
      <c r="B7" s="53">
        <f>$B$6</f>
        <v>25000</v>
      </c>
      <c r="C7" s="52">
        <f>D6*$B$2</f>
        <v>7500</v>
      </c>
      <c r="D7" s="53">
        <f>D6-B7</f>
        <v>50000</v>
      </c>
    </row>
    <row r="8" spans="1:4" x14ac:dyDescent="0.25">
      <c r="A8" s="50">
        <v>3</v>
      </c>
      <c r="B8" s="53">
        <f t="shared" ref="B8:B9" si="0">$B$6</f>
        <v>25000</v>
      </c>
      <c r="C8" s="52">
        <f t="shared" ref="C8:C9" si="1">D7*$B$2</f>
        <v>5000</v>
      </c>
      <c r="D8" s="53">
        <f t="shared" ref="D8:D9" si="2">D7-B8</f>
        <v>25000</v>
      </c>
    </row>
    <row r="9" spans="1:4" x14ac:dyDescent="0.25">
      <c r="A9" s="51">
        <v>4</v>
      </c>
      <c r="B9" s="54">
        <f t="shared" si="0"/>
        <v>25000</v>
      </c>
      <c r="C9" s="55">
        <f t="shared" si="1"/>
        <v>2500</v>
      </c>
      <c r="D9" s="54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Oppgave 3.1</vt:lpstr>
      <vt:lpstr>Oppgave 3.2</vt:lpstr>
      <vt:lpstr>Oppgave 3.3</vt:lpstr>
      <vt:lpstr>Oppgave 3.4</vt:lpstr>
      <vt:lpstr>Oppgave 3.5</vt:lpstr>
      <vt:lpstr>Oppgave 3.6</vt:lpstr>
      <vt:lpstr>Oppgave 3.7</vt:lpstr>
      <vt:lpstr>Oppgave 3.8</vt:lpstr>
      <vt:lpstr>Oppgave 3.9</vt:lpstr>
      <vt:lpstr>Oppgave 3.10</vt:lpstr>
      <vt:lpstr>Oppgave 3.11</vt:lpstr>
      <vt:lpstr>Oppgave 3.12</vt:lpstr>
      <vt:lpstr>Oppgave 3.13</vt:lpstr>
      <vt:lpstr>Oppave 3.14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2015-04-23T07:41:55Z</dcterms:created>
  <dcterms:modified xsi:type="dcterms:W3CDTF">2023-06-29T09:33:20Z</dcterms:modified>
  <cp:category/>
  <cp:contentStatus/>
</cp:coreProperties>
</file>