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E873A1A5-A7FB-4DFF-BEF3-AF311A9F434D}" xr6:coauthVersionLast="47" xr6:coauthVersionMax="47" xr10:uidLastSave="{00000000-0000-0000-0000-000000000000}"/>
  <bookViews>
    <workbookView xWindow="2295" yWindow="2295" windowWidth="23400" windowHeight="12630" activeTab="4" xr2:uid="{00000000-000D-0000-FFFF-FFFF00000000}"/>
  </bookViews>
  <sheets>
    <sheet name="Oppgave 3.21-3.22" sheetId="5" r:id="rId1"/>
    <sheet name="Oppgave 3.23" sheetId="6" r:id="rId2"/>
    <sheet name="Oppgave 3.24-3.27" sheetId="7" r:id="rId3"/>
    <sheet name="Oppgave 3.28" sheetId="8" r:id="rId4"/>
    <sheet name="Oppgave 3.29-3.31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9" l="1"/>
  <c r="C28" i="9"/>
  <c r="F28" i="9" s="1"/>
  <c r="E31" i="9"/>
  <c r="E30" i="9"/>
  <c r="F27" i="9"/>
  <c r="E9" i="9"/>
  <c r="E8" i="9"/>
  <c r="F7" i="9"/>
  <c r="F29" i="9" s="1"/>
  <c r="F6" i="9"/>
  <c r="F5" i="9"/>
  <c r="F21" i="6"/>
  <c r="F15" i="5"/>
  <c r="D40" i="8" l="1"/>
  <c r="F36" i="7" l="1"/>
  <c r="E94" i="9" l="1"/>
  <c r="D81" i="9"/>
  <c r="F72" i="9"/>
  <c r="D82" i="9" s="1"/>
  <c r="D59" i="9"/>
  <c r="E55" i="9"/>
  <c r="D60" i="9" s="1"/>
  <c r="D83" i="9" l="1"/>
  <c r="E85" i="9" s="1"/>
  <c r="D61" i="9"/>
  <c r="E63" i="9" s="1"/>
  <c r="E26" i="8"/>
  <c r="E12" i="8"/>
  <c r="E13" i="8" s="1"/>
  <c r="C9" i="8"/>
  <c r="G17" i="8" s="1"/>
  <c r="D76" i="7"/>
  <c r="E72" i="7"/>
  <c r="D72" i="7"/>
  <c r="D71" i="7"/>
  <c r="E14" i="8" l="1"/>
  <c r="E15" i="8"/>
  <c r="E27" i="8"/>
  <c r="E28" i="8" s="1"/>
  <c r="D33" i="8" s="1"/>
  <c r="E76" i="7"/>
  <c r="F57" i="7"/>
  <c r="F59" i="7" s="1"/>
  <c r="H61" i="7" s="1"/>
  <c r="H63" i="7" s="1"/>
  <c r="E73" i="7" s="1"/>
  <c r="E74" i="7" s="1"/>
  <c r="E77" i="7" s="1"/>
  <c r="D53" i="7"/>
  <c r="D52" i="7"/>
  <c r="D54" i="7" s="1"/>
  <c r="D73" i="7" s="1"/>
  <c r="D74" i="7" s="1"/>
  <c r="D77" i="7" s="1"/>
  <c r="D78" i="7" s="1"/>
  <c r="E78" i="7" l="1"/>
  <c r="F43" i="7"/>
  <c r="F35" i="7"/>
  <c r="F37" i="7" s="1"/>
  <c r="F45" i="7" l="1"/>
  <c r="E40" i="7"/>
  <c r="F47" i="7"/>
  <c r="E29" i="7"/>
  <c r="E23" i="7" s="1"/>
  <c r="E24" i="7" s="1"/>
  <c r="E11" i="7"/>
  <c r="E5" i="7"/>
  <c r="F22" i="6" l="1"/>
  <c r="F16" i="6" s="1"/>
  <c r="F10" i="6" l="1"/>
  <c r="F14" i="6" s="1"/>
  <c r="F17" i="6" s="1"/>
  <c r="F3" i="6"/>
  <c r="F5" i="6" s="1"/>
  <c r="F10" i="5" l="1"/>
</calcChain>
</file>

<file path=xl/sharedStrings.xml><?xml version="1.0" encoding="utf-8"?>
<sst xmlns="http://schemas.openxmlformats.org/spreadsheetml/2006/main" count="273" uniqueCount="203">
  <si>
    <t>=</t>
  </si>
  <si>
    <t>–</t>
  </si>
  <si>
    <t>Bruttofortjeneste</t>
  </si>
  <si>
    <t>Varekostnad</t>
  </si>
  <si>
    <t>+</t>
  </si>
  <si>
    <t>a)</t>
  </si>
  <si>
    <t>b)</t>
  </si>
  <si>
    <t>c)</t>
  </si>
  <si>
    <t>Anskaffelseskost</t>
  </si>
  <si>
    <t>Sum</t>
  </si>
  <si>
    <t>Oppgave 3.21</t>
  </si>
  <si>
    <t>Begge aksjepostene er langsiktige plasseringer. Ifølge rskl. § 5-3 første ledd skal</t>
  </si>
  <si>
    <t>vurdering skje til anskaffelseskost. Ifølge § 5-3 tredje ledd skal anleggsmidler nedskrives</t>
  </si>
  <si>
    <t>til virkelig verdi dersom de er utsatt for verdifall av varig karakter. Aksjene i Tredal AS</t>
  </si>
  <si>
    <t>skal derfor nedskrives til kr 300 000.</t>
  </si>
  <si>
    <r>
      <t>Aksjene i Id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bygg AS vurderes til</t>
    </r>
  </si>
  <si>
    <t>Aksjene i Tredal AS vurderes til</t>
  </si>
  <si>
    <t>Nr.</t>
  </si>
  <si>
    <t>Konto</t>
  </si>
  <si>
    <t>Posteringer</t>
  </si>
  <si>
    <t>Resultat</t>
  </si>
  <si>
    <t>Balanse</t>
  </si>
  <si>
    <t>Aksjer</t>
  </si>
  <si>
    <t>Nedskr. aksjer</t>
  </si>
  <si>
    <t>Balanseverdi 31.12.20x1</t>
  </si>
  <si>
    <t>Oppgave 3.22</t>
  </si>
  <si>
    <t>Obligasjoner</t>
  </si>
  <si>
    <t>Obligasjonene anses som en kortsiktig plassering. Hovedregelen for verdsetting er laveste</t>
  </si>
  <si>
    <t>verdis prinsipp, jf. rskl. § 5-2. Obligasjonene skal dermed verdsettes til anskaffelsesverdi,</t>
  </si>
  <si>
    <t>som er kr 1 525 000. Vi må imidlertid kunne anta at betingelsene i rskl. § 5-8 er oppfylt.</t>
  </si>
  <si>
    <t>I så fall må vi inntektsføre kr 15 000 som finansinntekt i resultatregnskapet. Små foretak</t>
  </si>
  <si>
    <t>kan ifølge rskl. § 5-8 andre ledd likevel vurdere obligasjonene til laveste verdi, det vil si</t>
  </si>
  <si>
    <t>kr 1 525 000.</t>
  </si>
  <si>
    <t>Denne plasseringen er langsiktig. Dermed kommer rskl. § 5-3 til anvendelse.</t>
  </si>
  <si>
    <t>Ifølge denne bestemmelsen skal anleggsmidler vurderes til anskaffelseskost, som er</t>
  </si>
  <si>
    <t>kr 250 000. Det er ikke anledning til å oppskrive anleggsmidler. Det vil med andre</t>
  </si>
  <si>
    <r>
      <t xml:space="preserve">ord </t>
    </r>
    <r>
      <rPr>
        <b/>
        <sz val="12"/>
        <color theme="1"/>
        <rFont val="Times New Roman"/>
        <family val="1"/>
      </rPr>
      <t>ikke</t>
    </r>
    <r>
      <rPr>
        <sz val="12"/>
        <color theme="1"/>
        <rFont val="Times New Roman"/>
        <family val="1"/>
      </rPr>
      <t xml:space="preserve"> være tillatt å vurdere de aktuelle aksjene til kr 280 000.</t>
    </r>
  </si>
  <si>
    <t>Oppgave 3.23</t>
  </si>
  <si>
    <r>
      <t xml:space="preserve">Årlig avskrivning: 10 000 000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0,02 =</t>
    </r>
  </si>
  <si>
    <r>
      <t xml:space="preserve">Avskrivning i 20x1: 200 000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=</t>
    </r>
  </si>
  <si>
    <t xml:space="preserve"> –</t>
  </si>
  <si>
    <t>Avskrivning 20x1</t>
  </si>
  <si>
    <t>Avskrivning 20x2</t>
  </si>
  <si>
    <t>Jf. regnskapsloven § 5-3 andre ledd</t>
  </si>
  <si>
    <t>Bokført verdi 1.1.20x3</t>
  </si>
  <si>
    <t>Påkostning</t>
  </si>
  <si>
    <t>Årlig avskrivning fra og med 20x3</t>
  </si>
  <si>
    <t>Bokført verdi (balanseverdi) 31.12.20x3</t>
  </si>
  <si>
    <t>Av opprinnelig ansk.kost: 2 % av 10 000 000 =</t>
  </si>
  <si>
    <t>Oppussing og vedlikehold utført i 20x3 kostnadsføres direkte og får</t>
  </si>
  <si>
    <t>ingen betydning for avskrivningene.</t>
  </si>
  <si>
    <t>Beregning av avskrivning 20x3:</t>
  </si>
  <si>
    <t>Langsiktige aksjer vurderes etter rskl. § 5-3. Slike aksjer skal vurderes til</t>
  </si>
  <si>
    <t>varige karakter, skal aksjene nedskrives til virkelig verdi, som er</t>
  </si>
  <si>
    <t>Hvis verdifallet anses som forbigående, skal aksjene vurderes til</t>
  </si>
  <si>
    <t>kr 2 000 000.</t>
  </si>
  <si>
    <t>Oppgave 3.24</t>
  </si>
  <si>
    <t>Varebeholdning 1.1.</t>
  </si>
  <si>
    <t>Inntakskost (anskaffelseskost) =</t>
  </si>
  <si>
    <t>Virkelig verdi: 260 000 – 10 % =</t>
  </si>
  <si>
    <t>Varebeholdning 31.12.</t>
  </si>
  <si>
    <t>Virkelig verdi: 290 000 – 10 % =</t>
  </si>
  <si>
    <t>Varebeholdningen 31.12. skal vurderes til</t>
  </si>
  <si>
    <t>Varebeholdningen 1.1. skal vurderes til</t>
  </si>
  <si>
    <t>Jf. regnskapsloven § 5-2 som sier at omløpsmidler skal vurderes til laveste</t>
  </si>
  <si>
    <t>verdi av anskaffelseskost og virkelig verdi.</t>
  </si>
  <si>
    <t>Oppgave 3.25</t>
  </si>
  <si>
    <t>Varebeholdning 1.1.20x1</t>
  </si>
  <si>
    <t>Varekjøp 20x1</t>
  </si>
  <si>
    <t>Varebeholdning 31.12.20x1</t>
  </si>
  <si>
    <t>Varekostnad 20x1</t>
  </si>
  <si>
    <t>Kurante varer: 790 000 – 30 000 =</t>
  </si>
  <si>
    <r>
      <t>Varebeholdning 31.12.20x1</t>
    </r>
    <r>
      <rPr>
        <vertAlign val="superscript"/>
        <sz val="12"/>
        <color theme="1"/>
        <rFont val="Times New Roman"/>
        <family val="1"/>
      </rPr>
      <t>1</t>
    </r>
  </si>
  <si>
    <t>Virkelig verdi ukurante varer</t>
  </si>
  <si>
    <t>Oppgave 3.26</t>
  </si>
  <si>
    <t>Beholdning 1.1. (antall enheter)</t>
  </si>
  <si>
    <t xml:space="preserve">Beholdning 31.12. (antall enheter) </t>
  </si>
  <si>
    <t>FIFO-prinsippet</t>
  </si>
  <si>
    <t>Veid gjennomsnittspris (aritmetisk metode):</t>
  </si>
  <si>
    <r>
      <t xml:space="preserve">(1 500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8 + 5 500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10 + 3 000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12) : 10 000 = </t>
    </r>
  </si>
  <si>
    <t>Oppgave 3.27</t>
  </si>
  <si>
    <t>UB varelager etter FIFO-prinsippet:</t>
  </si>
  <si>
    <t>1 300 enheter à kr 82 =</t>
  </si>
  <si>
    <t>1 200 enheter à kr 80 =</t>
  </si>
  <si>
    <t>Varekjøp (8 000 enheter)</t>
  </si>
  <si>
    <t>IB varebeholdning: 2 000 enheter à kr 90 =</t>
  </si>
  <si>
    <t>Gjennomsnittlig inntakskost etter veid aritmetisk metode: 884 000 : 10 000 =</t>
  </si>
  <si>
    <t>UB varelager etter gjennomsnittsprinsippet: 2 500 enheter à kr 88,40 =</t>
  </si>
  <si>
    <t>Antall solgte enheter: 2 000 + 8 000 – 2 500 = 7 500 enheter</t>
  </si>
  <si>
    <t>Varebeholdning IB</t>
  </si>
  <si>
    <t>Varekjøp</t>
  </si>
  <si>
    <t>Varebeholdning UB</t>
  </si>
  <si>
    <t>FIFO</t>
  </si>
  <si>
    <t>Gj.snitts-</t>
  </si>
  <si>
    <t>prinsippet</t>
  </si>
  <si>
    <t xml:space="preserve">  2 000 enheter à kr 90</t>
  </si>
  <si>
    <t>Salgsinntekter</t>
  </si>
  <si>
    <t xml:space="preserve">  7 500 enheter à kr 175</t>
  </si>
  <si>
    <t xml:space="preserve">Innkjøpsprisene har falt i løpet av perioden. Etter FIFO-prinsippet vil derfor UB </t>
  </si>
  <si>
    <t>varelager bli verdsatt lavere sammenlignet med verdien etter gjennomsnittsprinsippet.</t>
  </si>
  <si>
    <t>Derfor vil varekostnaden etter FIFO-prinsippet bli høyere. Bruttofortjenesten</t>
  </si>
  <si>
    <t>etter gjennomsnittsprinsippet er kr 18 400 høyere enn etter FIFO-prinsippet.</t>
  </si>
  <si>
    <t>Dersom innkjøpsprisene hadde vist en stigende tendens, ville FIFO-prinsippet</t>
  </si>
  <si>
    <t>vist høyere bruttofortjeneste enn gjennomsnittsprinsippet.</t>
  </si>
  <si>
    <t>Oppgave 3.28</t>
  </si>
  <si>
    <t>Innkjøpspris</t>
  </si>
  <si>
    <t>Toll og frakt</t>
  </si>
  <si>
    <t>Inntakskost</t>
  </si>
  <si>
    <t>Normals salgspris uten mva.</t>
  </si>
  <si>
    <t>70 % prisavslag</t>
  </si>
  <si>
    <t>Pris på salget i januar</t>
  </si>
  <si>
    <t>10 % salgskostnader</t>
  </si>
  <si>
    <t>Virkelig verdi per enhet</t>
  </si>
  <si>
    <t>Jakkene verdsettes slik: 100 enheter à kr 330 =</t>
  </si>
  <si>
    <t>Badedrakten Cindy</t>
  </si>
  <si>
    <t>Salgspris med mva.</t>
  </si>
  <si>
    <t>Merverdiavgift</t>
  </si>
  <si>
    <t>Salgspris uten mva.</t>
  </si>
  <si>
    <r>
      <t xml:space="preserve">250 </t>
    </r>
    <r>
      <rPr>
        <sz val="12"/>
        <color theme="1"/>
        <rFont val="Calibri"/>
        <family val="2"/>
      </rPr>
      <t>∙</t>
    </r>
    <r>
      <rPr>
        <sz val="12"/>
        <color theme="1"/>
        <rFont val="Times New Roman"/>
        <family val="1"/>
      </rPr>
      <t xml:space="preserve"> 25/125</t>
    </r>
  </si>
  <si>
    <t>Det er rimelig å legge salgsprisen til sommeren til grunn.</t>
  </si>
  <si>
    <t>Virkelig verdi er lavere enn anskaffelsesverdien, og badedraktene verdsettes slik:</t>
  </si>
  <si>
    <t>50 enheter à kr 180 =</t>
  </si>
  <si>
    <t>Romeo-buksa</t>
  </si>
  <si>
    <t>Inntakskost er lavere enn virkelig verdi, og buksene verdsettes til anskaffelseskost:</t>
  </si>
  <si>
    <t>Skjerfet Adonis</t>
  </si>
  <si>
    <t>Inntakskost er kr 100.</t>
  </si>
  <si>
    <t>Skjerfene må anses som verdiløse og verdsettes til 0.</t>
  </si>
  <si>
    <t>Varer i arbeid</t>
  </si>
  <si>
    <t>Ferdige varer</t>
  </si>
  <si>
    <t>Råvarer</t>
  </si>
  <si>
    <t>Kjøp av råvarer</t>
  </si>
  <si>
    <t>Råvarebeholdningene nedskrives med kr 20 000 til kr 145 000. Deretter bokfører vi beholdningsøkning på kr 45 000 ved å</t>
  </si>
  <si>
    <t>Ingen endring varer i arbeid.</t>
  </si>
  <si>
    <t>Oppgave 3.29</t>
  </si>
  <si>
    <t>debitering av resultatkontoen).</t>
  </si>
  <si>
    <t>Vi merker oss at den oppgitte salgsverdien for ferdigvarelageret ikke har noen betydning for oppgjøret.</t>
  </si>
  <si>
    <t>I dette tilfellet vil vurdering av varer i arbeid og ferdige varer til full tilvirkningskost (oppgave a) gi kr 10 000 lavere resultat</t>
  </si>
  <si>
    <t>enn vurdering til variabel tilvirkningskost. Når vi bruker full tilvirkningskost, vil faste tilvirkningskostnader "følge" varene.</t>
  </si>
  <si>
    <t>Når beholdningen blir redusert, vil regnskapet i år bli belastet med faste kostnader som "hører hjemme" i den foregående perioden.</t>
  </si>
  <si>
    <t>Oppgave 3.30</t>
  </si>
  <si>
    <t>Full tilvirkningskost omfatter både faste og variable tilvirkningskostnader. Variabel tilvirkningskost omfatter bare</t>
  </si>
  <si>
    <t>de variable tilvirkningskostnadene.</t>
  </si>
  <si>
    <t>Beholdningene per 31.12.20x1</t>
  </si>
  <si>
    <t>Materialer</t>
  </si>
  <si>
    <t>220 000 – 15 000</t>
  </si>
  <si>
    <t>Oppgave 3.31</t>
  </si>
  <si>
    <t>Faste tilvirkningskostnader per enhet: 1 000 000 : 10 000 =</t>
  </si>
  <si>
    <t>Direkte materialer</t>
  </si>
  <si>
    <t>Direkte lønn</t>
  </si>
  <si>
    <t>Indirekte variable tilvirkningskostnader</t>
  </si>
  <si>
    <t>Indirekte faste tilvirkningskostnader</t>
  </si>
  <si>
    <t>Ferdigvarer 31.12.20x1: 2 000 enheter à kr 210 =</t>
  </si>
  <si>
    <t>Endret forutsetning: Produksjon 12 500 enheter</t>
  </si>
  <si>
    <r>
      <t xml:space="preserve">Produksjonen har altså vært </t>
    </r>
    <r>
      <rPr>
        <b/>
        <i/>
        <sz val="12"/>
        <color theme="1"/>
        <rFont val="Times New Roman"/>
        <family val="1"/>
      </rPr>
      <t>større</t>
    </r>
    <r>
      <rPr>
        <sz val="12"/>
        <color theme="1"/>
        <rFont val="Times New Roman"/>
        <family val="1"/>
      </rPr>
      <t xml:space="preserve"> enn normal</t>
    </r>
  </si>
  <si>
    <t>Faste tilvirkningskostnader per enhet: 1 000 000 : 12 500 =</t>
  </si>
  <si>
    <t>Tilvirkningskost per enhet</t>
  </si>
  <si>
    <t xml:space="preserve"> 10 % av (60 + 40)</t>
  </si>
  <si>
    <t>Ferdigvarer 31.12.20x1: 4 500 à kr 190 =</t>
  </si>
  <si>
    <t>Fordi produksjonen har vært 2 500 enheter større enn salget, har beholdningen</t>
  </si>
  <si>
    <t>økt tilsvarende (altså til 4 500).</t>
  </si>
  <si>
    <t>Endret forutsetning: Produksjon 9 000 enheter</t>
  </si>
  <si>
    <r>
      <t xml:space="preserve">Produksjonen har altså vært </t>
    </r>
    <r>
      <rPr>
        <b/>
        <i/>
        <sz val="12"/>
        <color theme="1"/>
        <rFont val="Times New Roman"/>
        <family val="1"/>
      </rPr>
      <t>mindre</t>
    </r>
    <r>
      <rPr>
        <sz val="12"/>
        <color theme="1"/>
        <rFont val="Times New Roman"/>
        <family val="1"/>
      </rPr>
      <t xml:space="preserve"> enn normal</t>
    </r>
  </si>
  <si>
    <t>Produksjonen har vært 1 000 enheter mindre enn salget. Dermed har beholdningen</t>
  </si>
  <si>
    <t>gått ned tilsvarende, altså til 1 000 enheter.</t>
  </si>
  <si>
    <t>Ferdigvarer 31.12.20x1: 1 000 à kr 210 =</t>
  </si>
  <si>
    <t>Når produksjonen er større enn normal, blir de faste kostnadene per enhet lavere.</t>
  </si>
  <si>
    <t>I slik tilfeller legger man de lavere enhetskostnadene til grunn når lageret verdsettes.</t>
  </si>
  <si>
    <t>Dersom vi hadde brukt kr 210 ved verdsettingen, ville en del av periodens faste</t>
  </si>
  <si>
    <t>kostnader ha "fulgt" varen til neste periode.</t>
  </si>
  <si>
    <t>Når produksjonen er lavere enn normal, legger vi kostnadene ved normal</t>
  </si>
  <si>
    <t>produksjon til grunn ved verdsettingen.</t>
  </si>
  <si>
    <t>Jf. rskl. § 5-2 og NRS nr. 1</t>
  </si>
  <si>
    <t>Ifølge rskl. § 5-8 er det anledning til å verdsette obligasjonene til virkelig verdi, kr 1 540 000.</t>
  </si>
  <si>
    <t>Bokført (regnskapsmessig) verdi 31.12.20x2</t>
  </si>
  <si>
    <t>Avskrivning ifølge beregning nedenfor</t>
  </si>
  <si>
    <t>kr 1 800 000. Nedskrivningen på kr 200 000 føres i så fall som finanskostnad.</t>
  </si>
  <si>
    <t>1 700 enheter à kr 12 =</t>
  </si>
  <si>
    <t>Balanseverdi: 1 700 enheter à kr 10,30 =</t>
  </si>
  <si>
    <t>Balanseverdi: 1 700 enheter à kr 10 =</t>
  </si>
  <si>
    <t>Inntakskost per enhet: (185 + 10) =</t>
  </si>
  <si>
    <r>
      <t xml:space="preserve">Her har vi en beholdningsnedgang på kr 50 000. Vi krediterer derfor konto </t>
    </r>
    <r>
      <rPr>
        <i/>
        <sz val="12"/>
        <color theme="1"/>
        <rFont val="Times New Roman"/>
        <family val="1"/>
      </rPr>
      <t>1440 Ferdige varer</t>
    </r>
    <r>
      <rPr>
        <sz val="12"/>
        <color theme="1"/>
        <rFont val="Times New Roman"/>
        <family val="1"/>
      </rPr>
      <t xml:space="preserve"> samtidig som vi debiterer </t>
    </r>
  </si>
  <si>
    <r>
      <t xml:space="preserve">konto </t>
    </r>
    <r>
      <rPr>
        <i/>
        <sz val="12"/>
        <color theme="1"/>
        <rFont val="Times New Roman"/>
        <family val="1"/>
      </rPr>
      <t>4190 Beholdningsendring varer i arbeid og ferdige varer</t>
    </r>
    <r>
      <rPr>
        <sz val="12"/>
        <color theme="1"/>
        <rFont val="Times New Roman"/>
        <family val="1"/>
      </rPr>
      <t>. Det betyr at kostnadene for de solgte varene øker med kr 50 000 (jf.</t>
    </r>
  </si>
  <si>
    <r>
      <t xml:space="preserve">debitere konto </t>
    </r>
    <r>
      <rPr>
        <i/>
        <sz val="12"/>
        <color theme="1"/>
        <rFont val="Times New Roman"/>
        <family val="1"/>
      </rPr>
      <t>1400 Råvarer</t>
    </r>
    <r>
      <rPr>
        <sz val="12"/>
        <color theme="1"/>
        <rFont val="Times New Roman"/>
        <family val="1"/>
      </rPr>
      <t xml:space="preserve">. Samtidig krediteres konto </t>
    </r>
    <r>
      <rPr>
        <i/>
        <sz val="12"/>
        <color theme="1"/>
        <rFont val="Times New Roman"/>
        <family val="1"/>
      </rPr>
      <t>4000 Kjøp av råvarer</t>
    </r>
    <r>
      <rPr>
        <sz val="12"/>
        <color theme="1"/>
        <rFont val="Times New Roman"/>
        <family val="1"/>
      </rPr>
      <t>. Årets råvarekostnad blir dermed kr 4 455 000.</t>
    </r>
  </si>
  <si>
    <t>Beholdn.endring v.i.a. og f.v.</t>
  </si>
  <si>
    <t>160 000 – 20 000.</t>
  </si>
  <si>
    <t>Vurderes til full tilvirkningskost</t>
  </si>
  <si>
    <t>Vurderes til tilvirkningsmerkost</t>
  </si>
  <si>
    <t>Samme vurdering som ovenfor</t>
  </si>
  <si>
    <t>120 000 – 15 000</t>
  </si>
  <si>
    <t>anskaffelseskost. Dersom aksjene faller i verdi, og verdifallet er av</t>
  </si>
  <si>
    <t>Solgte enheter: 1 000 + 5 000 + 2 300 =</t>
  </si>
  <si>
    <t>Innkjøpte enheter: 5 500 + 3 000 =</t>
  </si>
  <si>
    <t>UB varelager etter gjennomsnittsprinsippet:</t>
  </si>
  <si>
    <t>Bruttofortjenesten etter begge prinsipper:</t>
  </si>
  <si>
    <t>Adonisjakken</t>
  </si>
  <si>
    <t>80 enheter à kr 350 =</t>
  </si>
  <si>
    <t>Saldo-</t>
  </si>
  <si>
    <t>balanse</t>
  </si>
  <si>
    <t>Poster-</t>
  </si>
  <si>
    <t>inger</t>
  </si>
  <si>
    <t>Avskrivning påkostning: 6 000 000 : 48,5 =</t>
  </si>
  <si>
    <r>
      <t xml:space="preserve">over 48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</t>
    </r>
  </si>
  <si>
    <r>
      <t xml:space="preserve">Gjenværende levetid 1.1.20x3 er 48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 Derfor avskrives påkostningen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</si>
</sst>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"/>
    <numFmt numFmtId="166" formatCode="#,##0.0000"/>
    <numFmt numFmtId="167" formatCode="#,##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quotePrefix="1" applyFont="1" applyAlignment="1">
      <alignment horizontal="right"/>
    </xf>
    <xf numFmtId="3" fontId="1" fillId="0" borderId="0" xfId="0" applyNumberFormat="1" applyFont="1"/>
    <xf numFmtId="3" fontId="1" fillId="0" borderId="1" xfId="0" applyNumberFormat="1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0" xfId="0" applyFont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0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6" fillId="0" borderId="10" xfId="0" applyNumberFormat="1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0" fontId="1" fillId="0" borderId="0" xfId="0" applyFont="1" applyFill="1"/>
    <xf numFmtId="0" fontId="7" fillId="0" borderId="0" xfId="0" applyFont="1"/>
    <xf numFmtId="0" fontId="8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3" fontId="1" fillId="0" borderId="0" xfId="0" applyNumberFormat="1" applyFont="1" applyFill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2" fillId="0" borderId="0" xfId="0" applyFont="1" applyAlignment="1"/>
    <xf numFmtId="4" fontId="1" fillId="0" borderId="0" xfId="0" applyNumberFormat="1" applyFont="1"/>
    <xf numFmtId="3" fontId="3" fillId="0" borderId="0" xfId="0" applyNumberFormat="1" applyFont="1"/>
    <xf numFmtId="4" fontId="1" fillId="0" borderId="1" xfId="0" applyNumberFormat="1" applyFont="1" applyBorder="1"/>
    <xf numFmtId="0" fontId="1" fillId="0" borderId="0" xfId="0" applyFont="1" applyBorder="1"/>
    <xf numFmtId="3" fontId="1" fillId="0" borderId="9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1" fillId="0" borderId="0" xfId="0" applyFont="1"/>
    <xf numFmtId="0" fontId="2" fillId="0" borderId="0" xfId="0" applyFont="1"/>
    <xf numFmtId="3" fontId="1" fillId="0" borderId="0" xfId="0" applyNumberFormat="1" applyFont="1" applyFill="1" applyBorder="1"/>
    <xf numFmtId="166" fontId="1" fillId="0" borderId="0" xfId="0" applyNumberFormat="1" applyFont="1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/>
    <xf numFmtId="3" fontId="1" fillId="0" borderId="0" xfId="0" applyNumberFormat="1" applyFont="1" applyFill="1" applyAlignment="1">
      <alignment horizontal="left" indent="2"/>
    </xf>
    <xf numFmtId="167" fontId="1" fillId="0" borderId="0" xfId="0" applyNumberFormat="1" applyFont="1"/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Fill="1" applyBorder="1"/>
    <xf numFmtId="3" fontId="1" fillId="0" borderId="10" xfId="0" applyNumberFormat="1" applyFont="1" applyFill="1" applyBorder="1"/>
    <xf numFmtId="3" fontId="1" fillId="0" borderId="4" xfId="0" applyNumberFormat="1" applyFont="1" applyBorder="1" applyAlignment="1">
      <alignment horizontal="center"/>
    </xf>
    <xf numFmtId="3" fontId="6" fillId="0" borderId="10" xfId="0" applyNumberFormat="1" applyFont="1" applyFill="1" applyBorder="1"/>
    <xf numFmtId="3" fontId="6" fillId="0" borderId="17" xfId="0" applyNumberFormat="1" applyFont="1" applyBorder="1"/>
    <xf numFmtId="3" fontId="6" fillId="0" borderId="17" xfId="0" applyNumberFormat="1" applyFont="1" applyFill="1" applyBorder="1"/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3" fontId="1" fillId="0" borderId="13" xfId="0" applyNumberFormat="1" applyFont="1" applyFill="1" applyBorder="1"/>
    <xf numFmtId="3" fontId="1" fillId="0" borderId="5" xfId="0" applyNumberFormat="1" applyFont="1" applyBorder="1" applyAlignment="1">
      <alignment horizontal="center"/>
    </xf>
    <xf numFmtId="3" fontId="1" fillId="0" borderId="14" xfId="0" applyNumberFormat="1" applyFont="1" applyFill="1" applyBorder="1"/>
    <xf numFmtId="3" fontId="1" fillId="0" borderId="16" xfId="0" applyNumberFormat="1" applyFont="1" applyFill="1" applyBorder="1"/>
    <xf numFmtId="3" fontId="1" fillId="0" borderId="15" xfId="0" applyNumberFormat="1" applyFont="1" applyFill="1" applyBorder="1"/>
    <xf numFmtId="0" fontId="1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5"/>
  <sheetViews>
    <sheetView showGridLines="0" topLeftCell="A9" workbookViewId="0">
      <selection activeCell="H18" sqref="H18"/>
    </sheetView>
  </sheetViews>
  <sheetFormatPr baseColWidth="10" defaultRowHeight="15.75" x14ac:dyDescent="0.25"/>
  <cols>
    <col min="1" max="1" width="5.7109375" style="1" customWidth="1"/>
    <col min="2" max="2" width="13.140625" style="1" customWidth="1"/>
    <col min="3" max="3" width="8.28515625" style="1" customWidth="1"/>
    <col min="4" max="10" width="8.28515625" style="5" customWidth="1"/>
    <col min="11" max="16384" width="11.42578125" style="1"/>
  </cols>
  <sheetData>
    <row r="1" spans="1:13" x14ac:dyDescent="0.25">
      <c r="A1" s="2" t="s">
        <v>10</v>
      </c>
    </row>
    <row r="3" spans="1:13" x14ac:dyDescent="0.25">
      <c r="A3" s="1" t="s">
        <v>5</v>
      </c>
      <c r="B3" s="1" t="s">
        <v>11</v>
      </c>
    </row>
    <row r="4" spans="1:13" x14ac:dyDescent="0.25">
      <c r="B4" s="1" t="s">
        <v>12</v>
      </c>
    </row>
    <row r="5" spans="1:13" x14ac:dyDescent="0.25">
      <c r="B5" s="1" t="s">
        <v>13</v>
      </c>
    </row>
    <row r="6" spans="1:13" x14ac:dyDescent="0.25">
      <c r="B6" s="1" t="s">
        <v>14</v>
      </c>
    </row>
    <row r="8" spans="1:13" x14ac:dyDescent="0.25">
      <c r="B8" s="1" t="s">
        <v>15</v>
      </c>
      <c r="F8" s="5">
        <v>140000</v>
      </c>
    </row>
    <row r="9" spans="1:13" x14ac:dyDescent="0.25">
      <c r="B9" s="1" t="s">
        <v>16</v>
      </c>
      <c r="F9" s="5">
        <v>300000</v>
      </c>
    </row>
    <row r="10" spans="1:13" s="3" customFormat="1" ht="20.25" x14ac:dyDescent="0.3">
      <c r="A10" s="1"/>
      <c r="B10" s="1" t="s">
        <v>24</v>
      </c>
      <c r="C10" s="1"/>
      <c r="D10" s="5"/>
      <c r="E10" s="5"/>
      <c r="F10" s="6">
        <f>SUM(F8:F9)</f>
        <v>440000</v>
      </c>
      <c r="G10" s="5"/>
      <c r="H10" s="5"/>
      <c r="I10" s="5"/>
      <c r="J10" s="5"/>
      <c r="K10" s="1"/>
      <c r="L10" s="1"/>
      <c r="M10" s="1"/>
    </row>
    <row r="12" spans="1:13" x14ac:dyDescent="0.25">
      <c r="A12" s="1" t="s">
        <v>6</v>
      </c>
    </row>
    <row r="13" spans="1:13" s="53" customFormat="1" x14ac:dyDescent="0.25">
      <c r="A13" s="22" t="s">
        <v>17</v>
      </c>
      <c r="B13" s="7" t="s">
        <v>18</v>
      </c>
      <c r="C13" s="17" t="s">
        <v>196</v>
      </c>
      <c r="D13" s="17" t="s">
        <v>198</v>
      </c>
      <c r="E13" s="17" t="s">
        <v>20</v>
      </c>
      <c r="F13" s="17" t="s">
        <v>21</v>
      </c>
      <c r="G13" s="69"/>
      <c r="H13" s="69"/>
      <c r="I13" s="69"/>
      <c r="J13" s="69"/>
      <c r="K13" s="49"/>
    </row>
    <row r="14" spans="1:13" s="53" customFormat="1" x14ac:dyDescent="0.25">
      <c r="A14" s="23"/>
      <c r="B14" s="8"/>
      <c r="C14" s="18" t="s">
        <v>197</v>
      </c>
      <c r="D14" s="18" t="s">
        <v>199</v>
      </c>
      <c r="E14" s="18"/>
      <c r="F14" s="18"/>
      <c r="G14" s="70"/>
      <c r="H14" s="70"/>
      <c r="I14" s="70"/>
      <c r="J14" s="70"/>
      <c r="K14" s="49"/>
    </row>
    <row r="15" spans="1:13" s="53" customFormat="1" x14ac:dyDescent="0.25">
      <c r="A15" s="25">
        <v>1350</v>
      </c>
      <c r="B15" s="26" t="s">
        <v>22</v>
      </c>
      <c r="C15" s="67">
        <v>640000</v>
      </c>
      <c r="D15" s="68">
        <v>-200000</v>
      </c>
      <c r="E15" s="68"/>
      <c r="F15" s="68">
        <f>SUM(C15:D15)</f>
        <v>440000</v>
      </c>
      <c r="G15" s="71"/>
      <c r="H15" s="71"/>
      <c r="I15" s="71"/>
      <c r="J15" s="71"/>
      <c r="K15" s="49"/>
    </row>
    <row r="16" spans="1:13" s="53" customFormat="1" x14ac:dyDescent="0.25">
      <c r="A16" s="27">
        <v>8120</v>
      </c>
      <c r="B16" s="28" t="s">
        <v>23</v>
      </c>
      <c r="C16" s="24"/>
      <c r="D16" s="66">
        <v>200000</v>
      </c>
      <c r="E16" s="66">
        <v>200000</v>
      </c>
      <c r="F16" s="66"/>
      <c r="G16" s="71"/>
      <c r="H16" s="71"/>
      <c r="I16" s="71"/>
      <c r="J16" s="71"/>
      <c r="K16" s="49"/>
    </row>
    <row r="17" spans="1:11" s="53" customFormat="1" x14ac:dyDescent="0.25">
      <c r="D17" s="5"/>
      <c r="E17" s="5"/>
      <c r="F17" s="5"/>
      <c r="G17" s="21"/>
      <c r="H17" s="21"/>
      <c r="I17" s="21"/>
      <c r="J17" s="21"/>
      <c r="K17" s="49"/>
    </row>
    <row r="18" spans="1:11" s="53" customFormat="1" x14ac:dyDescent="0.25">
      <c r="D18" s="5"/>
      <c r="E18" s="5"/>
      <c r="F18" s="5"/>
      <c r="G18" s="5"/>
      <c r="H18" s="5"/>
      <c r="I18" s="5"/>
      <c r="J18" s="5"/>
    </row>
    <row r="20" spans="1:11" x14ac:dyDescent="0.25">
      <c r="A20" s="2" t="s">
        <v>25</v>
      </c>
    </row>
    <row r="22" spans="1:11" x14ac:dyDescent="0.25">
      <c r="A22" s="2" t="s">
        <v>26</v>
      </c>
    </row>
    <row r="23" spans="1:11" x14ac:dyDescent="0.25">
      <c r="A23" s="1" t="s">
        <v>27</v>
      </c>
    </row>
    <row r="24" spans="1:11" x14ac:dyDescent="0.25">
      <c r="A24" s="1" t="s">
        <v>28</v>
      </c>
    </row>
    <row r="25" spans="1:11" x14ac:dyDescent="0.25">
      <c r="A25" s="1" t="s">
        <v>29</v>
      </c>
    </row>
    <row r="26" spans="1:11" x14ac:dyDescent="0.25">
      <c r="A26" s="1" t="s">
        <v>172</v>
      </c>
    </row>
    <row r="27" spans="1:11" x14ac:dyDescent="0.25">
      <c r="A27" s="1" t="s">
        <v>30</v>
      </c>
    </row>
    <row r="28" spans="1:11" x14ac:dyDescent="0.25">
      <c r="A28" s="1" t="s">
        <v>31</v>
      </c>
    </row>
    <row r="29" spans="1:11" x14ac:dyDescent="0.25">
      <c r="A29" s="1" t="s">
        <v>32</v>
      </c>
    </row>
    <row r="31" spans="1:11" x14ac:dyDescent="0.25">
      <c r="A31" s="2" t="s">
        <v>22</v>
      </c>
    </row>
    <row r="32" spans="1:11" x14ac:dyDescent="0.25">
      <c r="A32" s="1" t="s">
        <v>33</v>
      </c>
    </row>
    <row r="33" spans="1:1" x14ac:dyDescent="0.25">
      <c r="A33" s="1" t="s">
        <v>34</v>
      </c>
    </row>
    <row r="34" spans="1:1" x14ac:dyDescent="0.25">
      <c r="A34" s="1" t="s">
        <v>35</v>
      </c>
    </row>
    <row r="35" spans="1:1" x14ac:dyDescent="0.25">
      <c r="A35" s="1" t="s">
        <v>36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topLeftCell="A4" workbookViewId="0">
      <selection activeCell="K18" sqref="K18"/>
    </sheetView>
  </sheetViews>
  <sheetFormatPr baseColWidth="10" defaultRowHeight="15.75" x14ac:dyDescent="0.25"/>
  <cols>
    <col min="1" max="1" width="5.7109375" style="5" customWidth="1"/>
    <col min="2" max="5" width="11.42578125" style="1"/>
    <col min="6" max="6" width="11.42578125" style="5" customWidth="1"/>
    <col min="7" max="8" width="11.42578125" style="5"/>
    <col min="9" max="16384" width="11.42578125" style="1"/>
  </cols>
  <sheetData>
    <row r="1" spans="1:11" x14ac:dyDescent="0.25">
      <c r="A1" s="2" t="s">
        <v>37</v>
      </c>
      <c r="D1" s="5"/>
      <c r="E1" s="5"/>
    </row>
    <row r="2" spans="1:11" x14ac:dyDescent="0.25">
      <c r="A2" s="1"/>
      <c r="D2" s="5"/>
      <c r="E2" s="5"/>
    </row>
    <row r="3" spans="1:11" x14ac:dyDescent="0.25">
      <c r="A3" s="1" t="s">
        <v>5</v>
      </c>
      <c r="B3" s="1" t="s">
        <v>38</v>
      </c>
      <c r="D3" s="5"/>
      <c r="E3" s="5"/>
      <c r="F3" s="5">
        <f>10000000*0.02</f>
        <v>200000</v>
      </c>
    </row>
    <row r="4" spans="1:11" x14ac:dyDescent="0.25">
      <c r="A4" s="1"/>
      <c r="D4" s="5"/>
      <c r="E4" s="5"/>
    </row>
    <row r="5" spans="1:11" x14ac:dyDescent="0.25">
      <c r="A5" s="1"/>
      <c r="B5" s="1" t="s">
        <v>39</v>
      </c>
      <c r="D5" s="5"/>
      <c r="E5" s="5"/>
      <c r="F5" s="5">
        <f>F3*0.5</f>
        <v>100000</v>
      </c>
    </row>
    <row r="7" spans="1:11" x14ac:dyDescent="0.25">
      <c r="B7" s="1" t="s">
        <v>8</v>
      </c>
      <c r="F7" s="5">
        <v>10000000</v>
      </c>
    </row>
    <row r="8" spans="1:11" x14ac:dyDescent="0.25">
      <c r="A8" s="19" t="s">
        <v>40</v>
      </c>
      <c r="B8" s="1" t="s">
        <v>41</v>
      </c>
      <c r="F8" s="5">
        <v>100000</v>
      </c>
    </row>
    <row r="9" spans="1:11" x14ac:dyDescent="0.25">
      <c r="A9" s="19" t="s">
        <v>1</v>
      </c>
      <c r="B9" s="1" t="s">
        <v>42</v>
      </c>
      <c r="F9" s="5">
        <v>200000</v>
      </c>
    </row>
    <row r="10" spans="1:11" s="3" customFormat="1" ht="20.25" x14ac:dyDescent="0.3">
      <c r="A10" s="20" t="s">
        <v>0</v>
      </c>
      <c r="B10" s="1" t="s">
        <v>173</v>
      </c>
      <c r="C10" s="1"/>
      <c r="D10" s="1"/>
      <c r="E10" s="1"/>
      <c r="F10" s="6">
        <f>F7-F8-F9</f>
        <v>9700000</v>
      </c>
      <c r="G10" s="5"/>
      <c r="H10" s="5"/>
      <c r="I10" s="1"/>
      <c r="J10" s="1"/>
      <c r="K10" s="1"/>
    </row>
    <row r="12" spans="1:11" x14ac:dyDescent="0.25">
      <c r="B12" s="1" t="s">
        <v>43</v>
      </c>
    </row>
    <row r="14" spans="1:11" x14ac:dyDescent="0.25">
      <c r="A14" s="5" t="s">
        <v>6</v>
      </c>
      <c r="B14" s="29" t="s">
        <v>44</v>
      </c>
      <c r="F14" s="5">
        <f>F10</f>
        <v>9700000</v>
      </c>
    </row>
    <row r="15" spans="1:11" x14ac:dyDescent="0.25">
      <c r="A15" s="20" t="s">
        <v>4</v>
      </c>
      <c r="B15" s="1" t="s">
        <v>45</v>
      </c>
      <c r="F15" s="5">
        <v>6000000</v>
      </c>
    </row>
    <row r="16" spans="1:11" x14ac:dyDescent="0.25">
      <c r="A16" s="19" t="s">
        <v>40</v>
      </c>
      <c r="B16" s="1" t="s">
        <v>174</v>
      </c>
      <c r="F16" s="5">
        <f>F22</f>
        <v>323711.34020618559</v>
      </c>
    </row>
    <row r="17" spans="1:13" s="3" customFormat="1" ht="20.25" x14ac:dyDescent="0.3">
      <c r="A17" s="20" t="s">
        <v>0</v>
      </c>
      <c r="B17" s="1" t="s">
        <v>47</v>
      </c>
      <c r="C17" s="1"/>
      <c r="D17" s="1"/>
      <c r="E17" s="1"/>
      <c r="F17" s="6">
        <f>F14+F15-F16</f>
        <v>15376288.659793815</v>
      </c>
      <c r="G17" s="5"/>
      <c r="H17" s="5"/>
      <c r="I17" s="1"/>
      <c r="J17" s="1"/>
      <c r="K17" s="1"/>
      <c r="L17" s="1"/>
      <c r="M17" s="1"/>
    </row>
    <row r="19" spans="1:13" x14ac:dyDescent="0.25">
      <c r="B19" s="15" t="s">
        <v>51</v>
      </c>
    </row>
    <row r="20" spans="1:13" x14ac:dyDescent="0.25">
      <c r="B20" s="1" t="s">
        <v>48</v>
      </c>
      <c r="F20" s="5">
        <v>200000</v>
      </c>
    </row>
    <row r="21" spans="1:13" x14ac:dyDescent="0.25">
      <c r="B21" s="29" t="s">
        <v>200</v>
      </c>
      <c r="C21" s="29"/>
      <c r="D21" s="29"/>
      <c r="E21" s="29"/>
      <c r="F21" s="36">
        <f>F15/48.5</f>
        <v>123711.34020618557</v>
      </c>
      <c r="G21" s="36"/>
      <c r="H21" s="61"/>
    </row>
    <row r="22" spans="1:13" s="3" customFormat="1" ht="20.25" x14ac:dyDescent="0.3">
      <c r="A22" s="5"/>
      <c r="B22" s="1" t="s">
        <v>46</v>
      </c>
      <c r="C22" s="1"/>
      <c r="D22" s="1"/>
      <c r="E22" s="1"/>
      <c r="F22" s="6">
        <f>SUM(F20:F21)</f>
        <v>323711.34020618559</v>
      </c>
      <c r="G22" s="5"/>
      <c r="H22" s="5"/>
      <c r="I22" s="1"/>
      <c r="J22" s="1"/>
      <c r="K22" s="1"/>
      <c r="L22" s="1"/>
    </row>
    <row r="24" spans="1:13" x14ac:dyDescent="0.25">
      <c r="B24" s="1" t="s">
        <v>202</v>
      </c>
    </row>
    <row r="25" spans="1:13" s="53" customFormat="1" x14ac:dyDescent="0.25">
      <c r="A25" s="5"/>
      <c r="B25" s="53" t="s">
        <v>201</v>
      </c>
      <c r="F25" s="5"/>
      <c r="G25" s="5"/>
      <c r="H25" s="5"/>
    </row>
    <row r="27" spans="1:13" x14ac:dyDescent="0.25">
      <c r="B27" s="1" t="s">
        <v>49</v>
      </c>
    </row>
    <row r="28" spans="1:13" x14ac:dyDescent="0.25">
      <c r="B28" s="1" t="s">
        <v>50</v>
      </c>
    </row>
    <row r="30" spans="1:13" x14ac:dyDescent="0.25">
      <c r="A30" s="5" t="s">
        <v>7</v>
      </c>
      <c r="B30" s="1" t="s">
        <v>52</v>
      </c>
    </row>
    <row r="31" spans="1:13" x14ac:dyDescent="0.25">
      <c r="B31" s="1" t="s">
        <v>189</v>
      </c>
    </row>
    <row r="32" spans="1:13" x14ac:dyDescent="0.25">
      <c r="B32" s="1" t="s">
        <v>53</v>
      </c>
    </row>
    <row r="33" spans="2:2" x14ac:dyDescent="0.25">
      <c r="B33" s="1" t="s">
        <v>175</v>
      </c>
    </row>
    <row r="34" spans="2:2" x14ac:dyDescent="0.25">
      <c r="B34" s="1" t="s">
        <v>54</v>
      </c>
    </row>
    <row r="35" spans="2:2" x14ac:dyDescent="0.25">
      <c r="B35" s="1" t="s">
        <v>55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6"/>
  <sheetViews>
    <sheetView showGridLines="0" topLeftCell="A65" workbookViewId="0">
      <selection activeCell="E78" sqref="E78"/>
    </sheetView>
  </sheetViews>
  <sheetFormatPr baseColWidth="10" defaultRowHeight="15.75" x14ac:dyDescent="0.25"/>
  <cols>
    <col min="1" max="1" width="5.7109375" style="1" customWidth="1"/>
    <col min="2" max="2" width="11.42578125" style="1"/>
    <col min="3" max="8" width="11.42578125" style="5"/>
    <col min="9" max="16384" width="11.42578125" style="1"/>
  </cols>
  <sheetData>
    <row r="1" spans="1:8" x14ac:dyDescent="0.25">
      <c r="A1" s="2" t="s">
        <v>56</v>
      </c>
    </row>
    <row r="3" spans="1:8" x14ac:dyDescent="0.25">
      <c r="A3" s="30" t="s">
        <v>57</v>
      </c>
    </row>
    <row r="4" spans="1:8" x14ac:dyDescent="0.25">
      <c r="A4" s="1" t="s">
        <v>58</v>
      </c>
      <c r="E4" s="5">
        <v>200000</v>
      </c>
    </row>
    <row r="5" spans="1:8" x14ac:dyDescent="0.25">
      <c r="A5" s="1" t="s">
        <v>59</v>
      </c>
      <c r="E5" s="5">
        <f>260000*0.9</f>
        <v>234000</v>
      </c>
    </row>
    <row r="7" spans="1:8" x14ac:dyDescent="0.25">
      <c r="A7" s="1" t="s">
        <v>63</v>
      </c>
      <c r="E7" s="16">
        <v>200000</v>
      </c>
    </row>
    <row r="9" spans="1:8" x14ac:dyDescent="0.25">
      <c r="A9" s="30" t="s">
        <v>60</v>
      </c>
    </row>
    <row r="10" spans="1:8" x14ac:dyDescent="0.25">
      <c r="A10" s="1" t="s">
        <v>58</v>
      </c>
      <c r="E10" s="5">
        <v>300000</v>
      </c>
    </row>
    <row r="11" spans="1:8" x14ac:dyDescent="0.25">
      <c r="A11" s="1" t="s">
        <v>61</v>
      </c>
      <c r="E11" s="5">
        <f>290000*0.9</f>
        <v>261000</v>
      </c>
    </row>
    <row r="13" spans="1:8" x14ac:dyDescent="0.25">
      <c r="A13" s="1" t="s">
        <v>62</v>
      </c>
      <c r="E13" s="16">
        <v>261000</v>
      </c>
    </row>
    <row r="15" spans="1:8" x14ac:dyDescent="0.25">
      <c r="A15" s="1" t="s">
        <v>64</v>
      </c>
      <c r="H15" s="19"/>
    </row>
    <row r="16" spans="1:8" x14ac:dyDescent="0.25">
      <c r="A16" s="1" t="s">
        <v>65</v>
      </c>
    </row>
    <row r="19" spans="1:11" x14ac:dyDescent="0.25">
      <c r="A19" s="2" t="s">
        <v>66</v>
      </c>
    </row>
    <row r="21" spans="1:11" x14ac:dyDescent="0.25">
      <c r="A21" s="13"/>
      <c r="B21" s="1" t="s">
        <v>67</v>
      </c>
      <c r="E21" s="5">
        <v>750000</v>
      </c>
    </row>
    <row r="22" spans="1:11" x14ac:dyDescent="0.25">
      <c r="A22" s="4" t="s">
        <v>4</v>
      </c>
      <c r="B22" s="1" t="s">
        <v>68</v>
      </c>
      <c r="E22" s="5">
        <v>5450000</v>
      </c>
    </row>
    <row r="23" spans="1:11" ht="18.75" x14ac:dyDescent="0.25">
      <c r="A23" s="13" t="s">
        <v>1</v>
      </c>
      <c r="B23" s="1" t="s">
        <v>72</v>
      </c>
      <c r="E23" s="5">
        <f>E29</f>
        <v>770000</v>
      </c>
    </row>
    <row r="24" spans="1:11" s="3" customFormat="1" ht="20.25" x14ac:dyDescent="0.3">
      <c r="A24" s="4" t="s">
        <v>0</v>
      </c>
      <c r="B24" s="1" t="s">
        <v>70</v>
      </c>
      <c r="C24" s="5"/>
      <c r="D24" s="5"/>
      <c r="E24" s="6">
        <f>E21+E22-E23</f>
        <v>5430000</v>
      </c>
      <c r="F24" s="5"/>
      <c r="G24" s="5"/>
      <c r="H24" s="5"/>
      <c r="I24" s="1"/>
      <c r="J24" s="1"/>
    </row>
    <row r="27" spans="1:11" x14ac:dyDescent="0.25">
      <c r="B27" s="1" t="s">
        <v>71</v>
      </c>
      <c r="E27" s="5">
        <v>760000</v>
      </c>
    </row>
    <row r="28" spans="1:11" x14ac:dyDescent="0.25">
      <c r="B28" s="1" t="s">
        <v>73</v>
      </c>
      <c r="E28" s="5">
        <v>10000</v>
      </c>
    </row>
    <row r="29" spans="1:11" s="3" customFormat="1" ht="20.25" x14ac:dyDescent="0.3">
      <c r="A29" s="31">
        <v>1</v>
      </c>
      <c r="B29" s="1" t="s">
        <v>69</v>
      </c>
      <c r="C29" s="5"/>
      <c r="D29" s="5"/>
      <c r="E29" s="6">
        <f>SUM(E27:E28)</f>
        <v>770000</v>
      </c>
      <c r="F29" s="5"/>
      <c r="G29" s="5"/>
      <c r="H29" s="5"/>
      <c r="I29" s="1"/>
      <c r="J29" s="1"/>
      <c r="K29" s="1"/>
    </row>
    <row r="32" spans="1:11" x14ac:dyDescent="0.25">
      <c r="A32" s="2" t="s">
        <v>74</v>
      </c>
    </row>
    <row r="34" spans="1:12" x14ac:dyDescent="0.25">
      <c r="A34" s="1" t="s">
        <v>5</v>
      </c>
      <c r="B34" s="1" t="s">
        <v>75</v>
      </c>
      <c r="F34" s="5">
        <v>1500</v>
      </c>
      <c r="K34" s="53"/>
    </row>
    <row r="35" spans="1:12" x14ac:dyDescent="0.25">
      <c r="A35" s="4" t="s">
        <v>4</v>
      </c>
      <c r="B35" s="1" t="s">
        <v>191</v>
      </c>
      <c r="F35" s="5">
        <f>5500+3000</f>
        <v>8500</v>
      </c>
      <c r="K35" s="53"/>
    </row>
    <row r="36" spans="1:12" x14ac:dyDescent="0.25">
      <c r="A36" s="13" t="s">
        <v>1</v>
      </c>
      <c r="B36" s="1" t="s">
        <v>190</v>
      </c>
      <c r="F36" s="5">
        <f>1000+5000+2300</f>
        <v>8300</v>
      </c>
      <c r="J36" s="53"/>
    </row>
    <row r="37" spans="1:12" s="3" customFormat="1" ht="20.25" x14ac:dyDescent="0.3">
      <c r="A37" s="4" t="s">
        <v>0</v>
      </c>
      <c r="B37" s="1" t="s">
        <v>76</v>
      </c>
      <c r="C37" s="5"/>
      <c r="D37" s="5"/>
      <c r="F37" s="6">
        <f>F34+F35-F36</f>
        <v>1700</v>
      </c>
      <c r="G37" s="5"/>
      <c r="H37" s="5"/>
      <c r="I37" s="1"/>
      <c r="J37" s="1"/>
      <c r="K37" s="1"/>
      <c r="L37" s="1"/>
    </row>
    <row r="39" spans="1:12" x14ac:dyDescent="0.25">
      <c r="A39" s="1">
        <v>1</v>
      </c>
      <c r="B39" s="1" t="s">
        <v>77</v>
      </c>
    </row>
    <row r="40" spans="1:12" x14ac:dyDescent="0.25">
      <c r="B40" s="1" t="s">
        <v>176</v>
      </c>
      <c r="E40" s="16">
        <f>F37*12</f>
        <v>20400</v>
      </c>
    </row>
    <row r="42" spans="1:12" x14ac:dyDescent="0.25">
      <c r="A42" s="1">
        <v>2</v>
      </c>
      <c r="B42" s="1" t="s">
        <v>78</v>
      </c>
    </row>
    <row r="43" spans="1:12" x14ac:dyDescent="0.25">
      <c r="B43" s="1" t="s">
        <v>79</v>
      </c>
      <c r="F43" s="32">
        <f>(1500*8+5500*10+3000*12)/10000</f>
        <v>10.3</v>
      </c>
    </row>
    <row r="45" spans="1:12" x14ac:dyDescent="0.25">
      <c r="B45" s="1" t="s">
        <v>177</v>
      </c>
      <c r="F45" s="16">
        <f>F37*10.3</f>
        <v>17510</v>
      </c>
    </row>
    <row r="47" spans="1:12" x14ac:dyDescent="0.25">
      <c r="A47" s="1" t="s">
        <v>6</v>
      </c>
      <c r="B47" s="1" t="s">
        <v>178</v>
      </c>
      <c r="F47" s="16">
        <f>F37*10</f>
        <v>17000</v>
      </c>
    </row>
    <row r="49" spans="1:13" x14ac:dyDescent="0.25">
      <c r="A49" s="2" t="s">
        <v>80</v>
      </c>
    </row>
    <row r="51" spans="1:13" x14ac:dyDescent="0.25">
      <c r="A51" s="1" t="s">
        <v>5</v>
      </c>
      <c r="B51" s="54" t="s">
        <v>81</v>
      </c>
    </row>
    <row r="52" spans="1:13" x14ac:dyDescent="0.25">
      <c r="B52" s="33" t="s">
        <v>83</v>
      </c>
      <c r="D52" s="5">
        <f>1200*80</f>
        <v>96000</v>
      </c>
    </row>
    <row r="53" spans="1:13" x14ac:dyDescent="0.25">
      <c r="B53" s="33" t="s">
        <v>82</v>
      </c>
      <c r="D53" s="5">
        <f>1300*82</f>
        <v>106600</v>
      </c>
    </row>
    <row r="54" spans="1:13" s="3" customFormat="1" ht="20.25" x14ac:dyDescent="0.3">
      <c r="A54" s="1"/>
      <c r="B54" s="33" t="s">
        <v>60</v>
      </c>
      <c r="C54" s="5"/>
      <c r="D54" s="6">
        <f>SUM(D52:D53)</f>
        <v>202600</v>
      </c>
      <c r="E54" s="5"/>
      <c r="F54" s="5"/>
      <c r="G54" s="5"/>
      <c r="H54" s="5"/>
      <c r="I54" s="1"/>
      <c r="J54" s="1"/>
      <c r="K54" s="1"/>
      <c r="L54" s="1"/>
      <c r="M54" s="1"/>
    </row>
    <row r="56" spans="1:13" s="53" customFormat="1" x14ac:dyDescent="0.25">
      <c r="B56" s="54" t="s">
        <v>192</v>
      </c>
      <c r="C56" s="5"/>
      <c r="D56" s="5"/>
      <c r="E56" s="5"/>
      <c r="F56" s="5"/>
      <c r="G56" s="5"/>
      <c r="H56" s="5"/>
    </row>
    <row r="57" spans="1:13" x14ac:dyDescent="0.25">
      <c r="B57" s="1" t="s">
        <v>85</v>
      </c>
      <c r="F57" s="5">
        <f>2000*90</f>
        <v>180000</v>
      </c>
    </row>
    <row r="58" spans="1:13" x14ac:dyDescent="0.25">
      <c r="B58" s="1" t="s">
        <v>84</v>
      </c>
      <c r="F58" s="5">
        <v>704000</v>
      </c>
    </row>
    <row r="59" spans="1:13" s="3" customFormat="1" ht="20.25" x14ac:dyDescent="0.3">
      <c r="A59" s="1"/>
      <c r="B59" s="1" t="s">
        <v>9</v>
      </c>
      <c r="C59" s="5"/>
      <c r="D59" s="5"/>
      <c r="E59" s="5"/>
      <c r="F59" s="6">
        <f>SUM(F57:F58)</f>
        <v>884000</v>
      </c>
      <c r="G59" s="5"/>
      <c r="H59" s="5"/>
      <c r="I59" s="1"/>
      <c r="J59" s="1"/>
      <c r="K59" s="1"/>
      <c r="L59" s="1"/>
    </row>
    <row r="61" spans="1:13" x14ac:dyDescent="0.25">
      <c r="B61" s="53" t="s">
        <v>86</v>
      </c>
      <c r="H61" s="32">
        <f>F59/10000</f>
        <v>88.4</v>
      </c>
    </row>
    <row r="63" spans="1:13" x14ac:dyDescent="0.25">
      <c r="B63" s="1" t="s">
        <v>87</v>
      </c>
      <c r="H63" s="16">
        <f>2500*H61</f>
        <v>221000</v>
      </c>
    </row>
    <row r="65" spans="1:13" x14ac:dyDescent="0.25">
      <c r="B65" s="1" t="s">
        <v>88</v>
      </c>
    </row>
    <row r="67" spans="1:13" s="53" customFormat="1" x14ac:dyDescent="0.25">
      <c r="B67" s="54" t="s">
        <v>193</v>
      </c>
      <c r="C67" s="5"/>
      <c r="D67" s="5"/>
      <c r="E67" s="5"/>
      <c r="F67" s="5"/>
      <c r="G67" s="5"/>
      <c r="H67" s="5"/>
    </row>
    <row r="68" spans="1:13" s="53" customFormat="1" x14ac:dyDescent="0.25">
      <c r="B68" s="54"/>
      <c r="C68" s="5"/>
      <c r="D68" s="5"/>
      <c r="E68" s="5"/>
      <c r="F68" s="5"/>
      <c r="G68" s="5"/>
      <c r="H68" s="5"/>
    </row>
    <row r="69" spans="1:13" x14ac:dyDescent="0.25">
      <c r="D69" s="12" t="s">
        <v>92</v>
      </c>
      <c r="E69" s="12" t="s">
        <v>93</v>
      </c>
    </row>
    <row r="70" spans="1:13" x14ac:dyDescent="0.25">
      <c r="A70" s="13"/>
      <c r="D70" s="12"/>
      <c r="E70" s="12" t="s">
        <v>94</v>
      </c>
    </row>
    <row r="71" spans="1:13" x14ac:dyDescent="0.25">
      <c r="A71" s="13"/>
      <c r="B71" s="1" t="s">
        <v>89</v>
      </c>
      <c r="D71" s="5">
        <f>2000*90</f>
        <v>180000</v>
      </c>
      <c r="E71" s="5">
        <v>180000</v>
      </c>
      <c r="F71" s="5" t="s">
        <v>95</v>
      </c>
    </row>
    <row r="72" spans="1:13" x14ac:dyDescent="0.25">
      <c r="A72" s="4" t="s">
        <v>4</v>
      </c>
      <c r="B72" s="1" t="s">
        <v>90</v>
      </c>
      <c r="D72" s="5">
        <f>F58</f>
        <v>704000</v>
      </c>
      <c r="E72" s="5">
        <f>F58</f>
        <v>704000</v>
      </c>
    </row>
    <row r="73" spans="1:13" x14ac:dyDescent="0.25">
      <c r="A73" s="13" t="s">
        <v>1</v>
      </c>
      <c r="B73" s="1" t="s">
        <v>91</v>
      </c>
      <c r="D73" s="5">
        <f>D54</f>
        <v>202600</v>
      </c>
      <c r="E73" s="5">
        <f>H63</f>
        <v>221000</v>
      </c>
    </row>
    <row r="74" spans="1:13" s="3" customFormat="1" ht="20.25" x14ac:dyDescent="0.3">
      <c r="A74" s="4" t="s">
        <v>0</v>
      </c>
      <c r="B74" s="1" t="s">
        <v>3</v>
      </c>
      <c r="C74" s="5"/>
      <c r="D74" s="6">
        <f>D71+D72-D73</f>
        <v>681400</v>
      </c>
      <c r="E74" s="6">
        <f>E71+E72-E73</f>
        <v>663000</v>
      </c>
      <c r="F74" s="5"/>
      <c r="G74" s="5"/>
      <c r="H74" s="5"/>
      <c r="I74" s="1"/>
      <c r="J74" s="1"/>
      <c r="K74" s="1"/>
      <c r="L74" s="1"/>
      <c r="M74" s="1"/>
    </row>
    <row r="75" spans="1:13" x14ac:dyDescent="0.25">
      <c r="A75" s="13"/>
    </row>
    <row r="76" spans="1:13" x14ac:dyDescent="0.25">
      <c r="A76" s="13"/>
      <c r="B76" s="1" t="s">
        <v>96</v>
      </c>
      <c r="D76" s="5">
        <f>7500*175</f>
        <v>1312500</v>
      </c>
      <c r="E76" s="5">
        <f>D76</f>
        <v>1312500</v>
      </c>
      <c r="F76" s="5" t="s">
        <v>97</v>
      </c>
    </row>
    <row r="77" spans="1:13" x14ac:dyDescent="0.25">
      <c r="A77" s="13" t="s">
        <v>1</v>
      </c>
      <c r="B77" s="1" t="s">
        <v>3</v>
      </c>
      <c r="D77" s="5">
        <f>D74</f>
        <v>681400</v>
      </c>
      <c r="E77" s="5">
        <f>E74</f>
        <v>663000</v>
      </c>
    </row>
    <row r="78" spans="1:13" s="3" customFormat="1" ht="20.25" x14ac:dyDescent="0.3">
      <c r="A78" s="4" t="s">
        <v>0</v>
      </c>
      <c r="B78" s="1" t="s">
        <v>2</v>
      </c>
      <c r="C78" s="5"/>
      <c r="D78" s="6">
        <f>D76-D77</f>
        <v>631100</v>
      </c>
      <c r="E78" s="6">
        <f>E76-E77</f>
        <v>649500</v>
      </c>
      <c r="F78" s="5"/>
      <c r="G78" s="5"/>
      <c r="H78" s="5"/>
      <c r="I78" s="1"/>
      <c r="J78" s="1"/>
      <c r="K78" s="1"/>
      <c r="L78" s="1"/>
    </row>
    <row r="80" spans="1:13" x14ac:dyDescent="0.25">
      <c r="A80" s="1" t="s">
        <v>6</v>
      </c>
      <c r="B80" s="1" t="s">
        <v>98</v>
      </c>
    </row>
    <row r="81" spans="2:2" x14ac:dyDescent="0.25">
      <c r="B81" s="1" t="s">
        <v>99</v>
      </c>
    </row>
    <row r="82" spans="2:2" x14ac:dyDescent="0.25">
      <c r="B82" s="1" t="s">
        <v>100</v>
      </c>
    </row>
    <row r="83" spans="2:2" x14ac:dyDescent="0.25">
      <c r="B83" s="1" t="s">
        <v>101</v>
      </c>
    </row>
    <row r="85" spans="2:2" x14ac:dyDescent="0.25">
      <c r="B85" s="1" t="s">
        <v>102</v>
      </c>
    </row>
    <row r="86" spans="2:2" x14ac:dyDescent="0.25">
      <c r="B86" s="1" t="s">
        <v>103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6"/>
  <sheetViews>
    <sheetView showGridLines="0" topLeftCell="A25" workbookViewId="0">
      <selection activeCell="H46" sqref="H46"/>
    </sheetView>
  </sheetViews>
  <sheetFormatPr baseColWidth="10" defaultRowHeight="15.75" x14ac:dyDescent="0.25"/>
  <cols>
    <col min="1" max="1" width="5.7109375" style="1" customWidth="1"/>
    <col min="2" max="2" width="11.42578125" style="1"/>
    <col min="3" max="3" width="6.7109375" style="1" customWidth="1"/>
    <col min="4" max="4" width="9.28515625" style="1" customWidth="1"/>
    <col min="5" max="5" width="6.7109375" style="1" customWidth="1"/>
    <col min="6" max="6" width="4.7109375" style="1" customWidth="1"/>
    <col min="7" max="16384" width="11.42578125" style="1"/>
  </cols>
  <sheetData>
    <row r="1" spans="1:13" x14ac:dyDescent="0.25">
      <c r="A1" s="2" t="s">
        <v>104</v>
      </c>
    </row>
    <row r="3" spans="1:13" x14ac:dyDescent="0.25">
      <c r="A3" s="1" t="s">
        <v>171</v>
      </c>
    </row>
    <row r="5" spans="1:13" x14ac:dyDescent="0.25">
      <c r="A5" s="2" t="s">
        <v>194</v>
      </c>
    </row>
    <row r="7" spans="1:13" x14ac:dyDescent="0.25">
      <c r="A7" s="13"/>
      <c r="B7" s="1" t="s">
        <v>105</v>
      </c>
      <c r="C7" s="5">
        <v>315</v>
      </c>
      <c r="D7" s="5"/>
      <c r="E7" s="5"/>
      <c r="F7" s="5"/>
    </row>
    <row r="8" spans="1:13" x14ac:dyDescent="0.25">
      <c r="A8" s="4" t="s">
        <v>4</v>
      </c>
      <c r="B8" s="1" t="s">
        <v>106</v>
      </c>
      <c r="C8" s="5">
        <v>15</v>
      </c>
      <c r="D8" s="5"/>
      <c r="E8" s="5"/>
      <c r="F8" s="5"/>
    </row>
    <row r="9" spans="1:13" s="3" customFormat="1" ht="20.25" x14ac:dyDescent="0.3">
      <c r="A9" s="4" t="s">
        <v>0</v>
      </c>
      <c r="B9" s="1" t="s">
        <v>107</v>
      </c>
      <c r="C9" s="6">
        <f>SUM(C7:C8)</f>
        <v>330</v>
      </c>
      <c r="D9" s="5"/>
      <c r="E9" s="5"/>
      <c r="F9" s="5"/>
      <c r="G9" s="1"/>
      <c r="H9" s="1"/>
      <c r="I9" s="1"/>
      <c r="J9" s="1"/>
      <c r="K9" s="1"/>
      <c r="L9" s="1"/>
      <c r="M9" s="1"/>
    </row>
    <row r="10" spans="1:13" x14ac:dyDescent="0.25">
      <c r="C10" s="5"/>
      <c r="D10" s="5"/>
      <c r="E10" s="5"/>
      <c r="F10" s="5"/>
    </row>
    <row r="11" spans="1:13" x14ac:dyDescent="0.25">
      <c r="A11" s="13"/>
      <c r="B11" s="1" t="s">
        <v>108</v>
      </c>
      <c r="C11" s="5"/>
      <c r="D11" s="5"/>
      <c r="E11" s="5">
        <v>1500</v>
      </c>
      <c r="F11" s="5"/>
    </row>
    <row r="12" spans="1:13" x14ac:dyDescent="0.25">
      <c r="A12" s="13" t="s">
        <v>1</v>
      </c>
      <c r="B12" s="1" t="s">
        <v>109</v>
      </c>
      <c r="C12" s="5"/>
      <c r="D12" s="5"/>
      <c r="E12" s="16">
        <f>E11*0.7</f>
        <v>1050</v>
      </c>
      <c r="F12" s="5"/>
    </row>
    <row r="13" spans="1:13" s="3" customFormat="1" ht="20.25" x14ac:dyDescent="0.3">
      <c r="A13" s="4" t="s">
        <v>0</v>
      </c>
      <c r="B13" s="1" t="s">
        <v>110</v>
      </c>
      <c r="C13" s="5"/>
      <c r="D13" s="5"/>
      <c r="E13" s="5">
        <f>E11-E12</f>
        <v>450</v>
      </c>
      <c r="F13" s="5"/>
      <c r="G13" s="1"/>
      <c r="H13" s="1"/>
      <c r="I13" s="1"/>
      <c r="J13" s="1"/>
      <c r="K13" s="1"/>
      <c r="L13" s="1"/>
    </row>
    <row r="14" spans="1:13" x14ac:dyDescent="0.25">
      <c r="A14" s="13" t="s">
        <v>1</v>
      </c>
      <c r="B14" s="1" t="s">
        <v>111</v>
      </c>
      <c r="C14" s="5"/>
      <c r="D14" s="5"/>
      <c r="E14" s="16">
        <f>E13*0.1</f>
        <v>45</v>
      </c>
      <c r="F14" s="5"/>
    </row>
    <row r="15" spans="1:13" s="3" customFormat="1" ht="20.25" x14ac:dyDescent="0.3">
      <c r="A15" s="4" t="s">
        <v>0</v>
      </c>
      <c r="B15" s="1" t="s">
        <v>112</v>
      </c>
      <c r="C15" s="5"/>
      <c r="D15" s="5"/>
      <c r="E15" s="6">
        <f>E13-E14</f>
        <v>405</v>
      </c>
      <c r="F15" s="5"/>
      <c r="G15" s="1"/>
      <c r="H15" s="1"/>
      <c r="I15" s="1"/>
      <c r="J15" s="1"/>
      <c r="K15" s="1"/>
      <c r="L15" s="1"/>
    </row>
    <row r="16" spans="1:13" x14ac:dyDescent="0.25">
      <c r="C16" s="5"/>
      <c r="D16" s="5"/>
      <c r="E16" s="5"/>
      <c r="F16" s="5"/>
    </row>
    <row r="17" spans="1:13" x14ac:dyDescent="0.25">
      <c r="A17" s="1" t="s">
        <v>113</v>
      </c>
      <c r="C17" s="5"/>
      <c r="D17" s="5"/>
      <c r="E17" s="5"/>
      <c r="G17" s="16">
        <f>C9*100</f>
        <v>33000</v>
      </c>
    </row>
    <row r="20" spans="1:13" x14ac:dyDescent="0.25">
      <c r="A20" s="2" t="s">
        <v>114</v>
      </c>
    </row>
    <row r="22" spans="1:13" x14ac:dyDescent="0.25">
      <c r="A22" s="1" t="s">
        <v>179</v>
      </c>
      <c r="E22" s="1">
        <v>195</v>
      </c>
    </row>
    <row r="24" spans="1:13" x14ac:dyDescent="0.25">
      <c r="A24" s="13"/>
      <c r="B24" s="1" t="s">
        <v>115</v>
      </c>
      <c r="E24" s="1">
        <v>250</v>
      </c>
    </row>
    <row r="25" spans="1:13" x14ac:dyDescent="0.25">
      <c r="A25" s="13" t="s">
        <v>1</v>
      </c>
      <c r="B25" s="1" t="s">
        <v>116</v>
      </c>
      <c r="E25" s="35">
        <v>50</v>
      </c>
      <c r="F25" s="14" t="s">
        <v>118</v>
      </c>
    </row>
    <row r="26" spans="1:13" s="3" customFormat="1" ht="20.25" x14ac:dyDescent="0.3">
      <c r="A26" s="4" t="s">
        <v>0</v>
      </c>
      <c r="B26" s="1" t="s">
        <v>117</v>
      </c>
      <c r="C26" s="1"/>
      <c r="E26" s="1">
        <f>E24-E25</f>
        <v>200</v>
      </c>
      <c r="F26" s="1"/>
      <c r="G26" s="1"/>
      <c r="H26" s="1"/>
      <c r="I26" s="1"/>
      <c r="J26" s="1"/>
      <c r="K26" s="1"/>
      <c r="L26" s="1"/>
    </row>
    <row r="27" spans="1:13" x14ac:dyDescent="0.25">
      <c r="A27" s="13" t="s">
        <v>1</v>
      </c>
      <c r="B27" s="1" t="s">
        <v>111</v>
      </c>
      <c r="E27" s="35">
        <f>E26*0.1</f>
        <v>20</v>
      </c>
    </row>
    <row r="28" spans="1:13" s="3" customFormat="1" ht="20.25" x14ac:dyDescent="0.3">
      <c r="A28" s="4" t="s">
        <v>0</v>
      </c>
      <c r="B28" s="1" t="s">
        <v>112</v>
      </c>
      <c r="C28" s="1"/>
      <c r="E28" s="34">
        <f>E26-E27</f>
        <v>180</v>
      </c>
      <c r="F28" s="1"/>
      <c r="G28" s="1"/>
      <c r="H28" s="1"/>
      <c r="I28" s="1"/>
      <c r="J28" s="1"/>
      <c r="K28" s="1"/>
      <c r="L28" s="1"/>
      <c r="M28" s="1"/>
    </row>
    <row r="30" spans="1:13" x14ac:dyDescent="0.25">
      <c r="A30" s="1" t="s">
        <v>119</v>
      </c>
    </row>
    <row r="32" spans="1:13" x14ac:dyDescent="0.25">
      <c r="A32" s="1" t="s">
        <v>120</v>
      </c>
    </row>
    <row r="33" spans="1:4" x14ac:dyDescent="0.25">
      <c r="A33" s="1" t="s">
        <v>121</v>
      </c>
      <c r="D33" s="16">
        <f>50*E28</f>
        <v>9000</v>
      </c>
    </row>
    <row r="36" spans="1:4" x14ac:dyDescent="0.25">
      <c r="A36" s="2" t="s">
        <v>122</v>
      </c>
    </row>
    <row r="38" spans="1:4" x14ac:dyDescent="0.25">
      <c r="A38" s="1" t="s">
        <v>123</v>
      </c>
    </row>
    <row r="40" spans="1:4" x14ac:dyDescent="0.25">
      <c r="A40" s="1" t="s">
        <v>195</v>
      </c>
      <c r="D40" s="16">
        <f>350*80</f>
        <v>28000</v>
      </c>
    </row>
    <row r="43" spans="1:4" x14ac:dyDescent="0.25">
      <c r="A43" s="2" t="s">
        <v>124</v>
      </c>
    </row>
    <row r="45" spans="1:4" x14ac:dyDescent="0.25">
      <c r="A45" s="1" t="s">
        <v>125</v>
      </c>
    </row>
    <row r="46" spans="1:4" x14ac:dyDescent="0.25">
      <c r="A46" s="1" t="s">
        <v>126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7"/>
  <sheetViews>
    <sheetView showGridLines="0" tabSelected="1" topLeftCell="A66" workbookViewId="0">
      <selection activeCell="C46" sqref="C46"/>
    </sheetView>
  </sheetViews>
  <sheetFormatPr baseColWidth="10" defaultRowHeight="15.75" x14ac:dyDescent="0.25"/>
  <cols>
    <col min="1" max="1" width="5.7109375" style="42" customWidth="1"/>
    <col min="2" max="2" width="25.7109375" style="1" customWidth="1"/>
    <col min="3" max="12" width="11.42578125" style="5"/>
    <col min="13" max="16384" width="11.42578125" style="1"/>
  </cols>
  <sheetData>
    <row r="1" spans="1:12" x14ac:dyDescent="0.25">
      <c r="A1" s="45" t="s">
        <v>133</v>
      </c>
    </row>
    <row r="2" spans="1:12" x14ac:dyDescent="0.25">
      <c r="A2" s="42" t="s">
        <v>5</v>
      </c>
    </row>
    <row r="3" spans="1:12" s="53" customFormat="1" x14ac:dyDescent="0.25">
      <c r="A3" s="43"/>
      <c r="B3" s="9"/>
      <c r="C3" s="65" t="s">
        <v>196</v>
      </c>
      <c r="D3" s="17" t="s">
        <v>19</v>
      </c>
      <c r="E3" s="65" t="s">
        <v>20</v>
      </c>
      <c r="F3" s="17" t="s">
        <v>21</v>
      </c>
      <c r="G3" s="69"/>
      <c r="H3" s="69"/>
      <c r="I3" s="69"/>
      <c r="J3" s="69"/>
      <c r="K3" s="5"/>
      <c r="L3" s="5"/>
    </row>
    <row r="4" spans="1:12" s="53" customFormat="1" x14ac:dyDescent="0.25">
      <c r="A4" s="44"/>
      <c r="B4" s="10"/>
      <c r="C4" s="73" t="s">
        <v>197</v>
      </c>
      <c r="D4" s="18"/>
      <c r="E4" s="62"/>
      <c r="F4" s="18"/>
      <c r="G4" s="70"/>
      <c r="H4" s="70"/>
      <c r="I4" s="70"/>
      <c r="J4" s="70"/>
      <c r="K4" s="5"/>
      <c r="L4" s="5"/>
    </row>
    <row r="5" spans="1:12" s="53" customFormat="1" x14ac:dyDescent="0.25">
      <c r="A5" s="37">
        <v>1400</v>
      </c>
      <c r="B5" s="38" t="s">
        <v>129</v>
      </c>
      <c r="C5" s="50">
        <v>100000</v>
      </c>
      <c r="D5" s="63">
        <v>45000</v>
      </c>
      <c r="E5" s="74"/>
      <c r="F5" s="63">
        <f>SUM(C5:D5)</f>
        <v>145000</v>
      </c>
      <c r="G5" s="55"/>
      <c r="H5" s="55"/>
      <c r="I5" s="55"/>
      <c r="J5" s="55"/>
      <c r="K5" s="5"/>
      <c r="L5" s="5"/>
    </row>
    <row r="6" spans="1:12" s="53" customFormat="1" x14ac:dyDescent="0.25">
      <c r="A6" s="39">
        <v>1420</v>
      </c>
      <c r="B6" s="40" t="s">
        <v>127</v>
      </c>
      <c r="C6" s="52">
        <v>150000</v>
      </c>
      <c r="D6" s="72"/>
      <c r="E6" s="75"/>
      <c r="F6" s="72">
        <f>SUM(C6:E6)</f>
        <v>150000</v>
      </c>
      <c r="G6" s="55"/>
      <c r="H6" s="55"/>
      <c r="I6" s="55"/>
      <c r="J6" s="55"/>
      <c r="K6" s="5"/>
      <c r="L6" s="5"/>
    </row>
    <row r="7" spans="1:12" s="53" customFormat="1" x14ac:dyDescent="0.25">
      <c r="A7" s="39">
        <v>1440</v>
      </c>
      <c r="B7" s="40" t="s">
        <v>128</v>
      </c>
      <c r="C7" s="52">
        <v>500000</v>
      </c>
      <c r="D7" s="72">
        <v>-50000</v>
      </c>
      <c r="E7" s="75"/>
      <c r="F7" s="72">
        <f>SUM(C7:E7)</f>
        <v>450000</v>
      </c>
      <c r="G7" s="55"/>
      <c r="H7" s="55"/>
      <c r="I7" s="55"/>
      <c r="J7" s="55"/>
      <c r="K7" s="5"/>
      <c r="L7" s="5"/>
    </row>
    <row r="8" spans="1:12" s="53" customFormat="1" x14ac:dyDescent="0.25">
      <c r="A8" s="39">
        <v>4000</v>
      </c>
      <c r="B8" s="40" t="s">
        <v>130</v>
      </c>
      <c r="C8" s="52">
        <v>4500000</v>
      </c>
      <c r="D8" s="72">
        <v>-45000</v>
      </c>
      <c r="E8" s="75">
        <f>SUM(C8:D8)</f>
        <v>4455000</v>
      </c>
      <c r="F8" s="72"/>
      <c r="G8" s="55"/>
      <c r="H8" s="55"/>
      <c r="I8" s="55"/>
      <c r="J8" s="55"/>
      <c r="K8" s="5"/>
      <c r="L8" s="5"/>
    </row>
    <row r="9" spans="1:12" s="53" customFormat="1" x14ac:dyDescent="0.25">
      <c r="A9" s="41">
        <v>4190</v>
      </c>
      <c r="B9" s="11" t="s">
        <v>183</v>
      </c>
      <c r="C9" s="51"/>
      <c r="D9" s="64">
        <v>50000</v>
      </c>
      <c r="E9" s="76">
        <f>SUM(D9)</f>
        <v>50000</v>
      </c>
      <c r="F9" s="64"/>
      <c r="G9" s="55"/>
      <c r="H9" s="55"/>
      <c r="I9" s="55"/>
      <c r="J9" s="55"/>
      <c r="K9" s="5"/>
      <c r="L9" s="5"/>
    </row>
    <row r="10" spans="1:12" s="53" customFormat="1" x14ac:dyDescent="0.25">
      <c r="A10" s="42"/>
      <c r="C10" s="5"/>
      <c r="D10" s="5"/>
      <c r="E10" s="36"/>
      <c r="F10" s="5"/>
      <c r="G10" s="5"/>
      <c r="H10" s="5"/>
      <c r="I10" s="5"/>
      <c r="J10" s="5"/>
      <c r="K10" s="5"/>
      <c r="L10" s="5"/>
    </row>
    <row r="11" spans="1:12" s="53" customFormat="1" x14ac:dyDescent="0.25">
      <c r="A11" s="42"/>
      <c r="C11" s="5"/>
      <c r="D11" s="5"/>
      <c r="E11" s="36"/>
      <c r="F11" s="5"/>
      <c r="G11" s="5"/>
      <c r="H11" s="5"/>
      <c r="I11" s="5"/>
      <c r="J11" s="5"/>
      <c r="K11" s="5"/>
      <c r="L11" s="5"/>
    </row>
    <row r="12" spans="1:12" x14ac:dyDescent="0.25">
      <c r="A12" s="45" t="s">
        <v>129</v>
      </c>
    </row>
    <row r="13" spans="1:12" x14ac:dyDescent="0.25">
      <c r="A13" s="42" t="s">
        <v>131</v>
      </c>
    </row>
    <row r="14" spans="1:12" x14ac:dyDescent="0.25">
      <c r="A14" s="42" t="s">
        <v>182</v>
      </c>
    </row>
    <row r="16" spans="1:12" x14ac:dyDescent="0.25">
      <c r="A16" s="42" t="s">
        <v>132</v>
      </c>
    </row>
    <row r="18" spans="1:12" x14ac:dyDescent="0.25">
      <c r="A18" s="45" t="s">
        <v>128</v>
      </c>
    </row>
    <row r="19" spans="1:12" x14ac:dyDescent="0.25">
      <c r="A19" s="42" t="s">
        <v>180</v>
      </c>
    </row>
    <row r="20" spans="1:12" x14ac:dyDescent="0.25">
      <c r="A20" s="42" t="s">
        <v>181</v>
      </c>
    </row>
    <row r="21" spans="1:12" x14ac:dyDescent="0.25">
      <c r="A21" s="42" t="s">
        <v>134</v>
      </c>
    </row>
    <row r="22" spans="1:12" x14ac:dyDescent="0.25">
      <c r="A22" s="42" t="s">
        <v>135</v>
      </c>
    </row>
    <row r="24" spans="1:12" x14ac:dyDescent="0.25">
      <c r="A24" s="42" t="s">
        <v>6</v>
      </c>
    </row>
    <row r="25" spans="1:12" s="53" customFormat="1" x14ac:dyDescent="0.25">
      <c r="A25" s="43"/>
      <c r="B25" s="9"/>
      <c r="C25" s="65" t="s">
        <v>196</v>
      </c>
      <c r="D25" s="17" t="s">
        <v>19</v>
      </c>
      <c r="E25" s="65" t="s">
        <v>20</v>
      </c>
      <c r="F25" s="17" t="s">
        <v>21</v>
      </c>
      <c r="G25" s="5"/>
      <c r="H25" s="5"/>
      <c r="I25" s="5"/>
      <c r="J25" s="5"/>
      <c r="K25" s="5"/>
      <c r="L25" s="5"/>
    </row>
    <row r="26" spans="1:12" s="53" customFormat="1" x14ac:dyDescent="0.25">
      <c r="A26" s="44"/>
      <c r="B26" s="10"/>
      <c r="C26" s="73" t="s">
        <v>197</v>
      </c>
      <c r="D26" s="18"/>
      <c r="E26" s="62"/>
      <c r="F26" s="18"/>
      <c r="G26" s="5"/>
      <c r="H26" s="5"/>
      <c r="I26" s="5"/>
      <c r="J26" s="5"/>
      <c r="K26" s="5"/>
      <c r="L26" s="5"/>
    </row>
    <row r="27" spans="1:12" s="53" customFormat="1" x14ac:dyDescent="0.25">
      <c r="A27" s="37">
        <v>1400</v>
      </c>
      <c r="B27" s="38" t="s">
        <v>129</v>
      </c>
      <c r="C27" s="50">
        <v>100000</v>
      </c>
      <c r="D27" s="63">
        <v>45000</v>
      </c>
      <c r="E27" s="74"/>
      <c r="F27" s="63">
        <f>SUM(C27:D27)</f>
        <v>145000</v>
      </c>
      <c r="G27" s="5"/>
      <c r="H27" s="5"/>
      <c r="I27" s="5"/>
      <c r="J27" s="5"/>
      <c r="K27" s="5"/>
      <c r="L27" s="5"/>
    </row>
    <row r="28" spans="1:12" s="53" customFormat="1" x14ac:dyDescent="0.25">
      <c r="A28" s="39">
        <v>1420</v>
      </c>
      <c r="B28" s="40" t="s">
        <v>127</v>
      </c>
      <c r="C28" s="52">
        <f>C6*0.8</f>
        <v>120000</v>
      </c>
      <c r="D28" s="72"/>
      <c r="E28" s="75"/>
      <c r="F28" s="72">
        <f>SUM(C28:E28)</f>
        <v>120000</v>
      </c>
      <c r="G28" s="5"/>
      <c r="H28" s="5"/>
      <c r="I28" s="5"/>
      <c r="J28" s="5"/>
      <c r="K28" s="5"/>
      <c r="L28" s="5"/>
    </row>
    <row r="29" spans="1:12" s="53" customFormat="1" x14ac:dyDescent="0.25">
      <c r="A29" s="39">
        <v>1440</v>
      </c>
      <c r="B29" s="40" t="s">
        <v>128</v>
      </c>
      <c r="C29" s="52">
        <f>C7*0.8</f>
        <v>400000</v>
      </c>
      <c r="D29" s="72">
        <v>-40000</v>
      </c>
      <c r="E29" s="75"/>
      <c r="F29" s="72">
        <f>F7*0.8</f>
        <v>360000</v>
      </c>
      <c r="G29" s="5"/>
      <c r="H29" s="5"/>
      <c r="I29" s="5"/>
      <c r="J29" s="5"/>
      <c r="K29" s="5"/>
      <c r="L29" s="5"/>
    </row>
    <row r="30" spans="1:12" s="53" customFormat="1" x14ac:dyDescent="0.25">
      <c r="A30" s="39">
        <v>4000</v>
      </c>
      <c r="B30" s="40" t="s">
        <v>130</v>
      </c>
      <c r="C30" s="52">
        <v>4500000</v>
      </c>
      <c r="D30" s="72">
        <v>-45000</v>
      </c>
      <c r="E30" s="75">
        <f>SUM(C30:D30)</f>
        <v>4455000</v>
      </c>
      <c r="F30" s="72"/>
      <c r="G30" s="5"/>
      <c r="H30" s="5"/>
      <c r="I30" s="5"/>
      <c r="J30" s="5"/>
      <c r="K30" s="5"/>
      <c r="L30" s="5"/>
    </row>
    <row r="31" spans="1:12" s="53" customFormat="1" x14ac:dyDescent="0.25">
      <c r="A31" s="41">
        <v>4190</v>
      </c>
      <c r="B31" s="11" t="s">
        <v>183</v>
      </c>
      <c r="C31" s="51"/>
      <c r="D31" s="64">
        <v>40000</v>
      </c>
      <c r="E31" s="76">
        <f>SUM(D31)</f>
        <v>40000</v>
      </c>
      <c r="F31" s="64"/>
      <c r="G31" s="5"/>
      <c r="H31" s="5"/>
      <c r="I31" s="5"/>
      <c r="J31" s="5"/>
      <c r="K31" s="5"/>
      <c r="L31" s="5"/>
    </row>
    <row r="32" spans="1:12" s="53" customFormat="1" x14ac:dyDescent="0.25">
      <c r="A32" s="77"/>
      <c r="B32" s="49"/>
      <c r="C32" s="21"/>
      <c r="D32" s="55"/>
      <c r="E32" s="55"/>
      <c r="F32" s="55"/>
      <c r="G32" s="5"/>
      <c r="H32" s="5"/>
      <c r="I32" s="5"/>
      <c r="J32" s="5"/>
      <c r="K32" s="5"/>
      <c r="L32" s="5"/>
    </row>
    <row r="33" spans="1:10" x14ac:dyDescent="0.25">
      <c r="A33" s="42" t="s">
        <v>7</v>
      </c>
      <c r="B33" s="1" t="s">
        <v>136</v>
      </c>
    </row>
    <row r="34" spans="1:10" x14ac:dyDescent="0.25">
      <c r="B34" s="1" t="s">
        <v>137</v>
      </c>
    </row>
    <row r="35" spans="1:10" x14ac:dyDescent="0.25">
      <c r="B35" s="1" t="s">
        <v>138</v>
      </c>
    </row>
    <row r="38" spans="1:10" x14ac:dyDescent="0.25">
      <c r="A38" s="57" t="s">
        <v>139</v>
      </c>
      <c r="B38" s="29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58"/>
      <c r="B39" s="29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58" t="s">
        <v>5</v>
      </c>
      <c r="B40" s="29" t="s">
        <v>140</v>
      </c>
      <c r="C40" s="36"/>
      <c r="D40" s="36"/>
      <c r="E40" s="36"/>
      <c r="F40" s="36"/>
      <c r="G40" s="36"/>
      <c r="H40" s="36"/>
      <c r="I40" s="36"/>
      <c r="J40" s="36"/>
    </row>
    <row r="41" spans="1:10" x14ac:dyDescent="0.25">
      <c r="A41" s="58"/>
      <c r="B41" s="29" t="s">
        <v>141</v>
      </c>
      <c r="C41" s="36"/>
      <c r="D41" s="36"/>
      <c r="E41" s="36"/>
      <c r="F41" s="36"/>
      <c r="G41" s="36"/>
      <c r="H41" s="36"/>
      <c r="I41" s="36"/>
      <c r="J41" s="36"/>
    </row>
    <row r="42" spans="1:10" x14ac:dyDescent="0.25">
      <c r="A42" s="58"/>
      <c r="B42" s="29"/>
      <c r="C42" s="36"/>
      <c r="D42" s="36"/>
      <c r="E42" s="36"/>
      <c r="F42" s="36"/>
      <c r="G42" s="36"/>
      <c r="H42" s="36"/>
      <c r="I42" s="36"/>
      <c r="J42" s="36"/>
    </row>
    <row r="43" spans="1:10" x14ac:dyDescent="0.25">
      <c r="A43" s="58" t="s">
        <v>6</v>
      </c>
      <c r="B43" s="59" t="s">
        <v>142</v>
      </c>
      <c r="C43" s="36"/>
      <c r="D43" s="36"/>
      <c r="E43" s="36"/>
      <c r="F43" s="36"/>
      <c r="G43" s="36"/>
      <c r="H43" s="36"/>
      <c r="I43" s="36"/>
      <c r="J43" s="36"/>
    </row>
    <row r="44" spans="1:10" x14ac:dyDescent="0.25">
      <c r="A44" s="58"/>
      <c r="B44" s="29" t="s">
        <v>143</v>
      </c>
      <c r="C44" s="36">
        <v>210000</v>
      </c>
      <c r="D44" s="60" t="s">
        <v>144</v>
      </c>
      <c r="E44" s="36"/>
      <c r="F44" s="36"/>
      <c r="G44" s="36"/>
      <c r="H44" s="36"/>
      <c r="I44" s="36"/>
      <c r="J44" s="36"/>
    </row>
    <row r="45" spans="1:10" x14ac:dyDescent="0.25">
      <c r="A45" s="58"/>
      <c r="B45" s="29" t="s">
        <v>127</v>
      </c>
      <c r="C45" s="36">
        <v>140000</v>
      </c>
      <c r="D45" s="60" t="s">
        <v>184</v>
      </c>
      <c r="E45" s="36"/>
      <c r="F45" s="36"/>
      <c r="G45" s="36"/>
      <c r="H45" s="36"/>
      <c r="I45" s="36"/>
      <c r="J45" s="36"/>
    </row>
    <row r="46" spans="1:10" x14ac:dyDescent="0.25">
      <c r="A46" s="58"/>
      <c r="B46" s="29" t="s">
        <v>128</v>
      </c>
      <c r="C46" s="36">
        <v>590000</v>
      </c>
      <c r="D46" s="60" t="s">
        <v>185</v>
      </c>
      <c r="E46" s="36"/>
      <c r="F46" s="36"/>
      <c r="G46" s="36"/>
      <c r="H46" s="36"/>
      <c r="I46" s="36"/>
      <c r="J46" s="36"/>
    </row>
    <row r="47" spans="1:10" x14ac:dyDescent="0.25">
      <c r="A47" s="58"/>
      <c r="B47" s="29"/>
      <c r="C47" s="36"/>
      <c r="D47" s="36"/>
      <c r="E47" s="36"/>
      <c r="F47" s="36"/>
      <c r="G47" s="36"/>
      <c r="H47" s="36"/>
      <c r="I47" s="36"/>
      <c r="J47" s="36"/>
    </row>
    <row r="48" spans="1:10" x14ac:dyDescent="0.25">
      <c r="A48" s="58" t="s">
        <v>7</v>
      </c>
      <c r="B48" s="29" t="s">
        <v>143</v>
      </c>
      <c r="C48" s="36">
        <v>210000</v>
      </c>
      <c r="D48" s="60" t="s">
        <v>187</v>
      </c>
      <c r="E48" s="36"/>
      <c r="F48" s="36"/>
      <c r="G48" s="36"/>
      <c r="H48" s="36"/>
      <c r="I48" s="36"/>
      <c r="J48" s="36"/>
    </row>
    <row r="49" spans="1:12" x14ac:dyDescent="0.25">
      <c r="A49" s="58"/>
      <c r="B49" s="29" t="s">
        <v>127</v>
      </c>
      <c r="C49" s="36">
        <v>105000</v>
      </c>
      <c r="D49" s="60" t="s">
        <v>188</v>
      </c>
      <c r="E49" s="36"/>
      <c r="F49" s="36"/>
      <c r="G49" s="36"/>
      <c r="H49" s="36"/>
      <c r="I49" s="36"/>
      <c r="J49" s="36"/>
    </row>
    <row r="50" spans="1:12" x14ac:dyDescent="0.25">
      <c r="A50" s="58"/>
      <c r="B50" s="29" t="s">
        <v>128</v>
      </c>
      <c r="C50" s="36">
        <v>414000</v>
      </c>
      <c r="D50" s="60" t="s">
        <v>186</v>
      </c>
      <c r="E50" s="36"/>
      <c r="F50" s="36"/>
      <c r="G50" s="36"/>
      <c r="H50" s="36"/>
      <c r="I50" s="36"/>
      <c r="J50" s="36"/>
    </row>
    <row r="53" spans="1:12" x14ac:dyDescent="0.25">
      <c r="A53" s="45" t="s">
        <v>145</v>
      </c>
      <c r="H53" s="56"/>
    </row>
    <row r="54" spans="1:12" x14ac:dyDescent="0.25">
      <c r="H54" s="56"/>
    </row>
    <row r="55" spans="1:12" x14ac:dyDescent="0.25">
      <c r="A55" s="42" t="s">
        <v>146</v>
      </c>
      <c r="E55" s="46">
        <f>1000000/10000</f>
        <v>100</v>
      </c>
    </row>
    <row r="57" spans="1:12" x14ac:dyDescent="0.25">
      <c r="A57" s="42" t="s">
        <v>5</v>
      </c>
      <c r="B57" s="1" t="s">
        <v>147</v>
      </c>
      <c r="D57" s="46">
        <v>60</v>
      </c>
    </row>
    <row r="58" spans="1:12" x14ac:dyDescent="0.25">
      <c r="B58" s="1" t="s">
        <v>148</v>
      </c>
      <c r="D58" s="46">
        <v>40</v>
      </c>
    </row>
    <row r="59" spans="1:12" x14ac:dyDescent="0.25">
      <c r="B59" s="1" t="s">
        <v>149</v>
      </c>
      <c r="D59" s="46">
        <f>(D57+D58)*0.1</f>
        <v>10</v>
      </c>
      <c r="E59" s="5" t="s">
        <v>156</v>
      </c>
    </row>
    <row r="60" spans="1:12" x14ac:dyDescent="0.25">
      <c r="B60" s="1" t="s">
        <v>150</v>
      </c>
      <c r="D60" s="46">
        <f>E55</f>
        <v>100</v>
      </c>
    </row>
    <row r="61" spans="1:12" s="3" customFormat="1" ht="20.25" x14ac:dyDescent="0.3">
      <c r="A61" s="42"/>
      <c r="B61" s="1" t="s">
        <v>155</v>
      </c>
      <c r="C61" s="5"/>
      <c r="D61" s="48">
        <f>SUM(D57:D60)</f>
        <v>210</v>
      </c>
      <c r="E61" s="5"/>
      <c r="F61" s="5"/>
      <c r="G61" s="5"/>
      <c r="H61" s="5"/>
      <c r="I61" s="5"/>
      <c r="J61" s="5"/>
      <c r="K61" s="5"/>
      <c r="L61" s="47"/>
    </row>
    <row r="63" spans="1:12" x14ac:dyDescent="0.25">
      <c r="B63" s="1" t="s">
        <v>151</v>
      </c>
      <c r="E63" s="16">
        <f>2000*D61</f>
        <v>420000</v>
      </c>
    </row>
    <row r="65" spans="1:6" x14ac:dyDescent="0.25">
      <c r="A65" s="42" t="s">
        <v>6</v>
      </c>
      <c r="B65" s="2" t="s">
        <v>152</v>
      </c>
    </row>
    <row r="67" spans="1:6" x14ac:dyDescent="0.25">
      <c r="B67" s="1" t="s">
        <v>153</v>
      </c>
    </row>
    <row r="69" spans="1:6" x14ac:dyDescent="0.25">
      <c r="B69" s="1" t="s">
        <v>158</v>
      </c>
    </row>
    <row r="70" spans="1:6" x14ac:dyDescent="0.25">
      <c r="B70" s="1" t="s">
        <v>159</v>
      </c>
    </row>
    <row r="72" spans="1:6" x14ac:dyDescent="0.25">
      <c r="B72" s="1" t="s">
        <v>154</v>
      </c>
      <c r="F72" s="46">
        <f>1000000/12500</f>
        <v>80</v>
      </c>
    </row>
    <row r="73" spans="1:6" x14ac:dyDescent="0.25">
      <c r="F73" s="46"/>
    </row>
    <row r="74" spans="1:6" x14ac:dyDescent="0.25">
      <c r="B74" s="1" t="s">
        <v>165</v>
      </c>
      <c r="F74" s="46"/>
    </row>
    <row r="75" spans="1:6" x14ac:dyDescent="0.25">
      <c r="B75" s="1" t="s">
        <v>166</v>
      </c>
      <c r="F75" s="46"/>
    </row>
    <row r="76" spans="1:6" x14ac:dyDescent="0.25">
      <c r="B76" s="1" t="s">
        <v>167</v>
      </c>
      <c r="F76" s="46"/>
    </row>
    <row r="77" spans="1:6" x14ac:dyDescent="0.25">
      <c r="B77" s="1" t="s">
        <v>168</v>
      </c>
      <c r="F77" s="46"/>
    </row>
    <row r="79" spans="1:6" x14ac:dyDescent="0.25">
      <c r="B79" s="1" t="s">
        <v>147</v>
      </c>
      <c r="D79" s="46">
        <v>60</v>
      </c>
    </row>
    <row r="80" spans="1:6" x14ac:dyDescent="0.25">
      <c r="B80" s="1" t="s">
        <v>148</v>
      </c>
      <c r="D80" s="46">
        <v>40</v>
      </c>
    </row>
    <row r="81" spans="1:12" x14ac:dyDescent="0.25">
      <c r="B81" s="1" t="s">
        <v>149</v>
      </c>
      <c r="D81" s="46">
        <f>(D79+D80)*0.1</f>
        <v>10</v>
      </c>
    </row>
    <row r="82" spans="1:12" x14ac:dyDescent="0.25">
      <c r="B82" s="1" t="s">
        <v>150</v>
      </c>
      <c r="D82" s="46">
        <f>F72</f>
        <v>80</v>
      </c>
    </row>
    <row r="83" spans="1:12" s="3" customFormat="1" ht="20.25" x14ac:dyDescent="0.3">
      <c r="A83" s="42"/>
      <c r="B83" s="1" t="s">
        <v>155</v>
      </c>
      <c r="C83" s="5"/>
      <c r="D83" s="48">
        <f>SUM(D79:D82)</f>
        <v>190</v>
      </c>
      <c r="E83" s="5"/>
      <c r="F83" s="5"/>
      <c r="G83" s="5"/>
      <c r="H83" s="5"/>
      <c r="I83" s="5"/>
      <c r="J83" s="5"/>
      <c r="K83" s="5"/>
      <c r="L83" s="5"/>
    </row>
    <row r="85" spans="1:12" x14ac:dyDescent="0.25">
      <c r="B85" s="1" t="s">
        <v>157</v>
      </c>
      <c r="E85" s="16">
        <f>4500*D83</f>
        <v>855000</v>
      </c>
    </row>
    <row r="87" spans="1:12" x14ac:dyDescent="0.25">
      <c r="A87" s="42" t="s">
        <v>7</v>
      </c>
      <c r="B87" s="2" t="s">
        <v>160</v>
      </c>
    </row>
    <row r="89" spans="1:12" x14ac:dyDescent="0.25">
      <c r="B89" s="1" t="s">
        <v>161</v>
      </c>
    </row>
    <row r="91" spans="1:12" x14ac:dyDescent="0.25">
      <c r="B91" s="1" t="s">
        <v>162</v>
      </c>
    </row>
    <row r="92" spans="1:12" x14ac:dyDescent="0.25">
      <c r="B92" s="1" t="s">
        <v>163</v>
      </c>
    </row>
    <row r="94" spans="1:12" x14ac:dyDescent="0.25">
      <c r="B94" s="1" t="s">
        <v>164</v>
      </c>
      <c r="E94" s="16">
        <f>1000*210</f>
        <v>210000</v>
      </c>
    </row>
    <row r="96" spans="1:12" x14ac:dyDescent="0.25">
      <c r="B96" s="1" t="s">
        <v>169</v>
      </c>
    </row>
    <row r="97" spans="2:2" x14ac:dyDescent="0.25">
      <c r="B97" s="1" t="s">
        <v>170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Oppgave 3.21-3.22</vt:lpstr>
      <vt:lpstr>Oppgave 3.23</vt:lpstr>
      <vt:lpstr>Oppgave 3.24-3.27</vt:lpstr>
      <vt:lpstr>Oppgave 3.28</vt:lpstr>
      <vt:lpstr>Oppgave 3.29-3.31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2022-01-12T15:09:00Z</dcterms:modified>
</cp:coreProperties>
</file>