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8_{CB0CCFAF-94D9-4CA8-AB30-0243DC42608A}" xr6:coauthVersionLast="47" xr6:coauthVersionMax="47" xr10:uidLastSave="{00000000-0000-0000-0000-000000000000}"/>
  <bookViews>
    <workbookView xWindow="-120" yWindow="-120" windowWidth="38640" windowHeight="21120" firstSheet="4" activeTab="4" xr2:uid="{00000000-000D-0000-FFFF-FFFF00000000}"/>
  </bookViews>
  <sheets>
    <sheet name="Oppgave 7.1" sheetId="3" r:id="rId1"/>
    <sheet name="Oppgave 7.2" sheetId="23" r:id="rId2"/>
    <sheet name="Oppgave 7.3" sheetId="24" r:id="rId3"/>
    <sheet name="Oppgave 7.4" sheetId="25" r:id="rId4"/>
    <sheet name="Oppgave 7.5" sheetId="2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26" l="1"/>
  <c r="C67" i="26"/>
  <c r="C44" i="26"/>
  <c r="C42" i="26"/>
  <c r="C33" i="26"/>
  <c r="E33" i="26"/>
  <c r="E35" i="26" s="1"/>
  <c r="F33" i="26"/>
  <c r="F35" i="26" s="1"/>
  <c r="G33" i="26"/>
  <c r="H33" i="26"/>
  <c r="I33" i="26"/>
  <c r="I35" i="26" s="1"/>
  <c r="J33" i="26"/>
  <c r="J35" i="26" s="1"/>
  <c r="K33" i="26"/>
  <c r="K35" i="26" s="1"/>
  <c r="L33" i="26"/>
  <c r="L35" i="26" s="1"/>
  <c r="M33" i="26"/>
  <c r="M35" i="26" s="1"/>
  <c r="N33" i="26"/>
  <c r="N35" i="26" s="1"/>
  <c r="D33" i="26"/>
  <c r="D35" i="26" s="1"/>
  <c r="C14" i="26"/>
  <c r="C16" i="26"/>
  <c r="C74" i="26"/>
  <c r="C75" i="26" s="1"/>
  <c r="C56" i="26"/>
  <c r="C61" i="26" s="1"/>
  <c r="C34" i="26"/>
  <c r="H35" i="26"/>
  <c r="G35" i="26"/>
  <c r="B28" i="26"/>
  <c r="C27" i="26"/>
  <c r="C28" i="26" s="1"/>
  <c r="B27" i="26"/>
  <c r="C7" i="26"/>
  <c r="D5" i="26"/>
  <c r="D6" i="26" s="1"/>
  <c r="E5" i="26" s="1"/>
  <c r="E6" i="26" s="1"/>
  <c r="C35" i="26" l="1"/>
  <c r="C37" i="26" s="1"/>
  <c r="C38" i="26" s="1"/>
  <c r="C47" i="26"/>
  <c r="C48" i="26" s="1"/>
  <c r="C19" i="26"/>
  <c r="C20" i="26" s="1"/>
  <c r="F5" i="26"/>
  <c r="F6" i="26" s="1"/>
  <c r="C60" i="26"/>
  <c r="C62" i="26" s="1"/>
  <c r="C25" i="24" l="1"/>
  <c r="D9" i="3"/>
  <c r="E9" i="3"/>
  <c r="F9" i="3"/>
  <c r="G9" i="3"/>
  <c r="H9" i="3"/>
  <c r="I9" i="3"/>
  <c r="J9" i="3"/>
  <c r="K9" i="3"/>
  <c r="L9" i="3"/>
  <c r="M9" i="3"/>
  <c r="N9" i="3"/>
  <c r="C9" i="3"/>
  <c r="D8" i="3"/>
  <c r="E8" i="3"/>
  <c r="F8" i="3"/>
  <c r="G8" i="3"/>
  <c r="H8" i="3"/>
  <c r="I8" i="3"/>
  <c r="J8" i="3"/>
  <c r="K8" i="3"/>
  <c r="L8" i="3"/>
  <c r="M8" i="3"/>
  <c r="N8" i="3"/>
  <c r="C8" i="3"/>
  <c r="B5" i="25"/>
  <c r="B9" i="25" s="1"/>
  <c r="B10" i="25" s="1"/>
  <c r="B1" i="25"/>
  <c r="B2" i="25" s="1"/>
  <c r="B22" i="24"/>
  <c r="C21" i="24"/>
  <c r="F21" i="24" s="1"/>
  <c r="D24" i="24"/>
  <c r="D23" i="24"/>
  <c r="D22" i="24"/>
  <c r="D25" i="24" s="1"/>
  <c r="D14" i="24"/>
  <c r="D15" i="24"/>
  <c r="D13" i="24"/>
  <c r="C13" i="24"/>
  <c r="F13" i="24" s="1"/>
  <c r="F12" i="24"/>
  <c r="D8" i="24"/>
  <c r="D9" i="24"/>
  <c r="D7" i="24"/>
  <c r="C8" i="24"/>
  <c r="F8" i="24" s="1"/>
  <c r="C9" i="24"/>
  <c r="F9" i="24" s="1"/>
  <c r="C7" i="24"/>
  <c r="F7" i="24" s="1"/>
  <c r="B7" i="24"/>
  <c r="B13" i="24" s="1"/>
  <c r="B14" i="24" s="1"/>
  <c r="B15" i="24" s="1"/>
  <c r="B5" i="23"/>
  <c r="B15" i="23" s="1"/>
  <c r="B18" i="23" s="1"/>
  <c r="B3" i="23"/>
  <c r="B19" i="23" l="1"/>
  <c r="B8" i="23"/>
  <c r="B9" i="23" s="1"/>
  <c r="B23" i="24"/>
  <c r="C22" i="24" s="1"/>
  <c r="F22" i="24" s="1"/>
  <c r="B8" i="24"/>
  <c r="B9" i="24" s="1"/>
  <c r="B24" i="24"/>
  <c r="E9" i="24"/>
  <c r="E7" i="24"/>
  <c r="D16" i="24"/>
  <c r="C14" i="24"/>
  <c r="F14" i="24" s="1"/>
  <c r="E8" i="24"/>
  <c r="B16" i="3"/>
  <c r="D10" i="3"/>
  <c r="E10" i="3"/>
  <c r="F10" i="3"/>
  <c r="G10" i="3"/>
  <c r="H10" i="3"/>
  <c r="I10" i="3"/>
  <c r="J10" i="3"/>
  <c r="K10" i="3"/>
  <c r="C10" i="3"/>
  <c r="A10" i="3"/>
  <c r="N11" i="3"/>
  <c r="D11" i="3"/>
  <c r="G11" i="3"/>
  <c r="I11" i="3"/>
  <c r="K11" i="3"/>
  <c r="L11" i="3"/>
  <c r="M11" i="3"/>
  <c r="C11" i="3"/>
  <c r="B7" i="3"/>
  <c r="B11" i="3" s="1"/>
  <c r="J11" i="3" l="1"/>
  <c r="F11" i="3"/>
  <c r="H11" i="3"/>
  <c r="F24" i="24"/>
  <c r="C23" i="24"/>
  <c r="F23" i="24" s="1"/>
  <c r="B27" i="24" s="1"/>
  <c r="E11" i="3"/>
  <c r="F25" i="24"/>
  <c r="C15" i="24"/>
  <c r="F15" i="24" s="1"/>
  <c r="C13" i="3"/>
  <c r="D13" i="3" s="1"/>
  <c r="E13" i="3" s="1"/>
  <c r="F13" i="3" s="1"/>
  <c r="G13" i="3" s="1"/>
  <c r="H13" i="3" s="1"/>
  <c r="I13" i="3" s="1"/>
  <c r="J13" i="3" s="1"/>
  <c r="K13" i="3" s="1"/>
  <c r="L13" i="3" s="1"/>
  <c r="M13" i="3" s="1"/>
  <c r="N13" i="3" s="1"/>
  <c r="B15" i="3" l="1"/>
  <c r="F16" i="24"/>
  <c r="B18" i="24"/>
  <c r="B17" i="3"/>
  <c r="B18" i="3" s="1"/>
  <c r="C16" i="24"/>
</calcChain>
</file>

<file path=xl/sharedStrings.xml><?xml version="1.0" encoding="utf-8"?>
<sst xmlns="http://schemas.openxmlformats.org/spreadsheetml/2006/main" count="131" uniqueCount="72">
  <si>
    <t>Lån</t>
  </si>
  <si>
    <t>Månedsrente</t>
  </si>
  <si>
    <t>Perioder</t>
  </si>
  <si>
    <t>Månedsgebyr</t>
  </si>
  <si>
    <t>Måned</t>
  </si>
  <si>
    <t>Rente</t>
  </si>
  <si>
    <t>Avdrag</t>
  </si>
  <si>
    <t>Kontantstrøm</t>
  </si>
  <si>
    <t>Restgjeld UB</t>
  </si>
  <si>
    <t>Totalt betalt</t>
  </si>
  <si>
    <t>Nominell årsrente</t>
  </si>
  <si>
    <t>Effektiv månedsrente</t>
  </si>
  <si>
    <t>Effektiv årsrente</t>
  </si>
  <si>
    <t>Legg inn nye lånebeløp i celle B1 over.</t>
  </si>
  <si>
    <t>Pass på at lånesaldo da aldri blir under 1000 slik at gebyr betales hver mnd.</t>
  </si>
  <si>
    <t>Pris PC</t>
  </si>
  <si>
    <t>Forskudd</t>
  </si>
  <si>
    <t>Leie</t>
  </si>
  <si>
    <t>Gjenværende mnd</t>
  </si>
  <si>
    <t>Alternativt merke av for forskudd:</t>
  </si>
  <si>
    <t>Løpetid</t>
  </si>
  <si>
    <t>Skatt</t>
  </si>
  <si>
    <t>År</t>
  </si>
  <si>
    <t>IB lån</t>
  </si>
  <si>
    <t>Annuitet</t>
  </si>
  <si>
    <t>Spart skatt</t>
  </si>
  <si>
    <t>Gebyr</t>
  </si>
  <si>
    <t>og</t>
  </si>
  <si>
    <t>Sum</t>
  </si>
  <si>
    <t>Effektiv rente</t>
  </si>
  <si>
    <t>Med forskuddsrente blir utbetalt beløp redusert. Tidlig rentebetaling øker også nåverdien til rentebetalingene, som fører til økt effektiv rente.</t>
  </si>
  <si>
    <t>Gebyrer påvirker effektiv rente ulikt for serielån og annuitetslån. Effektiv rente blir lavere på annuitetslånet på grunn av at gjennomsnittlig lånesaldo er høyere.</t>
  </si>
  <si>
    <t>Rente pr. 30 dager</t>
  </si>
  <si>
    <t>Nominell kvartalsrente</t>
  </si>
  <si>
    <t>Limitprovisjon</t>
  </si>
  <si>
    <t>Utnyttelse</t>
  </si>
  <si>
    <t>Kvartalrente</t>
  </si>
  <si>
    <t>Bruk målsøking for å finne utnyttelse som gir effektiv rente 14 %:</t>
  </si>
  <si>
    <t>a)</t>
  </si>
  <si>
    <t>b)</t>
  </si>
  <si>
    <t>Alternativ 1 - RENTE i Excel</t>
  </si>
  <si>
    <t>Kjøpspris</t>
  </si>
  <si>
    <t>Betaling</t>
  </si>
  <si>
    <t>Alternativ 2 - Rente i Excel med kontantstrøm markert som forskudd</t>
  </si>
  <si>
    <t>Betalinger</t>
  </si>
  <si>
    <t>Alternativ 3 - Sett opp hele kontantstrømmen og bruk IR funksjonen</t>
  </si>
  <si>
    <t>Tid</t>
  </si>
  <si>
    <t>Nå</t>
  </si>
  <si>
    <t>Avbetaling</t>
  </si>
  <si>
    <t>Kontant</t>
  </si>
  <si>
    <t>Effektiv rente pr. måned</t>
  </si>
  <si>
    <t>c)</t>
  </si>
  <si>
    <t>Bruk målsøking</t>
  </si>
  <si>
    <t>Sett celle B48 til 20 % ved å endre celle B41.</t>
  </si>
  <si>
    <t>d)</t>
  </si>
  <si>
    <t>Opprinnelig rente</t>
  </si>
  <si>
    <t>Ny rente</t>
  </si>
  <si>
    <t>Terminbeløp</t>
  </si>
  <si>
    <t>Gjenværende år</t>
  </si>
  <si>
    <t>NV gjenværede betalinger</t>
  </si>
  <si>
    <t>Restgjeld</t>
  </si>
  <si>
    <t>Overkurs</t>
  </si>
  <si>
    <t>e)</t>
  </si>
  <si>
    <t>Beløp om 3 år</t>
  </si>
  <si>
    <t>Beløp om 6 år</t>
  </si>
  <si>
    <t>Nåverdi år 5</t>
  </si>
  <si>
    <t>f)</t>
  </si>
  <si>
    <t>Limitprovsjon</t>
  </si>
  <si>
    <t>Perioder pr. år</t>
  </si>
  <si>
    <t>Effektiv kvartalsrente</t>
  </si>
  <si>
    <t>Kontantrabatt</t>
  </si>
  <si>
    <t>Lånperiode (dager)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</si>
</sst>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-* #,##0.0_-;\-* #,##0.0_-;_-* &quot;-&quot;??_-;_-@_-"/>
    <numFmt numFmtId="167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10" fontId="0" fillId="5" borderId="0" xfId="2" applyNumberFormat="1" applyFont="1" applyFill="1"/>
    <xf numFmtId="0" fontId="2" fillId="2" borderId="0" xfId="0" applyFont="1" applyFill="1"/>
    <xf numFmtId="0" fontId="0" fillId="3" borderId="2" xfId="0" applyFill="1" applyBorder="1"/>
    <xf numFmtId="0" fontId="0" fillId="6" borderId="0" xfId="0" applyFill="1"/>
    <xf numFmtId="0" fontId="0" fillId="5" borderId="1" xfId="0" applyFill="1" applyBorder="1"/>
    <xf numFmtId="0" fontId="0" fillId="5" borderId="2" xfId="0" applyFill="1" applyBorder="1"/>
    <xf numFmtId="3" fontId="0" fillId="3" borderId="1" xfId="0" applyNumberFormat="1" applyFill="1" applyBorder="1"/>
    <xf numFmtId="10" fontId="0" fillId="3" borderId="3" xfId="2" applyNumberFormat="1" applyFont="1" applyFill="1" applyBorder="1"/>
    <xf numFmtId="9" fontId="0" fillId="3" borderId="3" xfId="0" applyNumberFormat="1" applyFill="1" applyBorder="1"/>
    <xf numFmtId="10" fontId="0" fillId="3" borderId="2" xfId="2" applyNumberFormat="1" applyFont="1" applyFill="1" applyBorder="1"/>
    <xf numFmtId="0" fontId="0" fillId="5" borderId="3" xfId="0" applyFill="1" applyBorder="1"/>
    <xf numFmtId="10" fontId="0" fillId="3" borderId="3" xfId="0" applyNumberFormat="1" applyFill="1" applyBorder="1"/>
    <xf numFmtId="0" fontId="0" fillId="4" borderId="1" xfId="0" applyFill="1" applyBorder="1"/>
    <xf numFmtId="0" fontId="0" fillId="4" borderId="3" xfId="0" applyFill="1" applyBorder="1"/>
    <xf numFmtId="0" fontId="0" fillId="4" borderId="2" xfId="0" applyFill="1" applyBorder="1"/>
    <xf numFmtId="0" fontId="4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3" fontId="0" fillId="0" borderId="3" xfId="0" applyNumberFormat="1" applyBorder="1"/>
    <xf numFmtId="0" fontId="0" fillId="0" borderId="3" xfId="0" applyBorder="1"/>
    <xf numFmtId="0" fontId="0" fillId="0" borderId="2" xfId="0" applyBorder="1"/>
    <xf numFmtId="3" fontId="0" fillId="3" borderId="4" xfId="0" applyNumberFormat="1" applyFill="1" applyBorder="1"/>
    <xf numFmtId="0" fontId="2" fillId="2" borderId="4" xfId="0" applyFont="1" applyFill="1" applyBorder="1"/>
    <xf numFmtId="164" fontId="0" fillId="0" borderId="3" xfId="1" applyFont="1" applyBorder="1"/>
    <xf numFmtId="2" fontId="0" fillId="0" borderId="2" xfId="0" applyNumberFormat="1" applyBorder="1"/>
    <xf numFmtId="4" fontId="0" fillId="3" borderId="4" xfId="0" applyNumberFormat="1" applyFill="1" applyBorder="1"/>
    <xf numFmtId="0" fontId="0" fillId="0" borderId="1" xfId="0" applyBorder="1"/>
    <xf numFmtId="3" fontId="0" fillId="3" borderId="3" xfId="0" applyNumberFormat="1" applyFill="1" applyBorder="1"/>
    <xf numFmtId="0" fontId="0" fillId="7" borderId="4" xfId="0" applyFill="1" applyBorder="1"/>
    <xf numFmtId="43" fontId="0" fillId="7" borderId="4" xfId="0" applyNumberFormat="1" applyFill="1" applyBorder="1"/>
    <xf numFmtId="166" fontId="0" fillId="0" borderId="0" xfId="0" applyNumberFormat="1"/>
    <xf numFmtId="43" fontId="0" fillId="0" borderId="0" xfId="0" applyNumberFormat="1"/>
    <xf numFmtId="1" fontId="0" fillId="3" borderId="3" xfId="0" applyNumberFormat="1" applyFill="1" applyBorder="1"/>
    <xf numFmtId="3" fontId="0" fillId="5" borderId="1" xfId="0" applyNumberFormat="1" applyFill="1" applyBorder="1"/>
    <xf numFmtId="3" fontId="0" fillId="5" borderId="2" xfId="0" applyNumberFormat="1" applyFill="1" applyBorder="1"/>
    <xf numFmtId="3" fontId="0" fillId="3" borderId="2" xfId="0" applyNumberFormat="1" applyFill="1" applyBorder="1"/>
    <xf numFmtId="0" fontId="0" fillId="8" borderId="1" xfId="0" applyFill="1" applyBorder="1"/>
    <xf numFmtId="0" fontId="0" fillId="8" borderId="2" xfId="0" applyFill="1" applyBorder="1"/>
    <xf numFmtId="10" fontId="0" fillId="4" borderId="1" xfId="0" applyNumberFormat="1" applyFill="1" applyBorder="1"/>
    <xf numFmtId="10" fontId="0" fillId="4" borderId="2" xfId="2" applyNumberFormat="1" applyFont="1" applyFill="1" applyBorder="1"/>
    <xf numFmtId="0" fontId="0" fillId="5" borderId="4" xfId="0" applyFill="1" applyBorder="1"/>
    <xf numFmtId="3" fontId="0" fillId="5" borderId="4" xfId="0" applyNumberFormat="1" applyFill="1" applyBorder="1"/>
    <xf numFmtId="0" fontId="2" fillId="5" borderId="0" xfId="0" applyFont="1" applyFill="1"/>
    <xf numFmtId="0" fontId="0" fillId="4" borderId="4" xfId="0" applyFill="1" applyBorder="1" applyAlignment="1">
      <alignment horizontal="center"/>
    </xf>
    <xf numFmtId="165" fontId="0" fillId="0" borderId="3" xfId="0" applyNumberFormat="1" applyBorder="1"/>
    <xf numFmtId="165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3" xfId="1" applyNumberFormat="1" applyFont="1" applyBorder="1"/>
    <xf numFmtId="165" fontId="0" fillId="0" borderId="2" xfId="1" applyNumberFormat="1" applyFont="1" applyBorder="1"/>
    <xf numFmtId="3" fontId="0" fillId="0" borderId="3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3" xfId="1" applyNumberFormat="1" applyFont="1" applyFill="1" applyBorder="1" applyAlignment="1">
      <alignment horizontal="right"/>
    </xf>
    <xf numFmtId="165" fontId="0" fillId="0" borderId="3" xfId="1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165" fontId="0" fillId="6" borderId="4" xfId="0" applyNumberFormat="1" applyFill="1" applyBorder="1"/>
    <xf numFmtId="0" fontId="0" fillId="3" borderId="4" xfId="0" applyFill="1" applyBorder="1"/>
    <xf numFmtId="10" fontId="0" fillId="3" borderId="4" xfId="0" applyNumberFormat="1" applyFill="1" applyBorder="1"/>
    <xf numFmtId="165" fontId="0" fillId="6" borderId="2" xfId="0" applyNumberFormat="1" applyFill="1" applyBorder="1"/>
    <xf numFmtId="0" fontId="0" fillId="4" borderId="5" xfId="0" applyFill="1" applyBorder="1"/>
    <xf numFmtId="0" fontId="0" fillId="6" borderId="5" xfId="0" applyFill="1" applyBorder="1"/>
    <xf numFmtId="0" fontId="0" fillId="6" borderId="6" xfId="0" applyFill="1" applyBorder="1"/>
    <xf numFmtId="0" fontId="0" fillId="3" borderId="1" xfId="0" applyFill="1" applyBorder="1"/>
    <xf numFmtId="0" fontId="0" fillId="3" borderId="3" xfId="0" applyFill="1" applyBorder="1"/>
    <xf numFmtId="3" fontId="0" fillId="6" borderId="1" xfId="0" applyNumberFormat="1" applyFill="1" applyBorder="1"/>
    <xf numFmtId="0" fontId="0" fillId="6" borderId="3" xfId="0" applyFill="1" applyBorder="1"/>
    <xf numFmtId="9" fontId="0" fillId="6" borderId="3" xfId="0" applyNumberFormat="1" applyFill="1" applyBorder="1"/>
    <xf numFmtId="9" fontId="0" fillId="6" borderId="2" xfId="0" applyNumberFormat="1" applyFill="1" applyBorder="1"/>
    <xf numFmtId="10" fontId="0" fillId="4" borderId="3" xfId="2" applyNumberFormat="1" applyFont="1" applyFill="1" applyBorder="1"/>
    <xf numFmtId="10" fontId="0" fillId="4" borderId="3" xfId="0" applyNumberFormat="1" applyFill="1" applyBorder="1"/>
    <xf numFmtId="9" fontId="0" fillId="4" borderId="2" xfId="0" applyNumberFormat="1" applyFill="1" applyBorder="1"/>
    <xf numFmtId="0" fontId="0" fillId="9" borderId="0" xfId="0" applyFill="1"/>
    <xf numFmtId="9" fontId="0" fillId="9" borderId="0" xfId="0" applyNumberFormat="1" applyFill="1"/>
    <xf numFmtId="167" fontId="0" fillId="0" borderId="3" xfId="1" applyNumberFormat="1" applyFont="1" applyBorder="1"/>
    <xf numFmtId="167" fontId="0" fillId="0" borderId="2" xfId="1" applyNumberFormat="1" applyFont="1" applyBorder="1"/>
    <xf numFmtId="167" fontId="0" fillId="5" borderId="4" xfId="1" applyNumberFormat="1" applyFont="1" applyFill="1" applyBorder="1"/>
    <xf numFmtId="0" fontId="2" fillId="4" borderId="0" xfId="0" applyFont="1" applyFill="1"/>
    <xf numFmtId="0" fontId="0" fillId="4" borderId="0" xfId="0" applyFill="1"/>
    <xf numFmtId="10" fontId="0" fillId="5" borderId="1" xfId="0" applyNumberFormat="1" applyFill="1" applyBorder="1"/>
    <xf numFmtId="10" fontId="0" fillId="5" borderId="2" xfId="2" applyNumberFormat="1" applyFont="1" applyFill="1" applyBorder="1"/>
    <xf numFmtId="10" fontId="0" fillId="5" borderId="1" xfId="2" applyNumberFormat="1" applyFont="1" applyFill="1" applyBorder="1"/>
    <xf numFmtId="10" fontId="0" fillId="0" borderId="0" xfId="2" applyNumberFormat="1" applyFont="1" applyFill="1" applyBorder="1"/>
    <xf numFmtId="10" fontId="2" fillId="2" borderId="4" xfId="2" applyNumberFormat="1" applyFont="1" applyFill="1" applyBorder="1" applyAlignment="1">
      <alignment horizontal="center"/>
    </xf>
    <xf numFmtId="167" fontId="1" fillId="0" borderId="3" xfId="1" applyNumberFormat="1" applyFont="1" applyFill="1" applyBorder="1" applyAlignment="1">
      <alignment horizontal="right"/>
    </xf>
    <xf numFmtId="167" fontId="0" fillId="0" borderId="2" xfId="1" applyNumberFormat="1" applyFont="1" applyFill="1" applyBorder="1"/>
    <xf numFmtId="3" fontId="0" fillId="5" borderId="4" xfId="2" applyNumberFormat="1" applyFont="1" applyFill="1" applyBorder="1"/>
    <xf numFmtId="167" fontId="0" fillId="3" borderId="4" xfId="1" applyNumberFormat="1" applyFont="1" applyFill="1" applyBorder="1"/>
    <xf numFmtId="167" fontId="0" fillId="5" borderId="1" xfId="1" applyNumberFormat="1" applyFont="1" applyFill="1" applyBorder="1"/>
    <xf numFmtId="167" fontId="0" fillId="5" borderId="2" xfId="1" applyNumberFormat="1" applyFont="1" applyFill="1" applyBorder="1"/>
    <xf numFmtId="167" fontId="0" fillId="3" borderId="4" xfId="0" applyNumberFormat="1" applyFill="1" applyBorder="1"/>
    <xf numFmtId="9" fontId="0" fillId="5" borderId="1" xfId="0" applyNumberFormat="1" applyFill="1" applyBorder="1"/>
    <xf numFmtId="10" fontId="0" fillId="5" borderId="3" xfId="0" applyNumberFormat="1" applyFill="1" applyBorder="1"/>
    <xf numFmtId="9" fontId="0" fillId="5" borderId="3" xfId="0" applyNumberFormat="1" applyFill="1" applyBorder="1"/>
    <xf numFmtId="0" fontId="2" fillId="4" borderId="3" xfId="0" applyFont="1" applyFill="1" applyBorder="1"/>
    <xf numFmtId="10" fontId="2" fillId="4" borderId="3" xfId="0" applyNumberFormat="1" applyFont="1" applyFill="1" applyBorder="1"/>
    <xf numFmtId="0" fontId="2" fillId="4" borderId="2" xfId="0" applyFont="1" applyFill="1" applyBorder="1"/>
    <xf numFmtId="10" fontId="2" fillId="4" borderId="2" xfId="2" applyNumberFormat="1" applyFont="1" applyFill="1" applyBorder="1"/>
    <xf numFmtId="9" fontId="0" fillId="3" borderId="1" xfId="0" applyNumberFormat="1" applyFill="1" applyBorder="1"/>
    <xf numFmtId="165" fontId="0" fillId="3" borderId="2" xfId="1" applyNumberFormat="1" applyFon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1</xdr:col>
      <xdr:colOff>514059</xdr:colOff>
      <xdr:row>22</xdr:row>
      <xdr:rowOff>85500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2AC909D-561C-4C33-A7F8-025947E18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76500"/>
          <a:ext cx="2323809" cy="1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zoomScaleNormal="100" workbookViewId="0">
      <selection activeCell="L28" sqref="L28"/>
    </sheetView>
  </sheetViews>
  <sheetFormatPr baseColWidth="10" defaultColWidth="9.140625" defaultRowHeight="15" x14ac:dyDescent="0.25"/>
  <cols>
    <col min="1" max="1" width="19.85546875" customWidth="1"/>
    <col min="2" max="2" width="9.28515625" customWidth="1"/>
    <col min="3" max="3" width="9.7109375" customWidth="1"/>
    <col min="4" max="5" width="11" bestFit="1" customWidth="1"/>
    <col min="6" max="7" width="10.140625" customWidth="1"/>
    <col min="8" max="10" width="11" bestFit="1" customWidth="1"/>
    <col min="11" max="11" width="10" bestFit="1" customWidth="1"/>
    <col min="12" max="12" width="9.28515625" customWidth="1"/>
    <col min="13" max="13" width="10" bestFit="1" customWidth="1"/>
    <col min="14" max="14" width="9.28515625" customWidth="1"/>
  </cols>
  <sheetData>
    <row r="1" spans="1:14" x14ac:dyDescent="0.25">
      <c r="A1" s="14" t="s">
        <v>0</v>
      </c>
      <c r="B1" s="8">
        <v>2995</v>
      </c>
    </row>
    <row r="2" spans="1:14" x14ac:dyDescent="0.25">
      <c r="A2" s="15" t="s">
        <v>1</v>
      </c>
      <c r="B2" s="13">
        <v>1.7500000000000002E-2</v>
      </c>
    </row>
    <row r="3" spans="1:14" x14ac:dyDescent="0.25">
      <c r="A3" s="15" t="s">
        <v>2</v>
      </c>
      <c r="B3" s="33">
        <v>12</v>
      </c>
    </row>
    <row r="4" spans="1:14" x14ac:dyDescent="0.25">
      <c r="A4" s="16" t="s">
        <v>3</v>
      </c>
      <c r="B4" s="4">
        <v>45</v>
      </c>
    </row>
    <row r="6" spans="1:14" x14ac:dyDescent="0.25">
      <c r="A6" s="23" t="s">
        <v>4</v>
      </c>
      <c r="B6" s="18">
        <v>0</v>
      </c>
      <c r="C6" s="18">
        <v>1</v>
      </c>
      <c r="D6" s="18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  <c r="N6" s="18">
        <v>12</v>
      </c>
    </row>
    <row r="7" spans="1:14" x14ac:dyDescent="0.25">
      <c r="A7" s="20" t="s">
        <v>0</v>
      </c>
      <c r="B7" s="19">
        <f>B1</f>
        <v>2995</v>
      </c>
      <c r="C7" s="20"/>
      <c r="D7" s="20"/>
      <c r="E7" s="20"/>
      <c r="F7" s="20"/>
      <c r="G7" s="20"/>
      <c r="H7" s="20"/>
      <c r="I7" s="20"/>
      <c r="J7" s="27"/>
      <c r="K7" s="20"/>
      <c r="L7" s="20"/>
      <c r="M7" s="20"/>
      <c r="N7" s="20"/>
    </row>
    <row r="8" spans="1:14" x14ac:dyDescent="0.25">
      <c r="A8" s="20" t="s">
        <v>5</v>
      </c>
      <c r="B8" s="20"/>
      <c r="C8" s="24">
        <f>IPMT($B$2,C6,$B$3,$B$1)</f>
        <v>-52.412500000000009</v>
      </c>
      <c r="D8" s="24">
        <f t="shared" ref="D8:N8" si="0">IPMT($B$2,D6,$B$3,$B$1)</f>
        <v>-48.449393082669211</v>
      </c>
      <c r="E8" s="24">
        <f t="shared" si="0"/>
        <v>-44.416931794285155</v>
      </c>
      <c r="F8" s="24">
        <f t="shared" si="0"/>
        <v>-40.313902433354357</v>
      </c>
      <c r="G8" s="24">
        <f t="shared" si="0"/>
        <v>-36.139070058607274</v>
      </c>
      <c r="H8" s="24">
        <f t="shared" si="0"/>
        <v>-31.891178117302125</v>
      </c>
      <c r="I8" s="24">
        <f t="shared" si="0"/>
        <v>-27.568948067024131</v>
      </c>
      <c r="J8" s="24">
        <f t="shared" si="0"/>
        <v>-23.17107899086627</v>
      </c>
      <c r="K8" s="24">
        <f t="shared" si="0"/>
        <v>-18.696247205875647</v>
      </c>
      <c r="L8" s="24">
        <f t="shared" si="0"/>
        <v>-14.143105864647691</v>
      </c>
      <c r="M8" s="24">
        <f t="shared" si="0"/>
        <v>-9.510284549948242</v>
      </c>
      <c r="N8" s="24">
        <f t="shared" si="0"/>
        <v>-4.7963888622415549</v>
      </c>
    </row>
    <row r="9" spans="1:14" x14ac:dyDescent="0.25">
      <c r="A9" s="20" t="s">
        <v>6</v>
      </c>
      <c r="B9" s="20"/>
      <c r="C9" s="24">
        <f>PPMT($B$2,C6,$B$3,$B$1)</f>
        <v>-226.46325241890179</v>
      </c>
      <c r="D9" s="24">
        <f t="shared" ref="D9:N9" si="1">PPMT($B$2,D6,$B$3,$B$1)</f>
        <v>-230.42635933623257</v>
      </c>
      <c r="E9" s="24">
        <f t="shared" si="1"/>
        <v>-234.45882062461664</v>
      </c>
      <c r="F9" s="24">
        <f t="shared" si="1"/>
        <v>-238.56184998554744</v>
      </c>
      <c r="G9" s="24">
        <f t="shared" si="1"/>
        <v>-242.73668236029451</v>
      </c>
      <c r="H9" s="24">
        <f t="shared" si="1"/>
        <v>-246.98457430159968</v>
      </c>
      <c r="I9" s="24">
        <f t="shared" si="1"/>
        <v>-251.30680435187767</v>
      </c>
      <c r="J9" s="24">
        <f t="shared" si="1"/>
        <v>-255.70467342803551</v>
      </c>
      <c r="K9" s="24">
        <f t="shared" si="1"/>
        <v>-260.17950521302612</v>
      </c>
      <c r="L9" s="24">
        <f t="shared" si="1"/>
        <v>-264.73264655425407</v>
      </c>
      <c r="M9" s="24">
        <f t="shared" si="1"/>
        <v>-269.36546786895354</v>
      </c>
      <c r="N9" s="24">
        <f t="shared" si="1"/>
        <v>-274.07936355666021</v>
      </c>
    </row>
    <row r="10" spans="1:14" x14ac:dyDescent="0.25">
      <c r="A10" s="21" t="str">
        <f>A4</f>
        <v>Månedsgebyr</v>
      </c>
      <c r="B10" s="21"/>
      <c r="C10" s="25">
        <f>-$B$4</f>
        <v>-45</v>
      </c>
      <c r="D10" s="25">
        <f t="shared" ref="D10:K10" si="2">-$B$4</f>
        <v>-45</v>
      </c>
      <c r="E10" s="25">
        <f t="shared" si="2"/>
        <v>-45</v>
      </c>
      <c r="F10" s="25">
        <f t="shared" si="2"/>
        <v>-45</v>
      </c>
      <c r="G10" s="25">
        <f t="shared" si="2"/>
        <v>-45</v>
      </c>
      <c r="H10" s="25">
        <f t="shared" si="2"/>
        <v>-45</v>
      </c>
      <c r="I10" s="25">
        <f t="shared" si="2"/>
        <v>-45</v>
      </c>
      <c r="J10" s="25">
        <f t="shared" si="2"/>
        <v>-45</v>
      </c>
      <c r="K10" s="25">
        <f t="shared" si="2"/>
        <v>-45</v>
      </c>
      <c r="L10" s="25">
        <v>0</v>
      </c>
      <c r="M10" s="25">
        <v>0</v>
      </c>
      <c r="N10" s="25">
        <v>0</v>
      </c>
    </row>
    <row r="11" spans="1:14" x14ac:dyDescent="0.25">
      <c r="A11" s="4" t="s">
        <v>7</v>
      </c>
      <c r="B11" s="22">
        <f>SUM(B7:B10)</f>
        <v>2995</v>
      </c>
      <c r="C11" s="26">
        <f t="shared" ref="C11:N11" si="3">SUM(C7:C10)</f>
        <v>-323.87575241890181</v>
      </c>
      <c r="D11" s="26">
        <f t="shared" si="3"/>
        <v>-323.87575241890175</v>
      </c>
      <c r="E11" s="26">
        <f t="shared" si="3"/>
        <v>-323.87575241890181</v>
      </c>
      <c r="F11" s="26">
        <f t="shared" si="3"/>
        <v>-323.87575241890181</v>
      </c>
      <c r="G11" s="26">
        <f t="shared" si="3"/>
        <v>-323.87575241890181</v>
      </c>
      <c r="H11" s="26">
        <f t="shared" si="3"/>
        <v>-323.87575241890181</v>
      </c>
      <c r="I11" s="26">
        <f t="shared" si="3"/>
        <v>-323.87575241890181</v>
      </c>
      <c r="J11" s="26">
        <f t="shared" si="3"/>
        <v>-323.87575241890175</v>
      </c>
      <c r="K11" s="26">
        <f t="shared" si="3"/>
        <v>-323.87575241890175</v>
      </c>
      <c r="L11" s="26">
        <f t="shared" si="3"/>
        <v>-278.87575241890175</v>
      </c>
      <c r="M11" s="26">
        <f t="shared" si="3"/>
        <v>-278.87575241890181</v>
      </c>
      <c r="N11" s="26">
        <f t="shared" si="3"/>
        <v>-278.87575241890175</v>
      </c>
    </row>
    <row r="13" spans="1:14" x14ac:dyDescent="0.25">
      <c r="A13" s="29" t="s">
        <v>8</v>
      </c>
      <c r="B13" s="29"/>
      <c r="C13" s="30">
        <f>B7+C9</f>
        <v>2768.5367475810981</v>
      </c>
      <c r="D13" s="30">
        <f>C13+D9</f>
        <v>2538.1103882448656</v>
      </c>
      <c r="E13" s="30">
        <f t="shared" ref="E13:N13" si="4">D13+E9</f>
        <v>2303.6515676202489</v>
      </c>
      <c r="F13" s="30">
        <f t="shared" si="4"/>
        <v>2065.0897176347016</v>
      </c>
      <c r="G13" s="30">
        <f t="shared" si="4"/>
        <v>1822.3530352744071</v>
      </c>
      <c r="H13" s="30">
        <f t="shared" si="4"/>
        <v>1575.3684609728075</v>
      </c>
      <c r="I13" s="30">
        <f t="shared" si="4"/>
        <v>1324.0616566209299</v>
      </c>
      <c r="J13" s="30">
        <f t="shared" si="4"/>
        <v>1068.3569831928944</v>
      </c>
      <c r="K13" s="30">
        <f t="shared" si="4"/>
        <v>808.17747797986829</v>
      </c>
      <c r="L13" s="30">
        <f t="shared" si="4"/>
        <v>543.44483142561421</v>
      </c>
      <c r="M13" s="30">
        <f t="shared" si="4"/>
        <v>274.07936355666067</v>
      </c>
      <c r="N13" s="30">
        <f t="shared" si="4"/>
        <v>4.5474735088646412E-13</v>
      </c>
    </row>
    <row r="14" spans="1:14" x14ac:dyDescent="0.25">
      <c r="A14" s="20"/>
      <c r="B14" s="20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x14ac:dyDescent="0.25">
      <c r="A15" s="6" t="s">
        <v>9</v>
      </c>
      <c r="B15" s="8">
        <f>-SUM(C11:N11)</f>
        <v>3751.5090290268217</v>
      </c>
    </row>
    <row r="16" spans="1:14" x14ac:dyDescent="0.25">
      <c r="A16" s="12" t="s">
        <v>10</v>
      </c>
      <c r="B16" s="9">
        <f>B2*12</f>
        <v>0.21000000000000002</v>
      </c>
    </row>
    <row r="17" spans="1:6" x14ac:dyDescent="0.25">
      <c r="A17" s="12" t="s">
        <v>11</v>
      </c>
      <c r="B17" s="13">
        <f>IRR(B11:N11)</f>
        <v>3.7446287453981375E-2</v>
      </c>
    </row>
    <row r="18" spans="1:6" x14ac:dyDescent="0.25">
      <c r="A18" s="7" t="s">
        <v>12</v>
      </c>
      <c r="B18" s="11">
        <f>(1+B17)^12-1</f>
        <v>0.55448827496301734</v>
      </c>
    </row>
    <row r="20" spans="1:6" x14ac:dyDescent="0.25">
      <c r="A20" s="3" t="s">
        <v>13</v>
      </c>
      <c r="B20" s="3"/>
      <c r="C20" s="3"/>
      <c r="D20" s="3"/>
      <c r="E20" s="3"/>
      <c r="F20" s="3"/>
    </row>
    <row r="21" spans="1:6" x14ac:dyDescent="0.25">
      <c r="A21" s="3" t="s">
        <v>14</v>
      </c>
      <c r="B21" s="3"/>
      <c r="C21" s="3"/>
      <c r="D21" s="3"/>
      <c r="E21" s="3"/>
      <c r="F21" s="3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0CB0C-3233-4468-8B3E-772CBCDD0143}">
  <dimension ref="A1:B19"/>
  <sheetViews>
    <sheetView topLeftCell="A7" zoomScaleNormal="100" workbookViewId="0">
      <selection activeCell="A11" sqref="A11:B11"/>
    </sheetView>
  </sheetViews>
  <sheetFormatPr baseColWidth="10" defaultColWidth="11.42578125" defaultRowHeight="15" x14ac:dyDescent="0.25"/>
  <cols>
    <col min="1" max="1" width="24.140625" bestFit="1" customWidth="1"/>
    <col min="2" max="2" width="13.42578125" bestFit="1" customWidth="1"/>
    <col min="3" max="3" width="12.85546875" bestFit="1" customWidth="1"/>
  </cols>
  <sheetData>
    <row r="1" spans="1:2" x14ac:dyDescent="0.25">
      <c r="A1" s="6" t="s">
        <v>15</v>
      </c>
      <c r="B1" s="34">
        <v>27047</v>
      </c>
    </row>
    <row r="2" spans="1:2" x14ac:dyDescent="0.25">
      <c r="A2" s="7" t="s">
        <v>16</v>
      </c>
      <c r="B2" s="35">
        <v>1097</v>
      </c>
    </row>
    <row r="3" spans="1:2" x14ac:dyDescent="0.25">
      <c r="A3" s="4" t="s">
        <v>0</v>
      </c>
      <c r="B3" s="36">
        <f>B1-B2</f>
        <v>25950</v>
      </c>
    </row>
    <row r="5" spans="1:2" x14ac:dyDescent="0.25">
      <c r="A5" s="37" t="s">
        <v>17</v>
      </c>
      <c r="B5" s="8">
        <f>B2</f>
        <v>1097</v>
      </c>
    </row>
    <row r="6" spans="1:2" x14ac:dyDescent="0.25">
      <c r="A6" s="38" t="s">
        <v>18</v>
      </c>
      <c r="B6" s="4">
        <v>35</v>
      </c>
    </row>
    <row r="8" spans="1:2" x14ac:dyDescent="0.25">
      <c r="A8" s="6" t="s">
        <v>11</v>
      </c>
      <c r="B8" s="39">
        <f>RATE(B6,-B5,B3)</f>
        <v>2.3566440034264471E-2</v>
      </c>
    </row>
    <row r="9" spans="1:2" x14ac:dyDescent="0.25">
      <c r="A9" s="7" t="s">
        <v>12</v>
      </c>
      <c r="B9" s="40">
        <f>(1+B8)^12-1</f>
        <v>0.32249018431983778</v>
      </c>
    </row>
    <row r="11" spans="1:2" x14ac:dyDescent="0.25">
      <c r="A11" s="43" t="s">
        <v>19</v>
      </c>
      <c r="B11" s="43"/>
    </row>
    <row r="13" spans="1:2" x14ac:dyDescent="0.25">
      <c r="A13" s="41" t="s">
        <v>15</v>
      </c>
      <c r="B13" s="42">
        <v>27047</v>
      </c>
    </row>
    <row r="15" spans="1:2" x14ac:dyDescent="0.25">
      <c r="A15" s="37" t="s">
        <v>17</v>
      </c>
      <c r="B15" s="8">
        <f>B5</f>
        <v>1097</v>
      </c>
    </row>
    <row r="16" spans="1:2" x14ac:dyDescent="0.25">
      <c r="A16" s="38" t="s">
        <v>18</v>
      </c>
      <c r="B16" s="4">
        <v>36</v>
      </c>
    </row>
    <row r="18" spans="1:2" x14ac:dyDescent="0.25">
      <c r="A18" s="6" t="s">
        <v>11</v>
      </c>
      <c r="B18" s="39">
        <f>RATE(B16,-B15,B13,,1)</f>
        <v>2.3566440034205317E-2</v>
      </c>
    </row>
    <row r="19" spans="1:2" x14ac:dyDescent="0.25">
      <c r="A19" s="7" t="s">
        <v>12</v>
      </c>
      <c r="B19" s="40">
        <f>(1+B18)^12-1</f>
        <v>0.32249018431891718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D5324-6002-4EE3-9F07-37B831CAE204}">
  <dimension ref="A1:J31"/>
  <sheetViews>
    <sheetView zoomScaleNormal="100" workbookViewId="0">
      <selection sqref="A1:F27"/>
    </sheetView>
  </sheetViews>
  <sheetFormatPr baseColWidth="10" defaultColWidth="11.42578125" defaultRowHeight="15" x14ac:dyDescent="0.25"/>
  <cols>
    <col min="1" max="1" width="13.140625" customWidth="1"/>
    <col min="2" max="2" width="11.5703125" customWidth="1"/>
    <col min="3" max="5" width="12.28515625" bestFit="1" customWidth="1"/>
    <col min="6" max="6" width="13.5703125" bestFit="1" customWidth="1"/>
    <col min="7" max="11" width="11.5703125" bestFit="1" customWidth="1"/>
    <col min="12" max="12" width="13.140625" bestFit="1" customWidth="1"/>
  </cols>
  <sheetData>
    <row r="1" spans="1:10" x14ac:dyDescent="0.25">
      <c r="A1" s="65" t="s">
        <v>0</v>
      </c>
      <c r="B1" s="67">
        <v>90000</v>
      </c>
    </row>
    <row r="2" spans="1:10" x14ac:dyDescent="0.25">
      <c r="A2" s="66" t="s">
        <v>20</v>
      </c>
      <c r="B2" s="68">
        <v>3</v>
      </c>
    </row>
    <row r="3" spans="1:10" x14ac:dyDescent="0.25">
      <c r="A3" s="66" t="s">
        <v>5</v>
      </c>
      <c r="B3" s="69">
        <v>0.1</v>
      </c>
    </row>
    <row r="4" spans="1:10" x14ac:dyDescent="0.25">
      <c r="A4" s="4" t="s">
        <v>21</v>
      </c>
      <c r="B4" s="70">
        <v>0.22</v>
      </c>
    </row>
    <row r="6" spans="1:10" x14ac:dyDescent="0.25">
      <c r="A6" s="44" t="s">
        <v>22</v>
      </c>
      <c r="B6" s="44" t="s">
        <v>23</v>
      </c>
      <c r="C6" s="44" t="s">
        <v>5</v>
      </c>
      <c r="D6" s="44" t="s">
        <v>6</v>
      </c>
      <c r="E6" s="44" t="s">
        <v>24</v>
      </c>
      <c r="F6" s="44" t="s">
        <v>25</v>
      </c>
    </row>
    <row r="7" spans="1:10" x14ac:dyDescent="0.25">
      <c r="A7" s="47">
        <v>1</v>
      </c>
      <c r="B7" s="19">
        <f>B1</f>
        <v>90000</v>
      </c>
      <c r="C7" s="49">
        <f>IPMT($B$3,A7,3,$B$1)</f>
        <v>-9000</v>
      </c>
      <c r="D7" s="49">
        <f>PPMT($B$3,A7,3,$B$1)</f>
        <v>-27190.332326283999</v>
      </c>
      <c r="E7" s="45">
        <f>SUM(C7:D7)</f>
        <v>-36190.332326283999</v>
      </c>
      <c r="F7" s="45">
        <f>-C7*$B$4</f>
        <v>1980</v>
      </c>
    </row>
    <row r="8" spans="1:10" x14ac:dyDescent="0.25">
      <c r="A8" s="47">
        <v>2</v>
      </c>
      <c r="B8" s="45">
        <f>B7+D7</f>
        <v>62809.667673716001</v>
      </c>
      <c r="C8" s="49">
        <f t="shared" ref="C8:C9" si="0">IPMT($B$3,A8,3,$B$1)</f>
        <v>-6280.9667673716031</v>
      </c>
      <c r="D8" s="49">
        <f t="shared" ref="D8:D9" si="1">PPMT($B$3,A8,3,$B$1)</f>
        <v>-29909.365558912395</v>
      </c>
      <c r="E8" s="45">
        <f t="shared" ref="E8:E9" si="2">SUM(C8:D8)</f>
        <v>-36190.332326283999</v>
      </c>
      <c r="F8" s="45">
        <f t="shared" ref="F8:F9" si="3">-C8*$B$4</f>
        <v>1381.8126888217528</v>
      </c>
    </row>
    <row r="9" spans="1:10" x14ac:dyDescent="0.25">
      <c r="A9" s="48">
        <v>3</v>
      </c>
      <c r="B9" s="46">
        <f>B8+D8</f>
        <v>32900.302114803606</v>
      </c>
      <c r="C9" s="50">
        <f t="shared" si="0"/>
        <v>-3290.0302114803631</v>
      </c>
      <c r="D9" s="50">
        <f t="shared" si="1"/>
        <v>-32900.302114803635</v>
      </c>
      <c r="E9" s="46">
        <f t="shared" si="2"/>
        <v>-36190.332326283999</v>
      </c>
      <c r="F9" s="46">
        <f t="shared" si="3"/>
        <v>723.80664652567987</v>
      </c>
    </row>
    <row r="11" spans="1:10" x14ac:dyDescent="0.25">
      <c r="A11" s="44" t="s">
        <v>22</v>
      </c>
      <c r="B11" s="44" t="s">
        <v>23</v>
      </c>
      <c r="C11" s="44" t="s">
        <v>5</v>
      </c>
      <c r="D11" s="44" t="s">
        <v>6</v>
      </c>
      <c r="E11" s="44" t="s">
        <v>26</v>
      </c>
      <c r="F11" s="44" t="s">
        <v>7</v>
      </c>
    </row>
    <row r="12" spans="1:10" x14ac:dyDescent="0.25">
      <c r="A12" s="47">
        <v>0</v>
      </c>
      <c r="B12" s="51">
        <v>90000</v>
      </c>
      <c r="C12" s="54"/>
      <c r="D12" s="57"/>
      <c r="E12" s="51">
        <v>-1460</v>
      </c>
      <c r="F12" s="51">
        <f>SUM(B12:E12)</f>
        <v>88540</v>
      </c>
      <c r="J12" t="s">
        <v>27</v>
      </c>
    </row>
    <row r="13" spans="1:10" x14ac:dyDescent="0.25">
      <c r="A13" s="47">
        <v>1</v>
      </c>
      <c r="B13" s="51">
        <f>B7</f>
        <v>90000</v>
      </c>
      <c r="C13" s="55">
        <f>-B12*B3</f>
        <v>-9000</v>
      </c>
      <c r="D13" s="55">
        <f>-$B$1/$B$2</f>
        <v>-30000</v>
      </c>
      <c r="E13" s="52"/>
      <c r="F13" s="52">
        <f>SUM(C13:E13)</f>
        <v>-39000</v>
      </c>
    </row>
    <row r="14" spans="1:10" x14ac:dyDescent="0.25">
      <c r="A14" s="47">
        <v>2</v>
      </c>
      <c r="B14" s="52">
        <f>B13+D13</f>
        <v>60000</v>
      </c>
      <c r="C14" s="55">
        <f>-B3*B14</f>
        <v>-6000</v>
      </c>
      <c r="D14" s="55">
        <f t="shared" ref="D14:D15" si="4">-$B$1/$B$2</f>
        <v>-30000</v>
      </c>
      <c r="E14" s="52"/>
      <c r="F14" s="52">
        <f t="shared" ref="F14:F15" si="5">SUM(C14:E14)</f>
        <v>-36000</v>
      </c>
    </row>
    <row r="15" spans="1:10" x14ac:dyDescent="0.25">
      <c r="A15" s="48">
        <v>3</v>
      </c>
      <c r="B15" s="53">
        <f>B14+D14</f>
        <v>30000</v>
      </c>
      <c r="C15" s="56">
        <f>-B3*B15</f>
        <v>-3000</v>
      </c>
      <c r="D15" s="56">
        <f t="shared" si="4"/>
        <v>-30000</v>
      </c>
      <c r="E15" s="53"/>
      <c r="F15" s="53">
        <f t="shared" si="5"/>
        <v>-33000</v>
      </c>
    </row>
    <row r="16" spans="1:10" x14ac:dyDescent="0.25">
      <c r="A16" s="63" t="s">
        <v>28</v>
      </c>
      <c r="B16" s="64"/>
      <c r="C16" s="58">
        <f>SUM(C13:C15)</f>
        <v>-18000</v>
      </c>
      <c r="D16" s="58">
        <f>SUM(D13:D15)</f>
        <v>-90000</v>
      </c>
      <c r="E16" s="5"/>
      <c r="F16" s="58">
        <f>SUM(F12:F15)</f>
        <v>-19460</v>
      </c>
    </row>
    <row r="18" spans="1:6" x14ac:dyDescent="0.25">
      <c r="A18" s="59" t="s">
        <v>29</v>
      </c>
      <c r="B18" s="60">
        <f>IRR(F12:F15)</f>
        <v>0.10961802770515816</v>
      </c>
    </row>
    <row r="20" spans="1:6" x14ac:dyDescent="0.25">
      <c r="A20" s="62" t="s">
        <v>22</v>
      </c>
      <c r="B20" s="44" t="s">
        <v>23</v>
      </c>
      <c r="C20" s="44" t="s">
        <v>5</v>
      </c>
      <c r="D20" s="44" t="s">
        <v>6</v>
      </c>
      <c r="E20" s="44" t="s">
        <v>26</v>
      </c>
      <c r="F20" s="44" t="s">
        <v>7</v>
      </c>
    </row>
    <row r="21" spans="1:6" x14ac:dyDescent="0.25">
      <c r="A21" s="1">
        <v>0</v>
      </c>
      <c r="B21" s="51">
        <v>90000</v>
      </c>
      <c r="C21" s="54">
        <f>-B3*B21</f>
        <v>-9000</v>
      </c>
      <c r="D21" s="57"/>
      <c r="E21" s="51">
        <v>-1460</v>
      </c>
      <c r="F21" s="51">
        <f>SUM(B21:E21)</f>
        <v>79540</v>
      </c>
    </row>
    <row r="22" spans="1:6" x14ac:dyDescent="0.25">
      <c r="A22" s="1">
        <v>1</v>
      </c>
      <c r="B22" s="51">
        <f>B21</f>
        <v>90000</v>
      </c>
      <c r="C22" s="55">
        <f>B23*-B3</f>
        <v>-6000</v>
      </c>
      <c r="D22" s="55">
        <f>-$B$1/$B$2</f>
        <v>-30000</v>
      </c>
      <c r="E22" s="52"/>
      <c r="F22" s="52">
        <f>SUM(C22:E22)</f>
        <v>-36000</v>
      </c>
    </row>
    <row r="23" spans="1:6" x14ac:dyDescent="0.25">
      <c r="A23" s="1">
        <v>2</v>
      </c>
      <c r="B23" s="52">
        <f>B22+D22</f>
        <v>60000</v>
      </c>
      <c r="C23" s="55">
        <f>-B24*B3</f>
        <v>-3000</v>
      </c>
      <c r="D23" s="55">
        <f t="shared" ref="D23:D24" si="6">-$B$1/$B$2</f>
        <v>-30000</v>
      </c>
      <c r="E23" s="52"/>
      <c r="F23" s="52">
        <f t="shared" ref="F23:F24" si="7">SUM(C23:E23)</f>
        <v>-33000</v>
      </c>
    </row>
    <row r="24" spans="1:6" x14ac:dyDescent="0.25">
      <c r="A24" s="1">
        <v>3</v>
      </c>
      <c r="B24" s="52">
        <f>B23+D23</f>
        <v>30000</v>
      </c>
      <c r="C24" s="56"/>
      <c r="D24" s="56">
        <f t="shared" si="6"/>
        <v>-30000</v>
      </c>
      <c r="E24" s="53"/>
      <c r="F24" s="53">
        <f t="shared" si="7"/>
        <v>-30000</v>
      </c>
    </row>
    <row r="25" spans="1:6" x14ac:dyDescent="0.25">
      <c r="A25" s="63" t="s">
        <v>28</v>
      </c>
      <c r="B25" s="64"/>
      <c r="C25" s="58">
        <f>SUM(C21:C24)</f>
        <v>-18000</v>
      </c>
      <c r="D25" s="58">
        <f>SUM(D22:D24)</f>
        <v>-90000</v>
      </c>
      <c r="E25" s="5"/>
      <c r="F25" s="61">
        <f>SUM(F21:F24)</f>
        <v>-19460</v>
      </c>
    </row>
    <row r="27" spans="1:6" x14ac:dyDescent="0.25">
      <c r="A27" s="59" t="s">
        <v>29</v>
      </c>
      <c r="B27" s="60">
        <f>IRR(F21:F24)</f>
        <v>0.1219899863665217</v>
      </c>
    </row>
    <row r="30" spans="1:6" ht="15.75" x14ac:dyDescent="0.25">
      <c r="A30" s="17" t="s">
        <v>30</v>
      </c>
    </row>
    <row r="31" spans="1:6" ht="15.75" x14ac:dyDescent="0.25">
      <c r="A31" s="17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C541-AB42-4379-8BD5-424E0020D834}">
  <dimension ref="A1:D12"/>
  <sheetViews>
    <sheetView zoomScaleNormal="100" workbookViewId="0">
      <selection activeCell="B8" sqref="B8:B10"/>
    </sheetView>
  </sheetViews>
  <sheetFormatPr baseColWidth="10" defaultColWidth="11.42578125" defaultRowHeight="15" x14ac:dyDescent="0.25"/>
  <cols>
    <col min="1" max="1" width="27.140625" customWidth="1"/>
    <col min="2" max="2" width="13.85546875" bestFit="1" customWidth="1"/>
    <col min="3" max="3" width="13.28515625" bestFit="1" customWidth="1"/>
  </cols>
  <sheetData>
    <row r="1" spans="1:4" x14ac:dyDescent="0.25">
      <c r="A1" s="65" t="s">
        <v>32</v>
      </c>
      <c r="B1" s="2">
        <f>(100/98-1)</f>
        <v>2.0408163265306145E-2</v>
      </c>
    </row>
    <row r="2" spans="1:4" x14ac:dyDescent="0.25">
      <c r="A2" s="4" t="s">
        <v>12</v>
      </c>
      <c r="B2" s="2">
        <f>(1+B1)^12-1</f>
        <v>0.27434521242337762</v>
      </c>
    </row>
    <row r="4" spans="1:4" x14ac:dyDescent="0.25">
      <c r="A4" s="65" t="s">
        <v>10</v>
      </c>
      <c r="B4" s="39">
        <v>0.12</v>
      </c>
    </row>
    <row r="5" spans="1:4" x14ac:dyDescent="0.25">
      <c r="A5" s="66" t="s">
        <v>33</v>
      </c>
      <c r="B5" s="71">
        <f>B4/4</f>
        <v>0.03</v>
      </c>
    </row>
    <row r="6" spans="1:4" x14ac:dyDescent="0.25">
      <c r="A6" s="66" t="s">
        <v>34</v>
      </c>
      <c r="B6" s="72">
        <v>2.5000000000000001E-3</v>
      </c>
    </row>
    <row r="7" spans="1:4" x14ac:dyDescent="0.25">
      <c r="A7" s="4" t="s">
        <v>35</v>
      </c>
      <c r="B7" s="73">
        <v>0.6</v>
      </c>
    </row>
    <row r="8" spans="1:4" x14ac:dyDescent="0.25">
      <c r="A8" s="27"/>
      <c r="B8" s="27"/>
    </row>
    <row r="9" spans="1:4" x14ac:dyDescent="0.25">
      <c r="A9" s="66" t="s">
        <v>36</v>
      </c>
      <c r="B9" s="72">
        <f>B5+B6/B7</f>
        <v>3.4166666666666665E-2</v>
      </c>
    </row>
    <row r="10" spans="1:4" x14ac:dyDescent="0.25">
      <c r="A10" s="4" t="s">
        <v>12</v>
      </c>
      <c r="B10" s="40">
        <f>(1+B9)^4-1</f>
        <v>0.143831735417149</v>
      </c>
    </row>
    <row r="12" spans="1:4" x14ac:dyDescent="0.25">
      <c r="A12" s="3" t="s">
        <v>37</v>
      </c>
      <c r="B12" s="3"/>
      <c r="C12" s="3"/>
      <c r="D12" s="3"/>
    </row>
  </sheetData>
  <pageMargins left="0.7" right="0.7" top="0.75" bottom="0.75" header="0.3" footer="0.3"/>
  <pageSetup paperSize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5B3C6-C276-448F-94FB-D77D22C750F5}">
  <dimension ref="A1:N80"/>
  <sheetViews>
    <sheetView tabSelected="1" workbookViewId="0">
      <selection activeCell="J11" sqref="J11"/>
    </sheetView>
  </sheetViews>
  <sheetFormatPr baseColWidth="10" defaultColWidth="11.42578125" defaultRowHeight="15" x14ac:dyDescent="0.25"/>
  <cols>
    <col min="1" max="1" width="6.5703125" customWidth="1"/>
    <col min="2" max="2" width="23.28515625" customWidth="1"/>
  </cols>
  <sheetData>
    <row r="1" spans="1:6" x14ac:dyDescent="0.25">
      <c r="B1" s="74" t="s">
        <v>5</v>
      </c>
      <c r="C1" s="75">
        <v>0.1</v>
      </c>
    </row>
    <row r="3" spans="1:6" x14ac:dyDescent="0.25">
      <c r="A3" t="s">
        <v>38</v>
      </c>
      <c r="B3" s="23" t="s">
        <v>22</v>
      </c>
      <c r="C3" s="18">
        <v>0</v>
      </c>
      <c r="D3" s="18">
        <v>1</v>
      </c>
      <c r="E3" s="18">
        <v>2</v>
      </c>
      <c r="F3" s="18">
        <v>3</v>
      </c>
    </row>
    <row r="4" spans="1:6" x14ac:dyDescent="0.25">
      <c r="B4" s="20" t="s">
        <v>0</v>
      </c>
      <c r="C4" s="19">
        <v>90000</v>
      </c>
      <c r="D4" s="20"/>
      <c r="E4" s="20"/>
      <c r="F4" s="20"/>
    </row>
    <row r="5" spans="1:6" x14ac:dyDescent="0.25">
      <c r="B5" s="20" t="s">
        <v>5</v>
      </c>
      <c r="C5" s="20"/>
      <c r="D5" s="76">
        <f>-C1*C4</f>
        <v>-9000</v>
      </c>
      <c r="E5" s="76">
        <f>-(C4+D6)*C1</f>
        <v>-7500</v>
      </c>
      <c r="F5" s="76">
        <f>(C4+D6+E6)*-C1</f>
        <v>-3000</v>
      </c>
    </row>
    <row r="6" spans="1:6" x14ac:dyDescent="0.25">
      <c r="B6" s="21" t="s">
        <v>6</v>
      </c>
      <c r="C6" s="21"/>
      <c r="D6" s="77">
        <f>D7-D5</f>
        <v>-15000</v>
      </c>
      <c r="E6" s="77">
        <f>E7-E5</f>
        <v>-45000</v>
      </c>
      <c r="F6" s="77">
        <f>F7-F5</f>
        <v>-30000</v>
      </c>
    </row>
    <row r="7" spans="1:6" x14ac:dyDescent="0.25">
      <c r="B7" s="41" t="s">
        <v>28</v>
      </c>
      <c r="C7" s="78">
        <f>SUM(C3:C6)</f>
        <v>90000</v>
      </c>
      <c r="D7" s="78">
        <v>-24000</v>
      </c>
      <c r="E7" s="78">
        <v>-52500</v>
      </c>
      <c r="F7" s="78">
        <v>-33000</v>
      </c>
    </row>
    <row r="10" spans="1:6" x14ac:dyDescent="0.25">
      <c r="A10" t="s">
        <v>39</v>
      </c>
      <c r="B10" s="79" t="s">
        <v>40</v>
      </c>
      <c r="C10" s="80"/>
    </row>
    <row r="12" spans="1:6" x14ac:dyDescent="0.25">
      <c r="B12" s="65" t="s">
        <v>41</v>
      </c>
      <c r="C12" s="8">
        <v>17500</v>
      </c>
    </row>
    <row r="13" spans="1:6" x14ac:dyDescent="0.25">
      <c r="B13" s="4" t="s">
        <v>16</v>
      </c>
      <c r="C13" s="36">
        <v>-1622</v>
      </c>
    </row>
    <row r="14" spans="1:6" x14ac:dyDescent="0.25">
      <c r="B14" s="7" t="s">
        <v>0</v>
      </c>
      <c r="C14" s="35">
        <f>C12+C13</f>
        <v>15878</v>
      </c>
    </row>
    <row r="16" spans="1:6" x14ac:dyDescent="0.25">
      <c r="B16" s="6" t="s">
        <v>42</v>
      </c>
      <c r="C16" s="34">
        <f>C13</f>
        <v>-1622</v>
      </c>
    </row>
    <row r="17" spans="2:14" x14ac:dyDescent="0.25">
      <c r="B17" s="7" t="s">
        <v>2</v>
      </c>
      <c r="C17" s="7">
        <v>11</v>
      </c>
    </row>
    <row r="19" spans="2:14" x14ac:dyDescent="0.25">
      <c r="B19" s="6" t="s">
        <v>11</v>
      </c>
      <c r="C19" s="81">
        <f>RATE(C17,C16,C14)</f>
        <v>1.9958672387697048E-2</v>
      </c>
    </row>
    <row r="20" spans="2:14" x14ac:dyDescent="0.25">
      <c r="B20" s="7" t="s">
        <v>12</v>
      </c>
      <c r="C20" s="82">
        <f>(1+C19)^12-1</f>
        <v>0.26762530366012238</v>
      </c>
    </row>
    <row r="22" spans="2:14" x14ac:dyDescent="0.25">
      <c r="B22" s="79" t="s">
        <v>43</v>
      </c>
      <c r="C22" s="80"/>
      <c r="D22" s="80"/>
      <c r="E22" s="80"/>
    </row>
    <row r="24" spans="2:14" x14ac:dyDescent="0.25">
      <c r="B24" s="65" t="s">
        <v>41</v>
      </c>
      <c r="C24" s="8">
        <v>17500</v>
      </c>
    </row>
    <row r="25" spans="2:14" x14ac:dyDescent="0.25">
      <c r="B25" s="66" t="s">
        <v>42</v>
      </c>
      <c r="C25" s="28">
        <v>-1622</v>
      </c>
    </row>
    <row r="26" spans="2:14" x14ac:dyDescent="0.25">
      <c r="B26" s="4" t="s">
        <v>44</v>
      </c>
      <c r="C26" s="36">
        <v>12</v>
      </c>
    </row>
    <row r="27" spans="2:14" x14ac:dyDescent="0.25">
      <c r="B27" s="6" t="str">
        <f>B19</f>
        <v>Effektiv månedsrente</v>
      </c>
      <c r="C27" s="83">
        <f>RATE(C26,C25,C24,,1)</f>
        <v>1.9958672387878185E-2</v>
      </c>
    </row>
    <row r="28" spans="2:14" x14ac:dyDescent="0.25">
      <c r="B28" s="7" t="str">
        <f>B20</f>
        <v>Effektiv årsrente</v>
      </c>
      <c r="C28" s="82">
        <f>(1+C27)^12-1</f>
        <v>0.26762530366282511</v>
      </c>
    </row>
    <row r="29" spans="2:14" x14ac:dyDescent="0.25">
      <c r="C29" s="84"/>
    </row>
    <row r="30" spans="2:14" x14ac:dyDescent="0.25">
      <c r="B30" s="79" t="s">
        <v>45</v>
      </c>
      <c r="C30" s="80"/>
      <c r="D30" s="80"/>
      <c r="E30" s="80"/>
    </row>
    <row r="31" spans="2:14" x14ac:dyDescent="0.25">
      <c r="C31" s="84"/>
    </row>
    <row r="32" spans="2:14" x14ac:dyDescent="0.25">
      <c r="B32" s="23" t="s">
        <v>46</v>
      </c>
      <c r="C32" s="85" t="s">
        <v>47</v>
      </c>
      <c r="D32" s="18">
        <v>1</v>
      </c>
      <c r="E32" s="18">
        <v>2</v>
      </c>
      <c r="F32" s="18">
        <v>3</v>
      </c>
      <c r="G32" s="18">
        <v>4</v>
      </c>
      <c r="H32" s="18">
        <v>5</v>
      </c>
      <c r="I32" s="18">
        <v>6</v>
      </c>
      <c r="J32" s="18">
        <v>7</v>
      </c>
      <c r="K32" s="18">
        <v>8</v>
      </c>
      <c r="L32" s="18">
        <v>9</v>
      </c>
      <c r="M32" s="18">
        <v>10</v>
      </c>
      <c r="N32" s="18">
        <v>11</v>
      </c>
    </row>
    <row r="33" spans="1:14" x14ac:dyDescent="0.25">
      <c r="B33" s="27" t="s">
        <v>48</v>
      </c>
      <c r="C33" s="86">
        <f>$C$13</f>
        <v>-1622</v>
      </c>
      <c r="D33" s="86">
        <f>$C$13</f>
        <v>-1622</v>
      </c>
      <c r="E33" s="86">
        <f t="shared" ref="E33:N33" si="0">$C$13</f>
        <v>-1622</v>
      </c>
      <c r="F33" s="86">
        <f t="shared" si="0"/>
        <v>-1622</v>
      </c>
      <c r="G33" s="86">
        <f t="shared" si="0"/>
        <v>-1622</v>
      </c>
      <c r="H33" s="86">
        <f t="shared" si="0"/>
        <v>-1622</v>
      </c>
      <c r="I33" s="86">
        <f t="shared" si="0"/>
        <v>-1622</v>
      </c>
      <c r="J33" s="86">
        <f t="shared" si="0"/>
        <v>-1622</v>
      </c>
      <c r="K33" s="86">
        <f t="shared" si="0"/>
        <v>-1622</v>
      </c>
      <c r="L33" s="86">
        <f t="shared" si="0"/>
        <v>-1622</v>
      </c>
      <c r="M33" s="86">
        <f t="shared" si="0"/>
        <v>-1622</v>
      </c>
      <c r="N33" s="86">
        <f t="shared" si="0"/>
        <v>-1622</v>
      </c>
    </row>
    <row r="34" spans="1:14" x14ac:dyDescent="0.25">
      <c r="B34" s="21" t="s">
        <v>49</v>
      </c>
      <c r="C34" s="87">
        <f>-C12</f>
        <v>-17500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x14ac:dyDescent="0.25">
      <c r="B35" s="41" t="s">
        <v>0</v>
      </c>
      <c r="C35" s="88">
        <f>C33-C34</f>
        <v>15878</v>
      </c>
      <c r="D35" s="78">
        <f t="shared" ref="D35:N35" si="1">D33-D34</f>
        <v>-1622</v>
      </c>
      <c r="E35" s="78">
        <f t="shared" si="1"/>
        <v>-1622</v>
      </c>
      <c r="F35" s="78">
        <f t="shared" si="1"/>
        <v>-1622</v>
      </c>
      <c r="G35" s="78">
        <f t="shared" si="1"/>
        <v>-1622</v>
      </c>
      <c r="H35" s="78">
        <f t="shared" si="1"/>
        <v>-1622</v>
      </c>
      <c r="I35" s="78">
        <f t="shared" si="1"/>
        <v>-1622</v>
      </c>
      <c r="J35" s="78">
        <f t="shared" si="1"/>
        <v>-1622</v>
      </c>
      <c r="K35" s="78">
        <f t="shared" si="1"/>
        <v>-1622</v>
      </c>
      <c r="L35" s="78">
        <f t="shared" si="1"/>
        <v>-1622</v>
      </c>
      <c r="M35" s="78">
        <f t="shared" si="1"/>
        <v>-1622</v>
      </c>
      <c r="N35" s="78">
        <f t="shared" si="1"/>
        <v>-1622</v>
      </c>
    </row>
    <row r="36" spans="1:14" x14ac:dyDescent="0.25">
      <c r="C36" s="84"/>
    </row>
    <row r="37" spans="1:14" x14ac:dyDescent="0.25">
      <c r="B37" s="6" t="s">
        <v>50</v>
      </c>
      <c r="C37" s="83">
        <f>IRR(C35:N35)</f>
        <v>1.9958672387770049E-2</v>
      </c>
    </row>
    <row r="38" spans="1:14" x14ac:dyDescent="0.25">
      <c r="B38" s="7" t="s">
        <v>12</v>
      </c>
      <c r="C38" s="82">
        <f>(1+C37)^12-1</f>
        <v>0.26762530366121329</v>
      </c>
    </row>
    <row r="40" spans="1:14" x14ac:dyDescent="0.25">
      <c r="A40" t="s">
        <v>51</v>
      </c>
      <c r="B40" s="65" t="s">
        <v>41</v>
      </c>
      <c r="C40" s="8">
        <v>17500</v>
      </c>
      <c r="E40" t="s">
        <v>52</v>
      </c>
    </row>
    <row r="41" spans="1:14" x14ac:dyDescent="0.25">
      <c r="B41" s="4" t="s">
        <v>16</v>
      </c>
      <c r="C41" s="36">
        <v>-1583.7113553855015</v>
      </c>
      <c r="E41" t="s">
        <v>53</v>
      </c>
    </row>
    <row r="42" spans="1:14" x14ac:dyDescent="0.25">
      <c r="B42" s="7" t="s">
        <v>0</v>
      </c>
      <c r="C42" s="35">
        <f>SUM(C40:C41)</f>
        <v>15916.288644614498</v>
      </c>
    </row>
    <row r="44" spans="1:14" x14ac:dyDescent="0.25">
      <c r="B44" s="6" t="s">
        <v>42</v>
      </c>
      <c r="C44" s="34">
        <f>C41</f>
        <v>-1583.7113553855015</v>
      </c>
    </row>
    <row r="45" spans="1:14" x14ac:dyDescent="0.25">
      <c r="B45" s="7" t="s">
        <v>2</v>
      </c>
      <c r="C45" s="7">
        <v>11</v>
      </c>
    </row>
    <row r="47" spans="1:14" x14ac:dyDescent="0.25">
      <c r="B47" s="6" t="s">
        <v>11</v>
      </c>
      <c r="C47" s="81">
        <f>RATE(C45,C44,C42)</f>
        <v>1.536441488561535E-2</v>
      </c>
    </row>
    <row r="48" spans="1:14" x14ac:dyDescent="0.25">
      <c r="B48" s="7" t="s">
        <v>12</v>
      </c>
      <c r="C48" s="82">
        <f>(1+C47)^12-1</f>
        <v>0.20077950094302355</v>
      </c>
    </row>
    <row r="51" spans="1:3" x14ac:dyDescent="0.25">
      <c r="A51" t="s">
        <v>54</v>
      </c>
      <c r="B51" s="65" t="s">
        <v>0</v>
      </c>
      <c r="C51" s="8">
        <v>500000</v>
      </c>
    </row>
    <row r="52" spans="1:3" x14ac:dyDescent="0.25">
      <c r="B52" s="66" t="s">
        <v>55</v>
      </c>
      <c r="C52" s="10">
        <v>0.1</v>
      </c>
    </row>
    <row r="53" spans="1:3" x14ac:dyDescent="0.25">
      <c r="B53" s="66" t="s">
        <v>56</v>
      </c>
      <c r="C53" s="10">
        <v>0.06</v>
      </c>
    </row>
    <row r="54" spans="1:3" x14ac:dyDescent="0.25">
      <c r="B54" s="4" t="s">
        <v>22</v>
      </c>
      <c r="C54" s="4">
        <v>4</v>
      </c>
    </row>
    <row r="56" spans="1:3" x14ac:dyDescent="0.25">
      <c r="B56" s="41" t="s">
        <v>57</v>
      </c>
      <c r="C56" s="89">
        <f>PMT(C52,C54,C51)</f>
        <v>-157735.40185304894</v>
      </c>
    </row>
    <row r="58" spans="1:3" x14ac:dyDescent="0.25">
      <c r="B58" s="41" t="s">
        <v>58</v>
      </c>
      <c r="C58" s="41">
        <v>3</v>
      </c>
    </row>
    <row r="60" spans="1:3" x14ac:dyDescent="0.25">
      <c r="B60" s="6" t="s">
        <v>59</v>
      </c>
      <c r="C60" s="90">
        <f>PV(C53,C58,C56)</f>
        <v>421628.61400633352</v>
      </c>
    </row>
    <row r="61" spans="1:3" x14ac:dyDescent="0.25">
      <c r="B61" s="7" t="s">
        <v>60</v>
      </c>
      <c r="C61" s="91">
        <f>PV(C52,C58,C56)</f>
        <v>392264.59814695152</v>
      </c>
    </row>
    <row r="62" spans="1:3" x14ac:dyDescent="0.25">
      <c r="B62" s="59" t="s">
        <v>61</v>
      </c>
      <c r="C62" s="92">
        <f>C60-C61</f>
        <v>29364.015859381994</v>
      </c>
    </row>
    <row r="64" spans="1:3" x14ac:dyDescent="0.25">
      <c r="A64" t="s">
        <v>62</v>
      </c>
      <c r="B64" s="6" t="s">
        <v>5</v>
      </c>
      <c r="C64" s="100">
        <v>0.08</v>
      </c>
    </row>
    <row r="65" spans="1:3" x14ac:dyDescent="0.25">
      <c r="B65" s="12" t="s">
        <v>63</v>
      </c>
      <c r="C65" s="28">
        <v>200000</v>
      </c>
    </row>
    <row r="66" spans="1:3" x14ac:dyDescent="0.25">
      <c r="B66" s="12" t="s">
        <v>64</v>
      </c>
      <c r="C66" s="28">
        <v>150000</v>
      </c>
    </row>
    <row r="67" spans="1:3" x14ac:dyDescent="0.25">
      <c r="B67" s="7" t="s">
        <v>65</v>
      </c>
      <c r="C67" s="101">
        <f>C65*(1+C64)^2+C66/(1+C64)</f>
        <v>372168.88888888888</v>
      </c>
    </row>
    <row r="70" spans="1:3" x14ac:dyDescent="0.25">
      <c r="A70" t="s">
        <v>66</v>
      </c>
      <c r="B70" s="65" t="s">
        <v>33</v>
      </c>
      <c r="C70" s="93">
        <v>0.04</v>
      </c>
    </row>
    <row r="71" spans="1:3" x14ac:dyDescent="0.25">
      <c r="B71" s="66" t="s">
        <v>67</v>
      </c>
      <c r="C71" s="94">
        <v>5.0000000000000001E-3</v>
      </c>
    </row>
    <row r="72" spans="1:3" x14ac:dyDescent="0.25">
      <c r="B72" s="66" t="s">
        <v>35</v>
      </c>
      <c r="C72" s="95">
        <v>0.5</v>
      </c>
    </row>
    <row r="73" spans="1:3" x14ac:dyDescent="0.25">
      <c r="B73" s="4" t="s">
        <v>68</v>
      </c>
      <c r="C73" s="7">
        <v>4</v>
      </c>
    </row>
    <row r="74" spans="1:3" x14ac:dyDescent="0.25">
      <c r="B74" s="96" t="s">
        <v>69</v>
      </c>
      <c r="C74" s="97">
        <f>C70+C71/C72</f>
        <v>0.05</v>
      </c>
    </row>
    <row r="75" spans="1:3" x14ac:dyDescent="0.25">
      <c r="B75" s="98" t="s">
        <v>12</v>
      </c>
      <c r="C75" s="99">
        <f>(1+C74)^C73-1</f>
        <v>0.21550625000000001</v>
      </c>
    </row>
    <row r="77" spans="1:3" x14ac:dyDescent="0.25">
      <c r="B77" s="65" t="s">
        <v>70</v>
      </c>
      <c r="C77" s="81">
        <v>1.4E-2</v>
      </c>
    </row>
    <row r="78" spans="1:3" x14ac:dyDescent="0.25">
      <c r="B78" s="66" t="s">
        <v>71</v>
      </c>
      <c r="C78" s="12">
        <v>30</v>
      </c>
    </row>
    <row r="79" spans="1:3" x14ac:dyDescent="0.25">
      <c r="B79" s="66" t="s">
        <v>68</v>
      </c>
      <c r="C79" s="12">
        <v>12</v>
      </c>
    </row>
    <row r="80" spans="1:3" x14ac:dyDescent="0.25">
      <c r="B80" s="4" t="s">
        <v>12</v>
      </c>
      <c r="C80" s="82">
        <f>(1+C77)^ C79-1</f>
        <v>0.18155912891812287</v>
      </c>
    </row>
  </sheetData>
  <pageMargins left="0.7" right="0.7" top="0.75" bottom="0.75" header="0.3" footer="0.3"/>
  <ignoredErrors>
    <ignoredError sqref="D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Oppgave 7.1</vt:lpstr>
      <vt:lpstr>Oppgave 7.2</vt:lpstr>
      <vt:lpstr>Oppgave 7.3</vt:lpstr>
      <vt:lpstr>Oppgave 7.4</vt:lpstr>
      <vt:lpstr>Oppgave 7.5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2015-04-23T07:41:55Z</dcterms:created>
  <dcterms:modified xsi:type="dcterms:W3CDTF">2023-06-29T09:57:29Z</dcterms:modified>
  <cp:category/>
  <cp:contentStatus/>
</cp:coreProperties>
</file>