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Mine dokumenter\Lærebok finans\7. utgave\Excel løsninger\"/>
    </mc:Choice>
  </mc:AlternateContent>
  <xr:revisionPtr revIDLastSave="0" documentId="13_ncr:1_{01634479-A648-4B46-8A3B-45E8C9102ACF}" xr6:coauthVersionLast="47" xr6:coauthVersionMax="47" xr10:uidLastSave="{00000000-0000-0000-0000-000000000000}"/>
  <bookViews>
    <workbookView xWindow="-105" yWindow="0" windowWidth="19410" windowHeight="20985" activeTab="7" xr2:uid="{00000000-000D-0000-FFFF-FFFF00000000}"/>
  </bookViews>
  <sheets>
    <sheet name="Opp 1" sheetId="10" r:id="rId1"/>
    <sheet name="Opp 2" sheetId="7" r:id="rId2"/>
    <sheet name="Opp 3" sheetId="6" r:id="rId3"/>
    <sheet name="Opp 4" sheetId="5" r:id="rId4"/>
    <sheet name="Oppg 5" sheetId="8" r:id="rId5"/>
    <sheet name="Oppg 6" sheetId="9" r:id="rId6"/>
    <sheet name="Opp 7" sheetId="11" r:id="rId7"/>
    <sheet name="Opp 8" sheetId="12" r:id="rId8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1" i="9" l="1"/>
  <c r="B47" i="9"/>
  <c r="C8" i="9"/>
  <c r="D8" i="9" s="1"/>
  <c r="E8" i="9" s="1"/>
  <c r="B10" i="10"/>
  <c r="B28" i="12"/>
  <c r="B14" i="12"/>
  <c r="B26" i="12"/>
  <c r="A26" i="12"/>
  <c r="D13" i="8"/>
  <c r="E13" i="8"/>
  <c r="C13" i="8"/>
  <c r="B25" i="12" l="1"/>
  <c r="C21" i="12"/>
  <c r="B21" i="12"/>
  <c r="B11" i="12"/>
  <c r="C7" i="12"/>
  <c r="B7" i="12"/>
  <c r="B15" i="11"/>
  <c r="D14" i="11"/>
  <c r="E14" i="11"/>
  <c r="F14" i="11"/>
  <c r="C14" i="11"/>
  <c r="A14" i="11"/>
  <c r="D13" i="11"/>
  <c r="E13" i="11"/>
  <c r="E15" i="11" s="1"/>
  <c r="F13" i="11"/>
  <c r="C13" i="11"/>
  <c r="C15" i="11" s="1"/>
  <c r="B7" i="11"/>
  <c r="B16" i="10"/>
  <c r="B17" i="10" s="1"/>
  <c r="B14" i="10"/>
  <c r="B12" i="10"/>
  <c r="B8" i="10"/>
  <c r="D43" i="9"/>
  <c r="E43" i="9"/>
  <c r="C43" i="9"/>
  <c r="E44" i="9"/>
  <c r="D44" i="9"/>
  <c r="C44" i="9"/>
  <c r="E42" i="9"/>
  <c r="D42" i="9"/>
  <c r="C42" i="9"/>
  <c r="E41" i="9"/>
  <c r="D41" i="9"/>
  <c r="D45" i="9" s="1"/>
  <c r="C41" i="9"/>
  <c r="B29" i="9"/>
  <c r="B30" i="9"/>
  <c r="B48" i="9" s="1"/>
  <c r="B49" i="9" s="1"/>
  <c r="D28" i="9"/>
  <c r="E28" i="9"/>
  <c r="C28" i="9"/>
  <c r="D27" i="9"/>
  <c r="E27" i="9"/>
  <c r="C27" i="9"/>
  <c r="D26" i="9"/>
  <c r="E26" i="9"/>
  <c r="C26" i="9"/>
  <c r="D25" i="9"/>
  <c r="E25" i="9"/>
  <c r="E30" i="9" s="1"/>
  <c r="C25" i="9"/>
  <c r="B15" i="9"/>
  <c r="B10" i="9"/>
  <c r="B16" i="9" s="1"/>
  <c r="E14" i="8"/>
  <c r="B14" i="8"/>
  <c r="B15" i="8" s="1"/>
  <c r="D17" i="8"/>
  <c r="C17" i="8"/>
  <c r="C7" i="8"/>
  <c r="D7" i="8"/>
  <c r="E7" i="8"/>
  <c r="B7" i="8"/>
  <c r="B5" i="7"/>
  <c r="B6" i="7"/>
  <c r="B7" i="7"/>
  <c r="B3" i="6"/>
  <c r="B5" i="6" s="1"/>
  <c r="B12" i="6"/>
  <c r="B16" i="6"/>
  <c r="B20" i="6" s="1"/>
  <c r="C17" i="6"/>
  <c r="D17" i="6"/>
  <c r="E17" i="6"/>
  <c r="C18" i="6"/>
  <c r="D18" i="6"/>
  <c r="E18" i="6"/>
  <c r="C19" i="6"/>
  <c r="D19" i="6"/>
  <c r="E19" i="6"/>
  <c r="B26" i="6"/>
  <c r="C27" i="6"/>
  <c r="D27" i="6"/>
  <c r="E27" i="6"/>
  <c r="C28" i="6"/>
  <c r="D28" i="6"/>
  <c r="E28" i="6"/>
  <c r="C29" i="6"/>
  <c r="D29" i="6"/>
  <c r="E29" i="6"/>
  <c r="B30" i="6"/>
  <c r="B39" i="6"/>
  <c r="B43" i="6" s="1"/>
  <c r="C40" i="6"/>
  <c r="D40" i="6"/>
  <c r="E40" i="6"/>
  <c r="C41" i="6"/>
  <c r="D41" i="6"/>
  <c r="E41" i="6"/>
  <c r="C42" i="6"/>
  <c r="D42" i="6"/>
  <c r="D43" i="6" s="1"/>
  <c r="E42" i="6"/>
  <c r="B6" i="5"/>
  <c r="B11" i="5"/>
  <c r="C11" i="5"/>
  <c r="D11" i="5"/>
  <c r="E11" i="5"/>
  <c r="F11" i="5"/>
  <c r="B16" i="5"/>
  <c r="B13" i="5" l="1"/>
  <c r="B15" i="5" s="1"/>
  <c r="E43" i="6"/>
  <c r="D30" i="6"/>
  <c r="C30" i="6"/>
  <c r="C20" i="6"/>
  <c r="E17" i="8"/>
  <c r="B16" i="8"/>
  <c r="D15" i="11"/>
  <c r="D46" i="9"/>
  <c r="D49" i="9" s="1"/>
  <c r="E45" i="9"/>
  <c r="E46" i="9" s="1"/>
  <c r="F15" i="11"/>
  <c r="B17" i="8"/>
  <c r="B19" i="8" s="1"/>
  <c r="D30" i="9"/>
  <c r="B32" i="9" s="1"/>
  <c r="C45" i="9"/>
  <c r="C46" i="9" s="1"/>
  <c r="C49" i="9" s="1"/>
  <c r="E30" i="6"/>
  <c r="B32" i="6" s="1"/>
  <c r="E20" i="6"/>
  <c r="B9" i="8"/>
  <c r="C43" i="6"/>
  <c r="D20" i="6"/>
  <c r="B22" i="6" s="1"/>
  <c r="C30" i="9"/>
  <c r="B17" i="5"/>
  <c r="C16" i="11"/>
  <c r="C18" i="11" s="1"/>
  <c r="D16" i="11"/>
  <c r="D18" i="11" s="1"/>
  <c r="E16" i="11"/>
  <c r="E18" i="11" s="1"/>
  <c r="B45" i="6"/>
  <c r="E49" i="9"/>
  <c r="F16" i="11"/>
  <c r="B14" i="5"/>
  <c r="B17" i="11"/>
  <c r="B18" i="11" s="1"/>
  <c r="F18" i="11" l="1"/>
  <c r="B20" i="11"/>
  <c r="B21" i="11" s="1"/>
  <c r="B22" i="11"/>
</calcChain>
</file>

<file path=xl/sharedStrings.xml><?xml version="1.0" encoding="utf-8"?>
<sst xmlns="http://schemas.openxmlformats.org/spreadsheetml/2006/main" count="171" uniqueCount="94">
  <si>
    <t>År</t>
  </si>
  <si>
    <t>Årlig nominell prisvekst leiligheter i Oslo</t>
  </si>
  <si>
    <t>Årlig inflasjon målt ved KPI</t>
  </si>
  <si>
    <t>Nominell prisvekst leiligheter Arendal</t>
  </si>
  <si>
    <t>Realprisvekst Oslo</t>
  </si>
  <si>
    <t>Realprisvekst 4 % gir nominell vekst</t>
  </si>
  <si>
    <t>Skattesats</t>
  </si>
  <si>
    <t>Inflasjon</t>
  </si>
  <si>
    <t>Nominell rente</t>
  </si>
  <si>
    <t>Realrente før skatt</t>
  </si>
  <si>
    <t>Realrente etter skatt</t>
  </si>
  <si>
    <t>Salgspris</t>
  </si>
  <si>
    <t>Variable enhetskostnader</t>
  </si>
  <si>
    <t>Dekningsbidrag</t>
  </si>
  <si>
    <t>Faste enhetskostnader</t>
  </si>
  <si>
    <t>Fortjeneste</t>
  </si>
  <si>
    <t>Opprinnelig salgsanslag</t>
  </si>
  <si>
    <t>Nytt salgsanslag</t>
  </si>
  <si>
    <t>Anleggsmidler</t>
  </si>
  <si>
    <t>Generell prisstigning</t>
  </si>
  <si>
    <t>Nominelt avkastningskrav</t>
  </si>
  <si>
    <t>Realavkastningskrav</t>
  </si>
  <si>
    <t>Oppgave a</t>
  </si>
  <si>
    <t>Omsetning</t>
  </si>
  <si>
    <t>Variable kostnader</t>
  </si>
  <si>
    <t>Faste kostnader</t>
  </si>
  <si>
    <t>Kontantstrøm</t>
  </si>
  <si>
    <t>Nåverdi</t>
  </si>
  <si>
    <t>Oppgave b</t>
  </si>
  <si>
    <t>Oppgave c</t>
  </si>
  <si>
    <t>Lønnsvekst</t>
  </si>
  <si>
    <t>Kostnadsvekst faste k</t>
  </si>
  <si>
    <t>Investering</t>
  </si>
  <si>
    <t>Prisstigning</t>
  </si>
  <si>
    <t>Effektiv skattesats</t>
  </si>
  <si>
    <t>EK-andel</t>
  </si>
  <si>
    <t>Gjeldsandel</t>
  </si>
  <si>
    <t>Lånerente</t>
  </si>
  <si>
    <t>Skatt rente</t>
  </si>
  <si>
    <t>Nominell internrente</t>
  </si>
  <si>
    <t>Reell internrente før skatt</t>
  </si>
  <si>
    <t>Reell internrente etter skatt</t>
  </si>
  <si>
    <t>Reell lånerente etter skatt</t>
  </si>
  <si>
    <t>Reell egenkapitalavkastning</t>
  </si>
  <si>
    <t>Skatt</t>
  </si>
  <si>
    <t>Avskrivningssats</t>
  </si>
  <si>
    <t>Kontantstrøm drift</t>
  </si>
  <si>
    <t>Anleggsmiddel</t>
  </si>
  <si>
    <t>Kontantstrøm før skatt</t>
  </si>
  <si>
    <t>Internrente før skatt</t>
  </si>
  <si>
    <t>NV spart skatt avskrivning</t>
  </si>
  <si>
    <t>NV økt skatt nedskrivning</t>
  </si>
  <si>
    <t>Beregningsgrunnlag</t>
  </si>
  <si>
    <t>Nåverdi etter skatt</t>
  </si>
  <si>
    <t>Avkastningskrav</t>
  </si>
  <si>
    <t>Råvarer</t>
  </si>
  <si>
    <t>Lønn</t>
  </si>
  <si>
    <t>Andre betalbare k.</t>
  </si>
  <si>
    <t>Materialkostnader</t>
  </si>
  <si>
    <t>Lønnskostnader</t>
  </si>
  <si>
    <t>Resultat</t>
  </si>
  <si>
    <t>NV spart skatt pga avskr.</t>
  </si>
  <si>
    <t>Spart lønn</t>
  </si>
  <si>
    <t>Økning</t>
  </si>
  <si>
    <t>Andre kostnader</t>
  </si>
  <si>
    <t>Generell prisvekst</t>
  </si>
  <si>
    <t>Nominelt avk krav</t>
  </si>
  <si>
    <t>Nomiell internrente før skatt</t>
  </si>
  <si>
    <t>1 til 10</t>
  </si>
  <si>
    <t>Investeringsutgift</t>
  </si>
  <si>
    <t>Inntekter</t>
  </si>
  <si>
    <t>Lønn sykepleiere</t>
  </si>
  <si>
    <t>Lønn hjelpepleiere</t>
  </si>
  <si>
    <t>Nominelt avkastningskrav sykehjem</t>
  </si>
  <si>
    <t>Realavkastningskrav sykehjem</t>
  </si>
  <si>
    <t>Nåverdi sykehjem</t>
  </si>
  <si>
    <t>Nåverdi omsorgsbolig</t>
  </si>
  <si>
    <t>Pris Arendal 2006</t>
  </si>
  <si>
    <t>Pris Arendal 2022</t>
  </si>
  <si>
    <t>Pris Oslo 2006</t>
  </si>
  <si>
    <t>Pris i Arendal i 2022</t>
  </si>
  <si>
    <t>Alternativ løsning med RENTE i Excel</t>
  </si>
  <si>
    <t>Nominelt avkastningskrav omsorgboliger</t>
  </si>
  <si>
    <t>Realavkastningskrav omsorgsboliger</t>
  </si>
  <si>
    <t xml:space="preserve">Levetid </t>
  </si>
  <si>
    <t>Markedspris i Oslo 2022</t>
  </si>
  <si>
    <t>a)</t>
  </si>
  <si>
    <t>b)</t>
  </si>
  <si>
    <t>Nominell kontantstrøm før skatt</t>
  </si>
  <si>
    <t>Kontantstrøm faste priser</t>
  </si>
  <si>
    <t>Rell internrente</t>
  </si>
  <si>
    <t>Rell internrente alternativ beregning</t>
  </si>
  <si>
    <t>c)</t>
  </si>
  <si>
    <t>Avkastningskrav etter skatt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</si>
</sst>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0.0\ %"/>
    <numFmt numFmtId="166" formatCode="_ * #,##0_ ;_ * \-#,##0_ ;_ * &quot;-&quot;??_ ;_ @_ "/>
  </numFmts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165" fontId="0" fillId="3" borderId="1" xfId="0" applyNumberFormat="1" applyFill="1" applyBorder="1"/>
    <xf numFmtId="165" fontId="0" fillId="3" borderId="2" xfId="0" applyNumberFormat="1" applyFill="1" applyBorder="1"/>
    <xf numFmtId="0" fontId="0" fillId="3" borderId="2" xfId="0" applyFill="1" applyBorder="1"/>
    <xf numFmtId="10" fontId="0" fillId="3" borderId="2" xfId="2" applyNumberFormat="1" applyFont="1" applyFill="1" applyBorder="1"/>
    <xf numFmtId="0" fontId="0" fillId="0" borderId="4" xfId="0" applyBorder="1"/>
    <xf numFmtId="0" fontId="0" fillId="2" borderId="5" xfId="0" applyFill="1" applyBorder="1"/>
    <xf numFmtId="0" fontId="0" fillId="2" borderId="4" xfId="0" applyFill="1" applyBorder="1"/>
    <xf numFmtId="0" fontId="0" fillId="3" borderId="1" xfId="0" applyFill="1" applyBorder="1"/>
    <xf numFmtId="0" fontId="0" fillId="3" borderId="3" xfId="0" applyFill="1" applyBorder="1"/>
    <xf numFmtId="0" fontId="0" fillId="4" borderId="6" xfId="0" applyFill="1" applyBorder="1"/>
    <xf numFmtId="0" fontId="0" fillId="4" borderId="3" xfId="0" applyFill="1" applyBorder="1"/>
    <xf numFmtId="3" fontId="0" fillId="0" borderId="1" xfId="0" applyNumberFormat="1" applyBorder="1"/>
    <xf numFmtId="3" fontId="0" fillId="3" borderId="1" xfId="0" applyNumberFormat="1" applyFill="1" applyBorder="1"/>
    <xf numFmtId="3" fontId="0" fillId="3" borderId="2" xfId="0" applyNumberFormat="1" applyFill="1" applyBorder="1"/>
    <xf numFmtId="9" fontId="0" fillId="3" borderId="2" xfId="0" applyNumberFormat="1" applyFill="1" applyBorder="1"/>
    <xf numFmtId="9" fontId="0" fillId="3" borderId="3" xfId="0" applyNumberFormat="1" applyFill="1" applyBorder="1"/>
    <xf numFmtId="0" fontId="0" fillId="2" borderId="6" xfId="0" applyFill="1" applyBorder="1"/>
    <xf numFmtId="0" fontId="0" fillId="5" borderId="6" xfId="0" applyFill="1" applyBorder="1"/>
    <xf numFmtId="0" fontId="0" fillId="5" borderId="6" xfId="0" applyFill="1" applyBorder="1" applyAlignment="1">
      <alignment horizontal="center"/>
    </xf>
    <xf numFmtId="9" fontId="0" fillId="0" borderId="0" xfId="0" applyNumberFormat="1"/>
    <xf numFmtId="0" fontId="0" fillId="6" borderId="6" xfId="0" applyFill="1" applyBorder="1"/>
    <xf numFmtId="166" fontId="0" fillId="0" borderId="2" xfId="1" applyNumberFormat="1" applyFont="1" applyBorder="1"/>
    <xf numFmtId="166" fontId="0" fillId="0" borderId="3" xfId="1" applyNumberFormat="1" applyFont="1" applyBorder="1"/>
    <xf numFmtId="3" fontId="0" fillId="0" borderId="3" xfId="0" applyNumberFormat="1" applyBorder="1"/>
    <xf numFmtId="3" fontId="0" fillId="4" borderId="3" xfId="0" applyNumberFormat="1" applyFill="1" applyBorder="1"/>
    <xf numFmtId="3" fontId="0" fillId="3" borderId="6" xfId="0" applyNumberFormat="1" applyFill="1" applyBorder="1"/>
    <xf numFmtId="0" fontId="0" fillId="2" borderId="7" xfId="0" applyFill="1" applyBorder="1"/>
    <xf numFmtId="165" fontId="0" fillId="3" borderId="3" xfId="0" applyNumberFormat="1" applyFill="1" applyBorder="1"/>
    <xf numFmtId="9" fontId="0" fillId="3" borderId="1" xfId="0" applyNumberFormat="1" applyFill="1" applyBorder="1"/>
    <xf numFmtId="1" fontId="0" fillId="5" borderId="6" xfId="0" applyNumberFormat="1" applyFill="1" applyBorder="1" applyAlignment="1">
      <alignment horizontal="center"/>
    </xf>
    <xf numFmtId="3" fontId="0" fillId="4" borderId="6" xfId="0" applyNumberFormat="1" applyFill="1" applyBorder="1"/>
    <xf numFmtId="166" fontId="0" fillId="4" borderId="6" xfId="1" applyNumberFormat="1" applyFont="1" applyFill="1" applyBorder="1"/>
    <xf numFmtId="10" fontId="0" fillId="3" borderId="1" xfId="0" applyNumberFormat="1" applyFill="1" applyBorder="1"/>
    <xf numFmtId="10" fontId="0" fillId="3" borderId="3" xfId="0" applyNumberFormat="1" applyFill="1" applyBorder="1"/>
    <xf numFmtId="3" fontId="0" fillId="0" borderId="2" xfId="0" applyNumberFormat="1" applyBorder="1"/>
    <xf numFmtId="165" fontId="0" fillId="8" borderId="6" xfId="0" applyNumberFormat="1" applyFill="1" applyBorder="1"/>
    <xf numFmtId="0" fontId="0" fillId="7" borderId="1" xfId="0" applyFill="1" applyBorder="1" applyAlignment="1">
      <alignment horizontal="center"/>
    </xf>
    <xf numFmtId="166" fontId="0" fillId="9" borderId="3" xfId="0" applyNumberFormat="1" applyFill="1" applyBorder="1"/>
    <xf numFmtId="0" fontId="0" fillId="7" borderId="6" xfId="0" applyFill="1" applyBorder="1" applyAlignment="1">
      <alignment horizontal="center"/>
    </xf>
    <xf numFmtId="10" fontId="0" fillId="8" borderId="6" xfId="0" applyNumberFormat="1" applyFill="1" applyBorder="1"/>
    <xf numFmtId="3" fontId="0" fillId="8" borderId="3" xfId="0" applyNumberFormat="1" applyFill="1" applyBorder="1"/>
    <xf numFmtId="3" fontId="0" fillId="0" borderId="5" xfId="0" applyNumberFormat="1" applyBorder="1"/>
    <xf numFmtId="3" fontId="0" fillId="8" borderId="6" xfId="0" applyNumberFormat="1" applyFill="1" applyBorder="1"/>
    <xf numFmtId="166" fontId="0" fillId="0" borderId="0" xfId="1" applyNumberFormat="1" applyFont="1"/>
    <xf numFmtId="3" fontId="0" fillId="8" borderId="1" xfId="0" applyNumberFormat="1" applyFill="1" applyBorder="1"/>
    <xf numFmtId="9" fontId="0" fillId="8" borderId="2" xfId="0" applyNumberFormat="1" applyFill="1" applyBorder="1"/>
    <xf numFmtId="3" fontId="0" fillId="8" borderId="2" xfId="0" applyNumberFormat="1" applyFill="1" applyBorder="1"/>
    <xf numFmtId="165" fontId="0" fillId="8" borderId="2" xfId="0" applyNumberFormat="1" applyFill="1" applyBorder="1"/>
    <xf numFmtId="9" fontId="0" fillId="8" borderId="3" xfId="0" applyNumberFormat="1" applyFill="1" applyBorder="1"/>
    <xf numFmtId="3" fontId="0" fillId="13" borderId="1" xfId="0" applyNumberFormat="1" applyFill="1" applyBorder="1"/>
    <xf numFmtId="3" fontId="0" fillId="13" borderId="2" xfId="0" applyNumberFormat="1" applyFill="1" applyBorder="1"/>
    <xf numFmtId="0" fontId="0" fillId="13" borderId="2" xfId="0" applyFill="1" applyBorder="1"/>
    <xf numFmtId="9" fontId="0" fillId="13" borderId="2" xfId="0" applyNumberFormat="1" applyFill="1" applyBorder="1"/>
    <xf numFmtId="9" fontId="0" fillId="13" borderId="3" xfId="0" applyNumberFormat="1" applyFill="1" applyBorder="1"/>
    <xf numFmtId="0" fontId="1" fillId="10" borderId="1" xfId="0" applyFont="1" applyFill="1" applyBorder="1"/>
    <xf numFmtId="0" fontId="1" fillId="10" borderId="2" xfId="0" applyFont="1" applyFill="1" applyBorder="1"/>
    <xf numFmtId="165" fontId="0" fillId="13" borderId="2" xfId="0" applyNumberFormat="1" applyFill="1" applyBorder="1"/>
    <xf numFmtId="10" fontId="0" fillId="13" borderId="2" xfId="2" applyNumberFormat="1" applyFont="1" applyFill="1" applyBorder="1"/>
    <xf numFmtId="0" fontId="0" fillId="13" borderId="3" xfId="0" applyFill="1" applyBorder="1"/>
    <xf numFmtId="10" fontId="0" fillId="13" borderId="3" xfId="2" applyNumberFormat="1" applyFont="1" applyFill="1" applyBorder="1"/>
    <xf numFmtId="0" fontId="1" fillId="13" borderId="1" xfId="0" applyFont="1" applyFill="1" applyBorder="1"/>
    <xf numFmtId="0" fontId="1" fillId="13" borderId="3" xfId="0" applyFont="1" applyFill="1" applyBorder="1"/>
    <xf numFmtId="9" fontId="0" fillId="8" borderId="1" xfId="0" applyNumberFormat="1" applyFill="1" applyBorder="1"/>
    <xf numFmtId="3" fontId="0" fillId="9" borderId="6" xfId="0" applyNumberFormat="1" applyFill="1" applyBorder="1"/>
    <xf numFmtId="3" fontId="0" fillId="9" borderId="10" xfId="0" applyNumberFormat="1" applyFill="1" applyBorder="1"/>
    <xf numFmtId="166" fontId="0" fillId="9" borderId="6" xfId="0" applyNumberFormat="1" applyFill="1" applyBorder="1"/>
    <xf numFmtId="9" fontId="0" fillId="8" borderId="6" xfId="0" applyNumberFormat="1" applyFill="1" applyBorder="1"/>
    <xf numFmtId="0" fontId="0" fillId="8" borderId="1" xfId="0" applyFill="1" applyBorder="1"/>
    <xf numFmtId="9" fontId="0" fillId="9" borderId="1" xfId="0" applyNumberFormat="1" applyFill="1" applyBorder="1"/>
    <xf numFmtId="0" fontId="0" fillId="7" borderId="3" xfId="0" applyFill="1" applyBorder="1"/>
    <xf numFmtId="3" fontId="0" fillId="7" borderId="3" xfId="0" applyNumberFormat="1" applyFill="1" applyBorder="1"/>
    <xf numFmtId="3" fontId="0" fillId="7" borderId="6" xfId="0" applyNumberFormat="1" applyFill="1" applyBorder="1"/>
    <xf numFmtId="10" fontId="0" fillId="14" borderId="1" xfId="0" applyNumberFormat="1" applyFill="1" applyBorder="1"/>
    <xf numFmtId="0" fontId="1" fillId="10" borderId="3" xfId="0" applyFont="1" applyFill="1" applyBorder="1"/>
    <xf numFmtId="10" fontId="1" fillId="7" borderId="6" xfId="2" applyNumberFormat="1" applyFont="1" applyFill="1" applyBorder="1"/>
    <xf numFmtId="166" fontId="1" fillId="10" borderId="6" xfId="1" applyNumberFormat="1" applyFont="1" applyFill="1" applyBorder="1"/>
    <xf numFmtId="10" fontId="1" fillId="11" borderId="6" xfId="2" applyNumberFormat="1" applyFont="1" applyFill="1" applyBorder="1"/>
    <xf numFmtId="10" fontId="1" fillId="12" borderId="1" xfId="0" applyNumberFormat="1" applyFont="1" applyFill="1" applyBorder="1"/>
    <xf numFmtId="166" fontId="1" fillId="12" borderId="3" xfId="1" applyNumberFormat="1" applyFont="1" applyFill="1" applyBorder="1"/>
    <xf numFmtId="0" fontId="1" fillId="7" borderId="6" xfId="0" applyFont="1" applyFill="1" applyBorder="1"/>
    <xf numFmtId="0" fontId="1" fillId="0" borderId="0" xfId="0" applyFont="1"/>
    <xf numFmtId="0" fontId="1" fillId="0" borderId="8" xfId="0" applyFont="1" applyBorder="1"/>
    <xf numFmtId="0" fontId="1" fillId="9" borderId="9" xfId="0" applyFont="1" applyFill="1" applyBorder="1"/>
    <xf numFmtId="0" fontId="1" fillId="8" borderId="6" xfId="0" applyFont="1" applyFill="1" applyBorder="1"/>
    <xf numFmtId="0" fontId="1" fillId="7" borderId="10" xfId="0" applyFont="1" applyFill="1" applyBorder="1"/>
    <xf numFmtId="0" fontId="1" fillId="0" borderId="7" xfId="0" applyFont="1" applyBorder="1"/>
    <xf numFmtId="0" fontId="1" fillId="0" borderId="4" xfId="0" applyFont="1" applyBorder="1"/>
    <xf numFmtId="0" fontId="1" fillId="9" borderId="4" xfId="0" applyFont="1" applyFill="1" applyBorder="1"/>
    <xf numFmtId="0" fontId="1" fillId="9" borderId="6" xfId="0" applyFont="1" applyFill="1" applyBorder="1"/>
    <xf numFmtId="0" fontId="1" fillId="8" borderId="10" xfId="0" applyFont="1" applyFill="1" applyBorder="1"/>
    <xf numFmtId="0" fontId="1" fillId="8" borderId="8" xfId="0" applyFont="1" applyFill="1" applyBorder="1"/>
    <xf numFmtId="0" fontId="1" fillId="8" borderId="4" xfId="0" applyFont="1" applyFill="1" applyBorder="1"/>
    <xf numFmtId="0" fontId="1" fillId="0" borderId="2" xfId="0" applyFont="1" applyBorder="1"/>
    <xf numFmtId="0" fontId="1" fillId="0" borderId="3" xfId="0" applyFont="1" applyBorder="1"/>
    <xf numFmtId="0" fontId="1" fillId="8" borderId="3" xfId="0" applyFont="1" applyFill="1" applyBorder="1"/>
    <xf numFmtId="0" fontId="1" fillId="7" borderId="1" xfId="0" applyFont="1" applyFill="1" applyBorder="1"/>
    <xf numFmtId="0" fontId="1" fillId="13" borderId="0" xfId="0" applyFont="1" applyFill="1"/>
    <xf numFmtId="0" fontId="1" fillId="13" borderId="8" xfId="0" applyFont="1" applyFill="1" applyBorder="1"/>
    <xf numFmtId="166" fontId="1" fillId="7" borderId="3" xfId="1" applyNumberFormat="1" applyFont="1" applyFill="1" applyBorder="1"/>
    <xf numFmtId="0" fontId="1" fillId="9" borderId="1" xfId="0" applyFont="1" applyFill="1" applyBorder="1"/>
    <xf numFmtId="0" fontId="1" fillId="9" borderId="2" xfId="0" applyFont="1" applyFill="1" applyBorder="1"/>
    <xf numFmtId="0" fontId="1" fillId="9" borderId="3" xfId="0" applyFont="1" applyFill="1" applyBorder="1"/>
    <xf numFmtId="0" fontId="1" fillId="7" borderId="6" xfId="0" applyFont="1" applyFill="1" applyBorder="1" applyAlignment="1">
      <alignment horizontal="center"/>
    </xf>
    <xf numFmtId="0" fontId="1" fillId="7" borderId="3" xfId="0" applyFont="1" applyFill="1" applyBorder="1"/>
    <xf numFmtId="0" fontId="1" fillId="10" borderId="6" xfId="0" applyFont="1" applyFill="1" applyBorder="1"/>
    <xf numFmtId="0" fontId="1" fillId="11" borderId="6" xfId="0" applyFont="1" applyFill="1" applyBorder="1"/>
    <xf numFmtId="0" fontId="1" fillId="12" borderId="1" xfId="0" applyFont="1" applyFill="1" applyBorder="1"/>
    <xf numFmtId="0" fontId="1" fillId="12" borderId="3" xfId="0" applyFont="1" applyFill="1" applyBorder="1"/>
    <xf numFmtId="0" fontId="1" fillId="15" borderId="6" xfId="0" applyFont="1" applyFill="1" applyBorder="1"/>
    <xf numFmtId="10" fontId="0" fillId="15" borderId="6" xfId="0" applyNumberFormat="1" applyFill="1" applyBorder="1"/>
    <xf numFmtId="0" fontId="1" fillId="2" borderId="1" xfId="0" applyFont="1" applyFill="1" applyBorder="1"/>
    <xf numFmtId="10" fontId="0" fillId="15" borderId="1" xfId="0" applyNumberFormat="1" applyFill="1" applyBorder="1"/>
    <xf numFmtId="10" fontId="0" fillId="15" borderId="2" xfId="0" applyNumberFormat="1" applyFill="1" applyBorder="1"/>
    <xf numFmtId="10" fontId="0" fillId="15" borderId="2" xfId="2" applyNumberFormat="1" applyFont="1" applyFill="1" applyBorder="1"/>
    <xf numFmtId="1" fontId="0" fillId="15" borderId="3" xfId="2" applyNumberFormat="1" applyFont="1" applyFill="1" applyBorder="1"/>
    <xf numFmtId="0" fontId="1" fillId="14" borderId="5" xfId="0" applyFont="1" applyFill="1" applyBorder="1"/>
    <xf numFmtId="0" fontId="1" fillId="14" borderId="7" xfId="0" applyFont="1" applyFill="1" applyBorder="1"/>
    <xf numFmtId="0" fontId="1" fillId="14" borderId="4" xfId="0" applyFont="1" applyFill="1" applyBorder="1"/>
    <xf numFmtId="0" fontId="1" fillId="15" borderId="1" xfId="0" applyFont="1" applyFill="1" applyBorder="1"/>
    <xf numFmtId="0" fontId="1" fillId="15" borderId="2" xfId="0" applyFont="1" applyFill="1" applyBorder="1"/>
    <xf numFmtId="0" fontId="1" fillId="15" borderId="3" xfId="0" applyFont="1" applyFill="1" applyBorder="1"/>
    <xf numFmtId="3" fontId="0" fillId="14" borderId="1" xfId="0" applyNumberFormat="1" applyFill="1" applyBorder="1"/>
    <xf numFmtId="3" fontId="0" fillId="14" borderId="2" xfId="0" applyNumberFormat="1" applyFill="1" applyBorder="1"/>
    <xf numFmtId="3" fontId="0" fillId="14" borderId="3" xfId="0" applyNumberFormat="1" applyFill="1" applyBorder="1"/>
    <xf numFmtId="0" fontId="1" fillId="14" borderId="2" xfId="0" applyFont="1" applyFill="1" applyBorder="1"/>
    <xf numFmtId="0" fontId="0" fillId="14" borderId="2" xfId="0" applyFill="1" applyBorder="1"/>
    <xf numFmtId="166" fontId="0" fillId="14" borderId="2" xfId="1" applyNumberFormat="1" applyFont="1" applyFill="1" applyBorder="1"/>
    <xf numFmtId="0" fontId="1" fillId="14" borderId="3" xfId="0" applyFont="1" applyFill="1" applyBorder="1"/>
    <xf numFmtId="0" fontId="0" fillId="14" borderId="3" xfId="0" applyFill="1" applyBorder="1"/>
    <xf numFmtId="0" fontId="1" fillId="14" borderId="1" xfId="0" applyFont="1" applyFill="1" applyBorder="1"/>
    <xf numFmtId="3" fontId="0" fillId="14" borderId="5" xfId="0" applyNumberFormat="1" applyFill="1" applyBorder="1"/>
    <xf numFmtId="0" fontId="0" fillId="14" borderId="7" xfId="0" applyFill="1" applyBorder="1"/>
    <xf numFmtId="166" fontId="0" fillId="14" borderId="7" xfId="1" applyNumberFormat="1" applyFont="1" applyFill="1" applyBorder="1"/>
    <xf numFmtId="0" fontId="0" fillId="14" borderId="4" xfId="0" applyFill="1" applyBorder="1"/>
    <xf numFmtId="166" fontId="0" fillId="14" borderId="4" xfId="1" applyNumberFormat="1" applyFont="1" applyFill="1" applyBorder="1"/>
    <xf numFmtId="166" fontId="0" fillId="14" borderId="3" xfId="1" applyNumberFormat="1" applyFont="1" applyFill="1" applyBorder="1"/>
    <xf numFmtId="3" fontId="0" fillId="14" borderId="4" xfId="0" applyNumberFormat="1" applyFill="1" applyBorder="1"/>
    <xf numFmtId="0" fontId="0" fillId="8" borderId="2" xfId="0" applyFill="1" applyBorder="1"/>
    <xf numFmtId="0" fontId="1" fillId="8" borderId="2" xfId="0" applyFont="1" applyFill="1" applyBorder="1"/>
    <xf numFmtId="9" fontId="0" fillId="9" borderId="2" xfId="0" applyNumberFormat="1" applyFill="1" applyBorder="1"/>
    <xf numFmtId="3" fontId="0" fillId="9" borderId="3" xfId="0" applyNumberFormat="1" applyFill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0" fontId="0" fillId="14" borderId="3" xfId="0" applyNumberFormat="1" applyFill="1" applyBorder="1"/>
    <xf numFmtId="0" fontId="2" fillId="0" borderId="0" xfId="0" applyFont="1" applyAlignment="1">
      <alignment horizontal="center"/>
    </xf>
    <xf numFmtId="9" fontId="0" fillId="16" borderId="1" xfId="0" applyNumberFormat="1" applyFill="1" applyBorder="1"/>
    <xf numFmtId="9" fontId="0" fillId="16" borderId="2" xfId="0" applyNumberFormat="1" applyFill="1" applyBorder="1"/>
    <xf numFmtId="9" fontId="0" fillId="16" borderId="3" xfId="0" applyNumberFormat="1" applyFill="1" applyBorder="1"/>
    <xf numFmtId="10" fontId="1" fillId="13" borderId="1" xfId="2" applyNumberFormat="1" applyFont="1" applyFill="1" applyBorder="1"/>
    <xf numFmtId="10" fontId="1" fillId="13" borderId="2" xfId="2" applyNumberFormat="1" applyFont="1" applyFill="1" applyBorder="1"/>
    <xf numFmtId="166" fontId="1" fillId="13" borderId="3" xfId="1" applyNumberFormat="1" applyFont="1" applyFill="1" applyBorder="1"/>
    <xf numFmtId="3" fontId="0" fillId="15" borderId="6" xfId="0" applyNumberFormat="1" applyFill="1" applyBorder="1"/>
  </cellXfs>
  <cellStyles count="3">
    <cellStyle name="Komma" xfId="1" builtinId="3"/>
    <cellStyle name="Normal" xfId="0" builtinId="0"/>
    <cellStyle name="Pros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zoomScale="130" zoomScaleNormal="130" workbookViewId="0">
      <selection activeCell="B17" sqref="B17"/>
    </sheetView>
  </sheetViews>
  <sheetFormatPr baseColWidth="10" defaultColWidth="9.140625" defaultRowHeight="12.75" x14ac:dyDescent="0.2"/>
  <cols>
    <col min="1" max="1" width="34.7109375" bestFit="1" customWidth="1"/>
    <col min="2" max="2" width="12.85546875" bestFit="1" customWidth="1"/>
  </cols>
  <sheetData>
    <row r="1" spans="1:2" x14ac:dyDescent="0.2">
      <c r="A1" s="61" t="s">
        <v>77</v>
      </c>
      <c r="B1" s="56">
        <v>650000</v>
      </c>
    </row>
    <row r="2" spans="1:2" x14ac:dyDescent="0.2">
      <c r="A2" s="62" t="s">
        <v>78</v>
      </c>
      <c r="B2" s="57">
        <v>1900000</v>
      </c>
    </row>
    <row r="3" spans="1:2" x14ac:dyDescent="0.2">
      <c r="A3" s="62" t="s">
        <v>79</v>
      </c>
      <c r="B3" s="57">
        <v>750000</v>
      </c>
    </row>
    <row r="4" spans="1:2" x14ac:dyDescent="0.2">
      <c r="A4" s="62" t="s">
        <v>0</v>
      </c>
      <c r="B4" s="58">
        <v>17</v>
      </c>
    </row>
    <row r="5" spans="1:2" x14ac:dyDescent="0.2">
      <c r="A5" s="62" t="s">
        <v>1</v>
      </c>
      <c r="B5" s="59">
        <v>0.08</v>
      </c>
    </row>
    <row r="6" spans="1:2" x14ac:dyDescent="0.2">
      <c r="A6" s="80" t="s">
        <v>2</v>
      </c>
      <c r="B6" s="60">
        <v>0.04</v>
      </c>
    </row>
    <row r="8" spans="1:2" x14ac:dyDescent="0.2">
      <c r="A8" s="86" t="s">
        <v>3</v>
      </c>
      <c r="B8" s="81">
        <f>(B2/B1)^(1/B4)-1</f>
        <v>6.5129387599948574E-2</v>
      </c>
    </row>
    <row r="10" spans="1:2" x14ac:dyDescent="0.2">
      <c r="A10" s="115" t="s">
        <v>81</v>
      </c>
      <c r="B10" s="116">
        <f>RATE(B4,0,-B1,B2)</f>
        <v>6.5129387599948518E-2</v>
      </c>
    </row>
    <row r="12" spans="1:2" x14ac:dyDescent="0.2">
      <c r="A12" s="111" t="s">
        <v>85</v>
      </c>
      <c r="B12" s="82">
        <f>B3*(1+B5)^B4</f>
        <v>2775013.5411006478</v>
      </c>
    </row>
    <row r="14" spans="1:2" x14ac:dyDescent="0.2">
      <c r="A14" s="112" t="s">
        <v>4</v>
      </c>
      <c r="B14" s="83">
        <f>(B5-B6)/(1+B6)</f>
        <v>3.8461538461538464E-2</v>
      </c>
    </row>
    <row r="16" spans="1:2" x14ac:dyDescent="0.2">
      <c r="A16" s="113" t="s">
        <v>5</v>
      </c>
      <c r="B16" s="84">
        <f>4%*(1+B6)+B6</f>
        <v>8.1600000000000006E-2</v>
      </c>
    </row>
    <row r="17" spans="1:2" x14ac:dyDescent="0.2">
      <c r="A17" s="114" t="s">
        <v>80</v>
      </c>
      <c r="B17" s="85">
        <f>B1*(1+B16)^B4</f>
        <v>2466305.6213824558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zoomScale="150" zoomScaleNormal="150" workbookViewId="0">
      <selection activeCell="E18" sqref="E18"/>
    </sheetView>
  </sheetViews>
  <sheetFormatPr baseColWidth="10" defaultColWidth="11.42578125" defaultRowHeight="12.75" x14ac:dyDescent="0.2"/>
  <cols>
    <col min="1" max="1" width="18" bestFit="1" customWidth="1"/>
  </cols>
  <sheetData>
    <row r="1" spans="1:2" x14ac:dyDescent="0.2">
      <c r="A1" s="117" t="s">
        <v>8</v>
      </c>
      <c r="B1" s="7">
        <v>7.0000000000000007E-2</v>
      </c>
    </row>
    <row r="2" spans="1:2" x14ac:dyDescent="0.2">
      <c r="A2" s="5" t="s">
        <v>6</v>
      </c>
      <c r="B2" s="8">
        <v>0.22</v>
      </c>
    </row>
    <row r="3" spans="1:2" x14ac:dyDescent="0.2">
      <c r="A3" s="5" t="s">
        <v>7</v>
      </c>
      <c r="B3" s="8">
        <v>2.5000000000000001E-2</v>
      </c>
    </row>
    <row r="4" spans="1:2" x14ac:dyDescent="0.2">
      <c r="A4" s="5"/>
      <c r="B4" s="9"/>
    </row>
    <row r="5" spans="1:2" x14ac:dyDescent="0.2">
      <c r="A5" s="58" t="s">
        <v>8</v>
      </c>
      <c r="B5" s="63">
        <f>B1</f>
        <v>7.0000000000000007E-2</v>
      </c>
    </row>
    <row r="6" spans="1:2" x14ac:dyDescent="0.2">
      <c r="A6" s="58" t="s">
        <v>9</v>
      </c>
      <c r="B6" s="64">
        <f>(B1-B3)/(1+B3)</f>
        <v>4.3902439024390255E-2</v>
      </c>
    </row>
    <row r="7" spans="1:2" x14ac:dyDescent="0.2">
      <c r="A7" s="65" t="s">
        <v>10</v>
      </c>
      <c r="B7" s="66">
        <f>(B1*(1-B2)-B3)/(1+B3)</f>
        <v>2.8878048780487817E-2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5"/>
  <sheetViews>
    <sheetView topLeftCell="A7" workbookViewId="0">
      <selection activeCell="I29" sqref="I29"/>
    </sheetView>
  </sheetViews>
  <sheetFormatPr baseColWidth="10" defaultColWidth="11.42578125" defaultRowHeight="12.75" x14ac:dyDescent="0.2"/>
  <cols>
    <col min="1" max="1" width="22.28515625" bestFit="1" customWidth="1"/>
  </cols>
  <sheetData>
    <row r="1" spans="1:5" x14ac:dyDescent="0.2">
      <c r="A1" s="12" t="s">
        <v>11</v>
      </c>
      <c r="B1" s="14">
        <v>600</v>
      </c>
    </row>
    <row r="2" spans="1:5" x14ac:dyDescent="0.2">
      <c r="A2" s="13" t="s">
        <v>12</v>
      </c>
      <c r="B2" s="15">
        <v>250</v>
      </c>
    </row>
    <row r="3" spans="1:5" x14ac:dyDescent="0.2">
      <c r="A3" s="12" t="s">
        <v>13</v>
      </c>
      <c r="B3" s="14">
        <f>B1-B2</f>
        <v>350</v>
      </c>
    </row>
    <row r="4" spans="1:5" x14ac:dyDescent="0.2">
      <c r="A4" s="13" t="s">
        <v>14</v>
      </c>
      <c r="B4" s="15">
        <v>300</v>
      </c>
    </row>
    <row r="5" spans="1:5" x14ac:dyDescent="0.2">
      <c r="A5" s="16" t="s">
        <v>15</v>
      </c>
      <c r="B5" s="17">
        <f>B3-B4</f>
        <v>50</v>
      </c>
    </row>
    <row r="7" spans="1:5" x14ac:dyDescent="0.2">
      <c r="A7" s="12" t="s">
        <v>16</v>
      </c>
      <c r="B7" s="19">
        <v>10000</v>
      </c>
    </row>
    <row r="8" spans="1:5" x14ac:dyDescent="0.2">
      <c r="A8" s="33" t="s">
        <v>17</v>
      </c>
      <c r="B8" s="20">
        <v>11500</v>
      </c>
    </row>
    <row r="9" spans="1:5" x14ac:dyDescent="0.2">
      <c r="A9" s="33" t="s">
        <v>18</v>
      </c>
      <c r="B9" s="20">
        <v>2000000</v>
      </c>
    </row>
    <row r="10" spans="1:5" x14ac:dyDescent="0.2">
      <c r="A10" s="33" t="s">
        <v>19</v>
      </c>
      <c r="B10" s="8">
        <v>0.02</v>
      </c>
    </row>
    <row r="11" spans="1:5" x14ac:dyDescent="0.2">
      <c r="A11" s="33" t="s">
        <v>20</v>
      </c>
      <c r="B11" s="8">
        <v>0.12</v>
      </c>
    </row>
    <row r="12" spans="1:5" x14ac:dyDescent="0.2">
      <c r="A12" s="13" t="s">
        <v>21</v>
      </c>
      <c r="B12" s="34">
        <f>(B11-B10)/(1+B10)</f>
        <v>9.8039215686274495E-2</v>
      </c>
    </row>
    <row r="13" spans="1:5" x14ac:dyDescent="0.2">
      <c r="B13" s="26"/>
    </row>
    <row r="14" spans="1:5" x14ac:dyDescent="0.2">
      <c r="A14" s="27" t="s">
        <v>22</v>
      </c>
    </row>
    <row r="15" spans="1:5" x14ac:dyDescent="0.2">
      <c r="A15" s="24" t="s">
        <v>0</v>
      </c>
      <c r="B15" s="25">
        <v>0</v>
      </c>
      <c r="C15" s="25">
        <v>1</v>
      </c>
      <c r="D15" s="25">
        <v>2</v>
      </c>
      <c r="E15" s="25">
        <v>3</v>
      </c>
    </row>
    <row r="16" spans="1:5" x14ac:dyDescent="0.2">
      <c r="A16" s="1" t="s">
        <v>18</v>
      </c>
      <c r="B16" s="18">
        <f>-$B$9</f>
        <v>-2000000</v>
      </c>
      <c r="C16" s="1"/>
      <c r="D16" s="1"/>
      <c r="E16" s="1"/>
    </row>
    <row r="17" spans="1:5" x14ac:dyDescent="0.2">
      <c r="A17" s="2" t="s">
        <v>23</v>
      </c>
      <c r="B17" s="2"/>
      <c r="C17" s="28">
        <f>$B$1*$B$8*(1+$B$10)^C15</f>
        <v>7038000</v>
      </c>
      <c r="D17" s="28">
        <f>$B$1*$B$8*(1+$B$10)^D15</f>
        <v>7178760</v>
      </c>
      <c r="E17" s="28">
        <f>$B$1*$B$8*(1+$B$10)^E15</f>
        <v>7322335.1999999993</v>
      </c>
    </row>
    <row r="18" spans="1:5" x14ac:dyDescent="0.2">
      <c r="A18" s="2" t="s">
        <v>24</v>
      </c>
      <c r="B18" s="2"/>
      <c r="C18" s="28">
        <f>-$B$2*$B$8*(1+$B$10)^C15</f>
        <v>-2932500</v>
      </c>
      <c r="D18" s="28">
        <f>-$B$2*$B$8*(1+$B$10)^D15</f>
        <v>-2991150</v>
      </c>
      <c r="E18" s="28">
        <f>-$B$2*$B$8*(1+$B$10)^E15</f>
        <v>-3050973</v>
      </c>
    </row>
    <row r="19" spans="1:5" x14ac:dyDescent="0.2">
      <c r="A19" s="3" t="s">
        <v>25</v>
      </c>
      <c r="B19" s="3"/>
      <c r="C19" s="29">
        <f>-$B$4*$B$7*(1+$B$10)^C15</f>
        <v>-3060000</v>
      </c>
      <c r="D19" s="29">
        <f>-$B$4*$B$7*(1+$B$10)^D15</f>
        <v>-3121200</v>
      </c>
      <c r="E19" s="29">
        <f>-$B$4*$B$7*(1+$B$10)^E15</f>
        <v>-3183624</v>
      </c>
    </row>
    <row r="20" spans="1:5" x14ac:dyDescent="0.2">
      <c r="A20" s="17" t="s">
        <v>26</v>
      </c>
      <c r="B20" s="31">
        <f>SUM(B16:B19)</f>
        <v>-2000000</v>
      </c>
      <c r="C20" s="31">
        <f>SUM(C16:C19)</f>
        <v>1045500</v>
      </c>
      <c r="D20" s="31">
        <f>SUM(D16:D19)</f>
        <v>1066410</v>
      </c>
      <c r="E20" s="31">
        <f>SUM(E16:E19)</f>
        <v>1087738.1999999993</v>
      </c>
    </row>
    <row r="22" spans="1:5" x14ac:dyDescent="0.2">
      <c r="A22" s="23" t="s">
        <v>27</v>
      </c>
      <c r="B22" s="32">
        <f>B20+NPV(B11,C20:E20)</f>
        <v>557848.23136843927</v>
      </c>
    </row>
    <row r="24" spans="1:5" x14ac:dyDescent="0.2">
      <c r="A24" s="27" t="s">
        <v>28</v>
      </c>
    </row>
    <row r="25" spans="1:5" x14ac:dyDescent="0.2">
      <c r="A25" s="24" t="s">
        <v>0</v>
      </c>
      <c r="B25" s="25">
        <v>0</v>
      </c>
      <c r="C25" s="25">
        <v>1</v>
      </c>
      <c r="D25" s="25">
        <v>2</v>
      </c>
      <c r="E25" s="25">
        <v>3</v>
      </c>
    </row>
    <row r="26" spans="1:5" x14ac:dyDescent="0.2">
      <c r="A26" s="1" t="s">
        <v>18</v>
      </c>
      <c r="B26" s="18">
        <f>-$B$9</f>
        <v>-2000000</v>
      </c>
      <c r="C26" s="1"/>
      <c r="D26" s="1"/>
      <c r="E26" s="1"/>
    </row>
    <row r="27" spans="1:5" x14ac:dyDescent="0.2">
      <c r="A27" s="2" t="s">
        <v>23</v>
      </c>
      <c r="B27" s="2"/>
      <c r="C27" s="28">
        <f>$B$1*$B$8</f>
        <v>6900000</v>
      </c>
      <c r="D27" s="28">
        <f>$B$1*$B$8</f>
        <v>6900000</v>
      </c>
      <c r="E27" s="28">
        <f>$B$1*$B$8</f>
        <v>6900000</v>
      </c>
    </row>
    <row r="28" spans="1:5" x14ac:dyDescent="0.2">
      <c r="A28" s="2" t="s">
        <v>24</v>
      </c>
      <c r="B28" s="2"/>
      <c r="C28" s="28">
        <f>-$B$2*$B$8</f>
        <v>-2875000</v>
      </c>
      <c r="D28" s="28">
        <f>-$B$2*$B$8</f>
        <v>-2875000</v>
      </c>
      <c r="E28" s="28">
        <f>-$B$2*$B$8</f>
        <v>-2875000</v>
      </c>
    </row>
    <row r="29" spans="1:5" x14ac:dyDescent="0.2">
      <c r="A29" s="3" t="s">
        <v>25</v>
      </c>
      <c r="B29" s="3"/>
      <c r="C29" s="29">
        <f>-$B$4*$B$7</f>
        <v>-3000000</v>
      </c>
      <c r="D29" s="29">
        <f>-$B$4*$B$7</f>
        <v>-3000000</v>
      </c>
      <c r="E29" s="29">
        <f>-$B$4*$B$7</f>
        <v>-3000000</v>
      </c>
    </row>
    <row r="30" spans="1:5" x14ac:dyDescent="0.2">
      <c r="A30" s="17" t="s">
        <v>26</v>
      </c>
      <c r="B30" s="31">
        <f>SUM(B26:B29)</f>
        <v>-2000000</v>
      </c>
      <c r="C30" s="31">
        <f>SUM(C26:C29)</f>
        <v>1025000</v>
      </c>
      <c r="D30" s="31">
        <f>SUM(D26:D29)</f>
        <v>1025000</v>
      </c>
      <c r="E30" s="31">
        <f>SUM(E26:E29)</f>
        <v>1025000</v>
      </c>
    </row>
    <row r="32" spans="1:5" x14ac:dyDescent="0.2">
      <c r="A32" s="23" t="s">
        <v>27</v>
      </c>
      <c r="B32" s="32">
        <f>B30+NPV(B12,C30:E30)</f>
        <v>557848.23136843974</v>
      </c>
    </row>
    <row r="34" spans="1:5" x14ac:dyDescent="0.2">
      <c r="A34" s="27" t="s">
        <v>29</v>
      </c>
    </row>
    <row r="35" spans="1:5" x14ac:dyDescent="0.2">
      <c r="A35" s="4" t="s">
        <v>30</v>
      </c>
      <c r="B35" s="35">
        <v>0.05</v>
      </c>
    </row>
    <row r="36" spans="1:5" x14ac:dyDescent="0.2">
      <c r="A36" s="6" t="s">
        <v>31</v>
      </c>
      <c r="B36" s="22">
        <v>0.04</v>
      </c>
    </row>
    <row r="38" spans="1:5" x14ac:dyDescent="0.2">
      <c r="A38" s="24" t="s">
        <v>0</v>
      </c>
      <c r="B38" s="25">
        <v>0</v>
      </c>
      <c r="C38" s="25">
        <v>1</v>
      </c>
      <c r="D38" s="25">
        <v>2</v>
      </c>
      <c r="E38" s="25">
        <v>3</v>
      </c>
    </row>
    <row r="39" spans="1:5" x14ac:dyDescent="0.2">
      <c r="A39" s="1" t="s">
        <v>18</v>
      </c>
      <c r="B39" s="18">
        <f>-$B$9</f>
        <v>-2000000</v>
      </c>
      <c r="C39" s="1"/>
      <c r="D39" s="1"/>
      <c r="E39" s="1"/>
    </row>
    <row r="40" spans="1:5" x14ac:dyDescent="0.2">
      <c r="A40" s="2" t="s">
        <v>23</v>
      </c>
      <c r="B40" s="2"/>
      <c r="C40" s="28">
        <f>$B$1*$B$8*(1+$B$10)^C38</f>
        <v>7038000</v>
      </c>
      <c r="D40" s="28">
        <f>$B$1*$B$8*(1+$B$10)^D38</f>
        <v>7178760</v>
      </c>
      <c r="E40" s="28">
        <f>$B$1*$B$8*(1+$B$10)^E38</f>
        <v>7322335.1999999993</v>
      </c>
    </row>
    <row r="41" spans="1:5" x14ac:dyDescent="0.2">
      <c r="A41" s="2" t="s">
        <v>24</v>
      </c>
      <c r="B41" s="2"/>
      <c r="C41" s="28">
        <f>-$B$2*$B$8*(1+$B$35)^C38</f>
        <v>-3018750</v>
      </c>
      <c r="D41" s="28">
        <f>-$B$2*$B$8*(1+$B$35)^D38</f>
        <v>-3169687.5</v>
      </c>
      <c r="E41" s="28">
        <f>-$B$2*$B$8*(1+$B$35)^E38</f>
        <v>-3328171.8750000005</v>
      </c>
    </row>
    <row r="42" spans="1:5" x14ac:dyDescent="0.2">
      <c r="A42" s="3" t="s">
        <v>25</v>
      </c>
      <c r="B42" s="3"/>
      <c r="C42" s="29">
        <f>-$B$4*$B$7*(1+$B$36)^C38</f>
        <v>-3120000</v>
      </c>
      <c r="D42" s="29">
        <f>-$B$4*$B$7*(1+$B$36)^D38</f>
        <v>-3244800.0000000005</v>
      </c>
      <c r="E42" s="29">
        <f>-$B$4*$B$7*(1+$B$36)^E38</f>
        <v>-3374592.0000000005</v>
      </c>
    </row>
    <row r="43" spans="1:5" x14ac:dyDescent="0.2">
      <c r="A43" s="17" t="s">
        <v>26</v>
      </c>
      <c r="B43" s="31">
        <f>SUM(B39:B42)</f>
        <v>-2000000</v>
      </c>
      <c r="C43" s="31">
        <f>SUM(C39:C42)</f>
        <v>899250</v>
      </c>
      <c r="D43" s="31">
        <f>SUM(D39:D42)</f>
        <v>764272.49999999953</v>
      </c>
      <c r="E43" s="31">
        <f>SUM(E39:E42)</f>
        <v>619571.32499999832</v>
      </c>
    </row>
    <row r="45" spans="1:5" x14ac:dyDescent="0.2">
      <c r="A45" s="23" t="s">
        <v>27</v>
      </c>
      <c r="B45" s="32">
        <f>B43+NPV(B11,C43:E43)</f>
        <v>-146826.22525852057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7"/>
  <sheetViews>
    <sheetView topLeftCell="A19" zoomScale="120" zoomScaleNormal="120" workbookViewId="0">
      <selection activeCell="C24" sqref="C24"/>
    </sheetView>
  </sheetViews>
  <sheetFormatPr baseColWidth="10" defaultColWidth="11.42578125" defaultRowHeight="12.75" x14ac:dyDescent="0.2"/>
  <cols>
    <col min="1" max="1" width="24.140625" bestFit="1" customWidth="1"/>
  </cols>
  <sheetData>
    <row r="1" spans="1:6" x14ac:dyDescent="0.2">
      <c r="A1" s="4" t="s">
        <v>32</v>
      </c>
      <c r="B1" s="19">
        <v>550000</v>
      </c>
    </row>
    <row r="2" spans="1:6" x14ac:dyDescent="0.2">
      <c r="A2" s="5" t="s">
        <v>26</v>
      </c>
      <c r="B2" s="20">
        <v>200000</v>
      </c>
    </row>
    <row r="3" spans="1:6" x14ac:dyDescent="0.2">
      <c r="A3" s="5" t="s">
        <v>33</v>
      </c>
      <c r="B3" s="21">
        <v>0.05</v>
      </c>
    </row>
    <row r="4" spans="1:6" x14ac:dyDescent="0.2">
      <c r="A4" s="5" t="s">
        <v>34</v>
      </c>
      <c r="B4" s="21">
        <v>0.3</v>
      </c>
    </row>
    <row r="5" spans="1:6" x14ac:dyDescent="0.2">
      <c r="A5" s="5" t="s">
        <v>35</v>
      </c>
      <c r="B5" s="21">
        <v>0.4</v>
      </c>
    </row>
    <row r="6" spans="1:6" x14ac:dyDescent="0.2">
      <c r="A6" s="5" t="s">
        <v>36</v>
      </c>
      <c r="B6" s="21">
        <f>1-B5</f>
        <v>0.6</v>
      </c>
    </row>
    <row r="7" spans="1:6" x14ac:dyDescent="0.2">
      <c r="A7" s="5" t="s">
        <v>37</v>
      </c>
      <c r="B7" s="21">
        <v>0.09</v>
      </c>
    </row>
    <row r="8" spans="1:6" x14ac:dyDescent="0.2">
      <c r="A8" s="6" t="s">
        <v>38</v>
      </c>
      <c r="B8" s="22">
        <v>0.22</v>
      </c>
    </row>
    <row r="10" spans="1:6" x14ac:dyDescent="0.2">
      <c r="A10" s="24" t="s">
        <v>0</v>
      </c>
      <c r="B10" s="36">
        <v>0</v>
      </c>
      <c r="C10" s="25">
        <v>1</v>
      </c>
      <c r="D10" s="25">
        <v>2</v>
      </c>
      <c r="E10" s="25">
        <v>3</v>
      </c>
      <c r="F10" s="25">
        <v>4</v>
      </c>
    </row>
    <row r="11" spans="1:6" x14ac:dyDescent="0.2">
      <c r="A11" s="16" t="s">
        <v>26</v>
      </c>
      <c r="B11" s="37">
        <f>-$B$1</f>
        <v>-550000</v>
      </c>
      <c r="C11" s="38">
        <f>$B$2*(1+$B$3)^C10</f>
        <v>210000</v>
      </c>
      <c r="D11" s="38">
        <f>$B$2*(1+$B$3)^D10</f>
        <v>220500</v>
      </c>
      <c r="E11" s="38">
        <f>$B$2*(1+$B$3)^E10</f>
        <v>231525.00000000003</v>
      </c>
      <c r="F11" s="38">
        <f>$B$2*(1+$B$3)^F10</f>
        <v>243101.25</v>
      </c>
    </row>
    <row r="13" spans="1:6" x14ac:dyDescent="0.2">
      <c r="A13" s="4" t="s">
        <v>39</v>
      </c>
      <c r="B13" s="39">
        <f>IRR(B11:F11)</f>
        <v>0.22718840777571825</v>
      </c>
    </row>
    <row r="14" spans="1:6" x14ac:dyDescent="0.2">
      <c r="A14" s="5" t="s">
        <v>40</v>
      </c>
      <c r="B14" s="10">
        <f>(B13-B3)/(1+B3)</f>
        <v>0.1687508645483031</v>
      </c>
    </row>
    <row r="15" spans="1:6" x14ac:dyDescent="0.2">
      <c r="A15" s="5" t="s">
        <v>41</v>
      </c>
      <c r="B15" s="10">
        <f>(B13*(1-B4)-B3)/(1+B3)</f>
        <v>0.10383989089809785</v>
      </c>
    </row>
    <row r="16" spans="1:6" x14ac:dyDescent="0.2">
      <c r="A16" s="5" t="s">
        <v>42</v>
      </c>
      <c r="B16" s="10">
        <f>(B7*(1-B8)-B3)/(1+B3)</f>
        <v>1.9238095238095235E-2</v>
      </c>
    </row>
    <row r="17" spans="1:2" x14ac:dyDescent="0.2">
      <c r="A17" s="6" t="s">
        <v>43</v>
      </c>
      <c r="B17" s="40">
        <f>B15+(B15-B16)*B6/B5</f>
        <v>0.23074258438810175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1"/>
  <sheetViews>
    <sheetView zoomScale="120" zoomScaleNormal="120" workbookViewId="0">
      <selection activeCell="D24" sqref="D24"/>
    </sheetView>
  </sheetViews>
  <sheetFormatPr baseColWidth="10" defaultColWidth="9.140625" defaultRowHeight="12.75" x14ac:dyDescent="0.2"/>
  <cols>
    <col min="1" max="1" width="22.85546875" bestFit="1" customWidth="1"/>
    <col min="2" max="2" width="11.28515625" bestFit="1" customWidth="1"/>
    <col min="3" max="3" width="12" bestFit="1" customWidth="1"/>
    <col min="4" max="4" width="11.85546875" bestFit="1" customWidth="1"/>
    <col min="5" max="5" width="11.28515625" bestFit="1" customWidth="1"/>
  </cols>
  <sheetData>
    <row r="1" spans="1:5" x14ac:dyDescent="0.2">
      <c r="A1" s="67" t="s">
        <v>44</v>
      </c>
      <c r="B1" s="69">
        <v>0.22</v>
      </c>
    </row>
    <row r="2" spans="1:5" x14ac:dyDescent="0.2">
      <c r="A2" s="68" t="s">
        <v>45</v>
      </c>
      <c r="B2" s="55">
        <v>0.2</v>
      </c>
    </row>
    <row r="4" spans="1:5" x14ac:dyDescent="0.2">
      <c r="A4" s="86" t="s">
        <v>0</v>
      </c>
      <c r="B4" s="45">
        <v>0</v>
      </c>
      <c r="C4" s="45">
        <v>1</v>
      </c>
      <c r="D4" s="45">
        <v>2</v>
      </c>
      <c r="E4" s="45">
        <v>3</v>
      </c>
    </row>
    <row r="5" spans="1:5" x14ac:dyDescent="0.2">
      <c r="A5" s="87" t="s">
        <v>46</v>
      </c>
      <c r="B5" s="41"/>
      <c r="C5" s="48">
        <v>390000</v>
      </c>
      <c r="D5" s="41">
        <v>390000</v>
      </c>
      <c r="E5" s="41">
        <v>195000</v>
      </c>
    </row>
    <row r="6" spans="1:5" x14ac:dyDescent="0.2">
      <c r="A6" s="88" t="s">
        <v>47</v>
      </c>
      <c r="B6" s="30">
        <v>-900000</v>
      </c>
      <c r="C6" s="11"/>
      <c r="D6" s="3"/>
      <c r="E6" s="30">
        <v>383000</v>
      </c>
    </row>
    <row r="7" spans="1:5" x14ac:dyDescent="0.2">
      <c r="A7" s="89" t="s">
        <v>48</v>
      </c>
      <c r="B7" s="70">
        <f>SUM(B5:B6)</f>
        <v>-900000</v>
      </c>
      <c r="C7" s="71">
        <f>SUM(C5:C6)</f>
        <v>390000</v>
      </c>
      <c r="D7" s="70">
        <f>SUM(D5:D6)</f>
        <v>390000</v>
      </c>
      <c r="E7" s="70">
        <f>SUM(E5:E6)</f>
        <v>578000</v>
      </c>
    </row>
    <row r="9" spans="1:5" x14ac:dyDescent="0.2">
      <c r="A9" s="90" t="s">
        <v>49</v>
      </c>
      <c r="B9" s="42">
        <f>IRR(B7:E7)</f>
        <v>0.22000478130410972</v>
      </c>
    </row>
    <row r="11" spans="1:5" x14ac:dyDescent="0.2">
      <c r="A11" s="91" t="s">
        <v>0</v>
      </c>
      <c r="B11" s="45">
        <v>0</v>
      </c>
      <c r="C11" s="45">
        <v>1</v>
      </c>
      <c r="D11" s="45">
        <v>2</v>
      </c>
      <c r="E11" s="45">
        <v>3</v>
      </c>
    </row>
    <row r="12" spans="1:5" x14ac:dyDescent="0.2">
      <c r="A12" s="92" t="s">
        <v>46</v>
      </c>
      <c r="B12" s="28"/>
      <c r="C12" s="28">
        <v>390000</v>
      </c>
      <c r="D12" s="28">
        <v>390000</v>
      </c>
      <c r="E12" s="28">
        <v>195000</v>
      </c>
    </row>
    <row r="13" spans="1:5" x14ac:dyDescent="0.2">
      <c r="A13" s="92" t="s">
        <v>44</v>
      </c>
      <c r="B13" s="28"/>
      <c r="C13" s="28">
        <f>-$B$1*C12</f>
        <v>-85800</v>
      </c>
      <c r="D13" s="28">
        <f t="shared" ref="D13:E13" si="0">-$B$1*D12</f>
        <v>-85800</v>
      </c>
      <c r="E13" s="28">
        <f t="shared" si="0"/>
        <v>-42900</v>
      </c>
    </row>
    <row r="14" spans="1:5" x14ac:dyDescent="0.2">
      <c r="A14" s="92" t="s">
        <v>47</v>
      </c>
      <c r="B14" s="41">
        <f>B6</f>
        <v>-900000</v>
      </c>
      <c r="C14" s="2"/>
      <c r="D14" s="2"/>
      <c r="E14" s="41">
        <f>E6</f>
        <v>383000</v>
      </c>
    </row>
    <row r="15" spans="1:5" x14ac:dyDescent="0.2">
      <c r="A15" s="92" t="s">
        <v>50</v>
      </c>
      <c r="B15" s="28">
        <f>-B14*B2*B1/(B2+B21)</f>
        <v>136551.72413793101</v>
      </c>
      <c r="C15" s="2"/>
      <c r="D15" s="2"/>
      <c r="E15" s="2"/>
    </row>
    <row r="16" spans="1:5" x14ac:dyDescent="0.2">
      <c r="A16" s="93" t="s">
        <v>51</v>
      </c>
      <c r="B16" s="29">
        <f>-E14*B1*B2/((1+B21)^3*(B2+B21))</f>
        <v>-44871.84829651397</v>
      </c>
      <c r="C16" s="3"/>
      <c r="D16" s="3"/>
      <c r="E16" s="3"/>
    </row>
    <row r="17" spans="1:5" x14ac:dyDescent="0.2">
      <c r="A17" s="94" t="s">
        <v>52</v>
      </c>
      <c r="B17" s="44">
        <f>SUM(B12:B16)</f>
        <v>-808320.124158583</v>
      </c>
      <c r="C17" s="44">
        <f>SUM(C12:C16)</f>
        <v>304200</v>
      </c>
      <c r="D17" s="44">
        <f>SUM(D12:D16)</f>
        <v>304200</v>
      </c>
      <c r="E17" s="44">
        <f>SUM(E12:E16)</f>
        <v>535100</v>
      </c>
    </row>
    <row r="19" spans="1:5" x14ac:dyDescent="0.2">
      <c r="A19" s="95" t="s">
        <v>53</v>
      </c>
      <c r="B19" s="72">
        <f>NPV(B21,C17:E17)+B17</f>
        <v>139996.87878111936</v>
      </c>
    </row>
    <row r="21" spans="1:5" x14ac:dyDescent="0.2">
      <c r="A21" s="96" t="s">
        <v>54</v>
      </c>
      <c r="B21" s="73">
        <v>0.09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4"/>
  <sheetViews>
    <sheetView workbookViewId="0">
      <selection activeCell="J34" sqref="J34"/>
    </sheetView>
  </sheetViews>
  <sheetFormatPr baseColWidth="10" defaultColWidth="9.140625" defaultRowHeight="12.75" x14ac:dyDescent="0.2"/>
  <cols>
    <col min="1" max="1" width="29.85546875" customWidth="1"/>
    <col min="2" max="2" width="10.7109375" customWidth="1"/>
    <col min="3" max="3" width="10.140625" customWidth="1"/>
    <col min="4" max="4" width="10.42578125" customWidth="1"/>
    <col min="5" max="5" width="10.28515625" customWidth="1"/>
  </cols>
  <sheetData>
    <row r="1" spans="1:8" x14ac:dyDescent="0.2">
      <c r="A1" s="74" t="s">
        <v>44</v>
      </c>
      <c r="B1" s="75">
        <v>0.22</v>
      </c>
    </row>
    <row r="2" spans="1:8" x14ac:dyDescent="0.2">
      <c r="A2" s="144" t="s">
        <v>45</v>
      </c>
      <c r="B2" s="146">
        <v>0.2</v>
      </c>
    </row>
    <row r="3" spans="1:8" x14ac:dyDescent="0.2">
      <c r="A3" s="145" t="s">
        <v>93</v>
      </c>
      <c r="B3" s="146">
        <v>0.1</v>
      </c>
    </row>
    <row r="4" spans="1:8" x14ac:dyDescent="0.2">
      <c r="A4" s="145" t="s">
        <v>7</v>
      </c>
      <c r="B4" s="146">
        <v>0.1</v>
      </c>
    </row>
    <row r="5" spans="1:8" x14ac:dyDescent="0.2">
      <c r="A5" s="101" t="s">
        <v>26</v>
      </c>
      <c r="B5" s="147">
        <v>1200000</v>
      </c>
    </row>
    <row r="7" spans="1:8" x14ac:dyDescent="0.2">
      <c r="A7" s="86" t="s">
        <v>0</v>
      </c>
      <c r="B7" s="45">
        <v>0</v>
      </c>
      <c r="C7" s="45">
        <v>1</v>
      </c>
      <c r="D7" s="45">
        <v>2</v>
      </c>
      <c r="E7" s="45">
        <v>3</v>
      </c>
    </row>
    <row r="8" spans="1:8" x14ac:dyDescent="0.2">
      <c r="A8" s="97" t="s">
        <v>88</v>
      </c>
      <c r="B8" s="47">
        <v>-3000000</v>
      </c>
      <c r="C8" s="47">
        <f>B5*(1+B4)</f>
        <v>1320000</v>
      </c>
      <c r="D8" s="47">
        <f>C8*(1+$B$4)</f>
        <v>1452000.0000000002</v>
      </c>
      <c r="E8" s="47">
        <f>D8*(1+$B$4)</f>
        <v>1597200.0000000005</v>
      </c>
    </row>
    <row r="10" spans="1:8" x14ac:dyDescent="0.2">
      <c r="A10" s="90" t="s">
        <v>39</v>
      </c>
      <c r="B10" s="46">
        <f>IRR(B8:E8)</f>
        <v>0.20671128314359999</v>
      </c>
      <c r="G10" s="148" t="s">
        <v>86</v>
      </c>
      <c r="H10" s="149"/>
    </row>
    <row r="11" spans="1:8" x14ac:dyDescent="0.2">
      <c r="G11" s="149"/>
      <c r="H11" s="149"/>
    </row>
    <row r="12" spans="1:8" x14ac:dyDescent="0.2">
      <c r="A12" s="91" t="s">
        <v>0</v>
      </c>
      <c r="B12" s="45">
        <v>0</v>
      </c>
      <c r="C12" s="45">
        <v>1</v>
      </c>
      <c r="D12" s="45">
        <v>2</v>
      </c>
      <c r="E12" s="45">
        <v>3</v>
      </c>
      <c r="G12" s="149"/>
      <c r="H12" s="149"/>
    </row>
    <row r="13" spans="1:8" x14ac:dyDescent="0.2">
      <c r="A13" s="98" t="s">
        <v>89</v>
      </c>
      <c r="B13" s="47">
        <v>-3000000</v>
      </c>
      <c r="C13" s="47">
        <v>1200000</v>
      </c>
      <c r="D13" s="47">
        <v>1200000</v>
      </c>
      <c r="E13" s="47">
        <v>1200000</v>
      </c>
      <c r="G13" s="148" t="s">
        <v>87</v>
      </c>
      <c r="H13" s="149"/>
    </row>
    <row r="14" spans="1:8" x14ac:dyDescent="0.2">
      <c r="G14" s="149"/>
      <c r="H14" s="149"/>
    </row>
    <row r="15" spans="1:8" x14ac:dyDescent="0.2">
      <c r="A15" s="136" t="s">
        <v>90</v>
      </c>
      <c r="B15" s="79">
        <f>IRR(B13:E13)</f>
        <v>9.7010257403272959E-2</v>
      </c>
      <c r="G15" s="148"/>
      <c r="H15" s="149"/>
    </row>
    <row r="16" spans="1:8" x14ac:dyDescent="0.2">
      <c r="A16" s="134" t="s">
        <v>91</v>
      </c>
      <c r="B16" s="150">
        <f>(B10-B4)/(1+B4)</f>
        <v>9.7010257403272709E-2</v>
      </c>
      <c r="G16" s="149"/>
      <c r="H16" s="149"/>
    </row>
    <row r="17" spans="1:8" x14ac:dyDescent="0.2">
      <c r="G17" s="149"/>
      <c r="H17" s="149"/>
    </row>
    <row r="18" spans="1:8" x14ac:dyDescent="0.2">
      <c r="G18" s="149"/>
      <c r="H18" s="149"/>
    </row>
    <row r="19" spans="1:8" x14ac:dyDescent="0.2">
      <c r="A19" s="125" t="s">
        <v>23</v>
      </c>
      <c r="B19" s="128">
        <v>2200000</v>
      </c>
      <c r="C19" s="152">
        <v>0.1</v>
      </c>
      <c r="G19" s="149"/>
      <c r="H19" s="149"/>
    </row>
    <row r="20" spans="1:8" x14ac:dyDescent="0.2">
      <c r="A20" s="126" t="s">
        <v>55</v>
      </c>
      <c r="B20" s="129">
        <v>400000</v>
      </c>
      <c r="C20" s="153">
        <v>0.1</v>
      </c>
      <c r="G20" s="149"/>
      <c r="H20" s="149"/>
    </row>
    <row r="21" spans="1:8" x14ac:dyDescent="0.2">
      <c r="A21" s="126" t="s">
        <v>56</v>
      </c>
      <c r="B21" s="129">
        <v>500000</v>
      </c>
      <c r="C21" s="153">
        <v>0.05</v>
      </c>
      <c r="G21" s="149"/>
      <c r="H21" s="149"/>
    </row>
    <row r="22" spans="1:8" x14ac:dyDescent="0.2">
      <c r="A22" s="127" t="s">
        <v>57</v>
      </c>
      <c r="B22" s="130">
        <v>100000</v>
      </c>
      <c r="C22" s="154">
        <v>0.1</v>
      </c>
      <c r="G22" s="149"/>
      <c r="H22" s="149"/>
    </row>
    <row r="23" spans="1:8" x14ac:dyDescent="0.2">
      <c r="G23" s="149"/>
      <c r="H23" s="149"/>
    </row>
    <row r="24" spans="1:8" x14ac:dyDescent="0.2">
      <c r="A24" s="86" t="s">
        <v>0</v>
      </c>
      <c r="B24" s="45">
        <v>0</v>
      </c>
      <c r="C24" s="45">
        <v>1</v>
      </c>
      <c r="D24" s="45">
        <v>2</v>
      </c>
      <c r="E24" s="45">
        <v>3</v>
      </c>
      <c r="G24" s="149"/>
      <c r="H24" s="149"/>
    </row>
    <row r="25" spans="1:8" x14ac:dyDescent="0.2">
      <c r="A25" s="131" t="s">
        <v>23</v>
      </c>
      <c r="B25" s="129"/>
      <c r="C25" s="129">
        <f>$B$19*(1+$C$19)^C24</f>
        <v>2420000</v>
      </c>
      <c r="D25" s="129">
        <f>$B$19*(1+$C$19)^D24</f>
        <v>2662000.0000000005</v>
      </c>
      <c r="E25" s="129">
        <f>$B$19*(1+$C$19)^E24</f>
        <v>2928200.0000000009</v>
      </c>
      <c r="G25" s="149"/>
      <c r="H25" s="149"/>
    </row>
    <row r="26" spans="1:8" x14ac:dyDescent="0.2">
      <c r="A26" s="131" t="s">
        <v>58</v>
      </c>
      <c r="B26" s="132"/>
      <c r="C26" s="133">
        <f>-$B$20*(1+$C$20)^C24</f>
        <v>-440000.00000000006</v>
      </c>
      <c r="D26" s="133">
        <f>-$B$20*(1+$C$20)^D24</f>
        <v>-484000.00000000006</v>
      </c>
      <c r="E26" s="133">
        <f>-$B$20*(1+$C$20)^E24</f>
        <v>-532400.00000000012</v>
      </c>
      <c r="G26" s="149"/>
      <c r="H26" s="149"/>
    </row>
    <row r="27" spans="1:8" x14ac:dyDescent="0.2">
      <c r="A27" s="131" t="s">
        <v>59</v>
      </c>
      <c r="B27" s="132"/>
      <c r="C27" s="133">
        <f>-$B$21*(1+$C$21)^C24</f>
        <v>-525000</v>
      </c>
      <c r="D27" s="133">
        <f>-$B$21*(1+$C$21)^D24</f>
        <v>-551250</v>
      </c>
      <c r="E27" s="133">
        <f>-$B$21*(1+$C$21)^E24</f>
        <v>-578812.50000000012</v>
      </c>
      <c r="G27" s="149"/>
      <c r="H27" s="149"/>
    </row>
    <row r="28" spans="1:8" x14ac:dyDescent="0.2">
      <c r="A28" s="131" t="s">
        <v>57</v>
      </c>
      <c r="B28" s="132"/>
      <c r="C28" s="133">
        <f>-$B$22*(1+$C$22)^C24</f>
        <v>-110000.00000000001</v>
      </c>
      <c r="D28" s="133">
        <f>-$B$22*(1+$C$22)^D24</f>
        <v>-121000.00000000001</v>
      </c>
      <c r="E28" s="133">
        <f>-$B$22*(1+$C$22)^E24</f>
        <v>-133100.00000000003</v>
      </c>
      <c r="G28" s="149"/>
      <c r="H28" s="149"/>
    </row>
    <row r="29" spans="1:8" x14ac:dyDescent="0.2">
      <c r="A29" s="134" t="s">
        <v>18</v>
      </c>
      <c r="B29" s="130">
        <f>B13</f>
        <v>-3000000</v>
      </c>
      <c r="C29" s="135"/>
      <c r="D29" s="135"/>
      <c r="E29" s="135"/>
      <c r="G29" s="149"/>
      <c r="H29" s="149"/>
    </row>
    <row r="30" spans="1:8" x14ac:dyDescent="0.2">
      <c r="A30" s="101" t="s">
        <v>88</v>
      </c>
      <c r="B30" s="47">
        <f>SUM(B25:B29)</f>
        <v>-3000000</v>
      </c>
      <c r="C30" s="47">
        <f>SUM(C25:C29)</f>
        <v>1345000</v>
      </c>
      <c r="D30" s="47">
        <f>SUM(D25:D29)</f>
        <v>1505750.0000000005</v>
      </c>
      <c r="E30" s="47">
        <f>SUM(E25:E29)</f>
        <v>1683887.5000000009</v>
      </c>
      <c r="G30" s="149"/>
      <c r="H30" s="149"/>
    </row>
    <row r="31" spans="1:8" x14ac:dyDescent="0.2">
      <c r="G31" s="149"/>
      <c r="H31" s="149"/>
    </row>
    <row r="32" spans="1:8" x14ac:dyDescent="0.2">
      <c r="A32" s="90" t="s">
        <v>39</v>
      </c>
      <c r="B32" s="42">
        <f>IRR(B30:E30)</f>
        <v>0.22865843383807549</v>
      </c>
      <c r="G32" s="151" t="s">
        <v>92</v>
      </c>
      <c r="H32" s="149"/>
    </row>
    <row r="33" spans="1:8" x14ac:dyDescent="0.2">
      <c r="G33" s="149"/>
      <c r="H33" s="149"/>
    </row>
    <row r="34" spans="1:8" x14ac:dyDescent="0.2">
      <c r="G34" s="149"/>
      <c r="H34" s="149"/>
    </row>
    <row r="35" spans="1:8" x14ac:dyDescent="0.2">
      <c r="A35" s="136" t="s">
        <v>23</v>
      </c>
      <c r="B35" s="128">
        <v>2200000</v>
      </c>
      <c r="C35" s="152">
        <v>0.1</v>
      </c>
      <c r="G35" s="149"/>
      <c r="H35" s="149"/>
    </row>
    <row r="36" spans="1:8" x14ac:dyDescent="0.2">
      <c r="A36" s="131" t="s">
        <v>55</v>
      </c>
      <c r="B36" s="129">
        <v>400000</v>
      </c>
      <c r="C36" s="153">
        <v>0.1</v>
      </c>
      <c r="G36" s="149"/>
      <c r="H36" s="149"/>
    </row>
    <row r="37" spans="1:8" x14ac:dyDescent="0.2">
      <c r="A37" s="131" t="s">
        <v>56</v>
      </c>
      <c r="B37" s="129">
        <v>500000</v>
      </c>
      <c r="C37" s="153">
        <v>0.1</v>
      </c>
      <c r="G37" s="149"/>
      <c r="H37" s="149"/>
    </row>
    <row r="38" spans="1:8" x14ac:dyDescent="0.2">
      <c r="A38" s="134" t="s">
        <v>57</v>
      </c>
      <c r="B38" s="130">
        <v>100000</v>
      </c>
      <c r="C38" s="154">
        <v>0.1</v>
      </c>
      <c r="G38" s="149"/>
      <c r="H38" s="149"/>
    </row>
    <row r="39" spans="1:8" x14ac:dyDescent="0.2">
      <c r="G39" s="149"/>
      <c r="H39" s="149"/>
    </row>
    <row r="40" spans="1:8" x14ac:dyDescent="0.2">
      <c r="A40" s="102" t="s">
        <v>0</v>
      </c>
      <c r="B40" s="43">
        <v>0</v>
      </c>
      <c r="C40" s="43">
        <v>1</v>
      </c>
      <c r="D40" s="43">
        <v>2</v>
      </c>
      <c r="E40" s="43">
        <v>3</v>
      </c>
      <c r="G40" s="149"/>
      <c r="H40" s="149"/>
    </row>
    <row r="41" spans="1:8" x14ac:dyDescent="0.2">
      <c r="A41" s="122" t="s">
        <v>23</v>
      </c>
      <c r="B41" s="137"/>
      <c r="C41" s="137">
        <f>$B$19*(1+$C$19)^C40</f>
        <v>2420000</v>
      </c>
      <c r="D41" s="137">
        <f>$B$19*(1+$C$19)^D40</f>
        <v>2662000.0000000005</v>
      </c>
      <c r="E41" s="128">
        <f>$B$19*(1+$C$19)^E40</f>
        <v>2928200.0000000009</v>
      </c>
      <c r="G41" s="149"/>
      <c r="H41" s="149"/>
    </row>
    <row r="42" spans="1:8" x14ac:dyDescent="0.2">
      <c r="A42" s="123" t="s">
        <v>58</v>
      </c>
      <c r="B42" s="138"/>
      <c r="C42" s="139">
        <f>-$B$20*(1+$C$20)^C40</f>
        <v>-440000.00000000006</v>
      </c>
      <c r="D42" s="139">
        <f>-$B$20*(1+$C$20)^D40</f>
        <v>-484000.00000000006</v>
      </c>
      <c r="E42" s="133">
        <f>-$B$20*(1+$C$20)^E40</f>
        <v>-532400.00000000012</v>
      </c>
      <c r="G42" s="149"/>
      <c r="H42" s="149"/>
    </row>
    <row r="43" spans="1:8" x14ac:dyDescent="0.2">
      <c r="A43" s="123" t="s">
        <v>59</v>
      </c>
      <c r="B43" s="138"/>
      <c r="C43" s="139">
        <f>-$B$21*(1+$C$37)^C40</f>
        <v>-550000</v>
      </c>
      <c r="D43" s="139">
        <f>-$B$21*(1+$C$37)^D40</f>
        <v>-605000.00000000012</v>
      </c>
      <c r="E43" s="133">
        <f>-$B$21*(1+$C$37)^E40</f>
        <v>-665500.00000000023</v>
      </c>
      <c r="G43" s="149"/>
      <c r="H43" s="149"/>
    </row>
    <row r="44" spans="1:8" x14ac:dyDescent="0.2">
      <c r="A44" s="124" t="s">
        <v>57</v>
      </c>
      <c r="B44" s="140"/>
      <c r="C44" s="141">
        <f>-$B$22*(1+$C$22)^C40</f>
        <v>-110000.00000000001</v>
      </c>
      <c r="D44" s="141">
        <f>-$B$22*(1+$C$22)^D40</f>
        <v>-121000.00000000001</v>
      </c>
      <c r="E44" s="142">
        <f>-$B$22*(1+$C$22)^E40</f>
        <v>-133100.00000000003</v>
      </c>
      <c r="G44" s="149"/>
      <c r="H44" s="149"/>
    </row>
    <row r="45" spans="1:8" x14ac:dyDescent="0.2">
      <c r="A45" s="123" t="s">
        <v>60</v>
      </c>
      <c r="B45" s="138"/>
      <c r="C45" s="139">
        <f>SUM(C41:C44)</f>
        <v>1320000</v>
      </c>
      <c r="D45" s="139">
        <f>SUM(D41:D44)</f>
        <v>1452000.0000000005</v>
      </c>
      <c r="E45" s="133">
        <f>SUM(E41:E44)</f>
        <v>1597200.0000000007</v>
      </c>
      <c r="G45" s="149"/>
      <c r="H45" s="149"/>
    </row>
    <row r="46" spans="1:8" x14ac:dyDescent="0.2">
      <c r="A46" s="123" t="s">
        <v>44</v>
      </c>
      <c r="B46" s="138"/>
      <c r="C46" s="139">
        <f>-$B$1*C45</f>
        <v>-290400</v>
      </c>
      <c r="D46" s="139">
        <f t="shared" ref="D46:E46" si="0">-$B$1*D45</f>
        <v>-319440.00000000012</v>
      </c>
      <c r="E46" s="139">
        <f t="shared" si="0"/>
        <v>-351384.00000000017</v>
      </c>
      <c r="G46" s="149"/>
      <c r="H46" s="149"/>
    </row>
    <row r="47" spans="1:8" x14ac:dyDescent="0.2">
      <c r="A47" s="123" t="s">
        <v>61</v>
      </c>
      <c r="B47" s="139">
        <f>-B48*B2*B1/(B2+B3)</f>
        <v>439999.99999999994</v>
      </c>
      <c r="C47" s="139"/>
      <c r="D47" s="139"/>
      <c r="E47" s="133"/>
      <c r="G47" s="149"/>
      <c r="H47" s="149"/>
    </row>
    <row r="48" spans="1:8" x14ac:dyDescent="0.2">
      <c r="A48" s="124" t="s">
        <v>18</v>
      </c>
      <c r="B48" s="143">
        <f>B30</f>
        <v>-3000000</v>
      </c>
      <c r="C48" s="140"/>
      <c r="D48" s="140"/>
      <c r="E48" s="135"/>
      <c r="G48" s="149"/>
      <c r="H48" s="149"/>
    </row>
    <row r="49" spans="1:8" x14ac:dyDescent="0.2">
      <c r="A49" s="101" t="s">
        <v>48</v>
      </c>
      <c r="B49" s="47">
        <f>SUM(B41:B48)</f>
        <v>-2560000</v>
      </c>
      <c r="C49" s="47">
        <f>SUM(C45:C48)</f>
        <v>1029600</v>
      </c>
      <c r="D49" s="47">
        <f>SUM(D45:D48)</f>
        <v>1132560.0000000005</v>
      </c>
      <c r="E49" s="47">
        <f>SUM(E45:E48)</f>
        <v>1245816.0000000005</v>
      </c>
      <c r="G49" s="149"/>
      <c r="H49" s="149"/>
    </row>
    <row r="50" spans="1:8" x14ac:dyDescent="0.2">
      <c r="G50" s="149"/>
      <c r="H50" s="149"/>
    </row>
    <row r="51" spans="1:8" x14ac:dyDescent="0.2">
      <c r="A51" s="90" t="s">
        <v>53</v>
      </c>
      <c r="B51" s="49">
        <f>NPV(B3,C49:E49)+B49</f>
        <v>248000.00000000047</v>
      </c>
      <c r="G51" s="149"/>
      <c r="H51" s="149"/>
    </row>
    <row r="52" spans="1:8" x14ac:dyDescent="0.2">
      <c r="G52" s="149"/>
      <c r="H52" s="149"/>
    </row>
    <row r="53" spans="1:8" x14ac:dyDescent="0.2">
      <c r="G53" s="149"/>
      <c r="H53" s="149"/>
    </row>
    <row r="54" spans="1:8" x14ac:dyDescent="0.2">
      <c r="G54" s="149"/>
      <c r="H54" s="149"/>
    </row>
  </sheetData>
  <pageMargins left="0.7" right="0.7" top="0.75" bottom="0.75" header="0.3" footer="0.3"/>
  <pageSetup paperSize="9" orientation="portrait" r:id="rId1"/>
  <ignoredErrors>
    <ignoredError sqref="C49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2"/>
  <sheetViews>
    <sheetView workbookViewId="0">
      <selection activeCell="C27" sqref="C27"/>
    </sheetView>
  </sheetViews>
  <sheetFormatPr baseColWidth="10" defaultColWidth="9.140625" defaultRowHeight="12.75" x14ac:dyDescent="0.2"/>
  <cols>
    <col min="1" max="1" width="24.140625" bestFit="1" customWidth="1"/>
    <col min="2" max="2" width="13.5703125" bestFit="1" customWidth="1"/>
    <col min="3" max="3" width="12.85546875" bestFit="1" customWidth="1"/>
    <col min="4" max="5" width="10.28515625" bestFit="1" customWidth="1"/>
    <col min="6" max="6" width="10.85546875" bestFit="1" customWidth="1"/>
  </cols>
  <sheetData>
    <row r="1" spans="1:6" x14ac:dyDescent="0.2">
      <c r="A1" s="103" t="s">
        <v>62</v>
      </c>
      <c r="B1" s="51">
        <v>3600000</v>
      </c>
    </row>
    <row r="2" spans="1:6" x14ac:dyDescent="0.2">
      <c r="A2" s="103" t="s">
        <v>63</v>
      </c>
      <c r="B2" s="52">
        <v>0.05</v>
      </c>
    </row>
    <row r="3" spans="1:6" x14ac:dyDescent="0.2">
      <c r="A3" s="103" t="s">
        <v>64</v>
      </c>
      <c r="B3" s="53">
        <v>600000</v>
      </c>
    </row>
    <row r="4" spans="1:6" x14ac:dyDescent="0.2">
      <c r="A4" s="103" t="s">
        <v>63</v>
      </c>
      <c r="B4" s="52">
        <v>0.02</v>
      </c>
    </row>
    <row r="5" spans="1:6" x14ac:dyDescent="0.2">
      <c r="A5" s="103" t="s">
        <v>65</v>
      </c>
      <c r="B5" s="52">
        <v>0.02</v>
      </c>
    </row>
    <row r="6" spans="1:6" x14ac:dyDescent="0.2">
      <c r="A6" s="103" t="s">
        <v>21</v>
      </c>
      <c r="B6" s="54">
        <v>0.1</v>
      </c>
    </row>
    <row r="7" spans="1:6" x14ac:dyDescent="0.2">
      <c r="A7" s="103" t="s">
        <v>66</v>
      </c>
      <c r="B7" s="54">
        <f>B6*(1+B5)+B5</f>
        <v>0.12200000000000001</v>
      </c>
    </row>
    <row r="8" spans="1:6" x14ac:dyDescent="0.2">
      <c r="A8" s="103" t="s">
        <v>6</v>
      </c>
      <c r="B8" s="52">
        <v>0.22</v>
      </c>
    </row>
    <row r="9" spans="1:6" x14ac:dyDescent="0.2">
      <c r="A9" s="104" t="s">
        <v>45</v>
      </c>
      <c r="B9" s="55">
        <v>0.2</v>
      </c>
    </row>
    <row r="11" spans="1:6" x14ac:dyDescent="0.2">
      <c r="A11" s="86" t="s">
        <v>0</v>
      </c>
      <c r="B11" s="45">
        <v>0</v>
      </c>
      <c r="C11" s="45">
        <v>1</v>
      </c>
      <c r="D11" s="45">
        <v>2</v>
      </c>
      <c r="E11" s="45">
        <v>3</v>
      </c>
      <c r="F11" s="45">
        <v>4</v>
      </c>
    </row>
    <row r="12" spans="1:6" x14ac:dyDescent="0.2">
      <c r="A12" s="99" t="s">
        <v>32</v>
      </c>
      <c r="B12" s="28">
        <v>-8000000</v>
      </c>
      <c r="C12" s="28"/>
      <c r="D12" s="28"/>
      <c r="E12" s="28"/>
      <c r="F12" s="28"/>
    </row>
    <row r="13" spans="1:6" x14ac:dyDescent="0.2">
      <c r="A13" s="99" t="s">
        <v>62</v>
      </c>
      <c r="B13" s="28"/>
      <c r="C13" s="28">
        <f>$B$1*(1+$B$2)^C11</f>
        <v>3780000</v>
      </c>
      <c r="D13" s="28">
        <f>$B$1*(1+$B$2)^D11</f>
        <v>3969000</v>
      </c>
      <c r="E13" s="28">
        <f>$B$1*(1+$B$2)^E11</f>
        <v>4167450.0000000005</v>
      </c>
      <c r="F13" s="28">
        <f>$B$1*(1+$B$2)^F11</f>
        <v>4375822.5</v>
      </c>
    </row>
    <row r="14" spans="1:6" x14ac:dyDescent="0.2">
      <c r="A14" s="3" t="str">
        <f>A3</f>
        <v>Andre kostnader</v>
      </c>
      <c r="B14" s="29"/>
      <c r="C14" s="29">
        <f>-$B$3*(1+$B$4)^C11</f>
        <v>-612000</v>
      </c>
      <c r="D14" s="29">
        <f>-$B$3*(1+$B$4)^D11</f>
        <v>-624240</v>
      </c>
      <c r="E14" s="29">
        <f>-$B$3*(1+$B$4)^E11</f>
        <v>-636724.79999999993</v>
      </c>
      <c r="F14" s="29">
        <f>-$B$3*(1+$B$4)^F11</f>
        <v>-649459.29599999997</v>
      </c>
    </row>
    <row r="15" spans="1:6" x14ac:dyDescent="0.2">
      <c r="A15" s="99" t="s">
        <v>48</v>
      </c>
      <c r="B15" s="28">
        <f>B12</f>
        <v>-8000000</v>
      </c>
      <c r="C15" s="28">
        <f>SUM(C13:C14)</f>
        <v>3168000</v>
      </c>
      <c r="D15" s="28">
        <f>SUM(D13:D14)</f>
        <v>3344760</v>
      </c>
      <c r="E15" s="28">
        <f>SUM(E13:E14)</f>
        <v>3530725.2000000007</v>
      </c>
      <c r="F15" s="28">
        <f>SUM(F13:F14)</f>
        <v>3726363.2039999999</v>
      </c>
    </row>
    <row r="16" spans="1:6" x14ac:dyDescent="0.2">
      <c r="A16" s="2" t="s">
        <v>44</v>
      </c>
      <c r="B16" s="28"/>
      <c r="C16" s="28">
        <f>-$B$8*C15</f>
        <v>-696960</v>
      </c>
      <c r="D16" s="28">
        <f>-$B$8*D15</f>
        <v>-735847.2</v>
      </c>
      <c r="E16" s="28">
        <f>-$B$8*E15</f>
        <v>-776759.54400000011</v>
      </c>
      <c r="F16" s="28">
        <f>-$B$8*F15</f>
        <v>-819799.90487999993</v>
      </c>
    </row>
    <row r="17" spans="1:6" x14ac:dyDescent="0.2">
      <c r="A17" s="3" t="s">
        <v>50</v>
      </c>
      <c r="B17" s="29">
        <f>-B12*B9*B8/(B7+B9)</f>
        <v>1093167.7018633541</v>
      </c>
      <c r="C17" s="29"/>
      <c r="D17" s="29"/>
      <c r="E17" s="29"/>
      <c r="F17" s="29"/>
    </row>
    <row r="18" spans="1:6" x14ac:dyDescent="0.2">
      <c r="A18" s="76" t="s">
        <v>52</v>
      </c>
      <c r="B18" s="105">
        <f>SUM(B15:B17)</f>
        <v>-6906832.2981366459</v>
      </c>
      <c r="C18" s="105">
        <f>SUM(C15:C17)</f>
        <v>2471040</v>
      </c>
      <c r="D18" s="105">
        <f>SUM(D15:D17)</f>
        <v>2608912.7999999998</v>
      </c>
      <c r="E18" s="105">
        <f>SUM(E15:E17)</f>
        <v>2753965.6560000004</v>
      </c>
      <c r="F18" s="105">
        <f>SUM(F15:F17)</f>
        <v>2906563.2991200001</v>
      </c>
    </row>
    <row r="19" spans="1:6" x14ac:dyDescent="0.2">
      <c r="B19" s="50"/>
      <c r="C19" s="50"/>
      <c r="D19" s="50"/>
      <c r="E19" s="50"/>
      <c r="F19" s="50"/>
    </row>
    <row r="20" spans="1:6" x14ac:dyDescent="0.2">
      <c r="A20" s="106" t="s">
        <v>67</v>
      </c>
      <c r="B20" s="155">
        <f>IRR(B15:F15)</f>
        <v>0.25062040872463354</v>
      </c>
      <c r="C20" s="50"/>
      <c r="D20" s="50"/>
      <c r="E20" s="50"/>
      <c r="F20" s="50"/>
    </row>
    <row r="21" spans="1:6" x14ac:dyDescent="0.2">
      <c r="A21" s="107" t="s">
        <v>40</v>
      </c>
      <c r="B21" s="156">
        <f>(B20-B5)/(1+B5)</f>
        <v>0.22609843992611131</v>
      </c>
      <c r="C21" s="50"/>
      <c r="D21" s="50"/>
      <c r="E21" s="50"/>
      <c r="F21" s="50"/>
    </row>
    <row r="22" spans="1:6" x14ac:dyDescent="0.2">
      <c r="A22" s="108" t="s">
        <v>53</v>
      </c>
      <c r="B22" s="157">
        <f>NPV(B7,C18:F18)+B18</f>
        <v>1151714.61145538</v>
      </c>
      <c r="C22" s="50"/>
      <c r="D22" s="50"/>
      <c r="E22" s="50"/>
      <c r="F22" s="50"/>
    </row>
  </sheetData>
  <pageMargins left="0.7" right="0.7" top="0.75" bottom="0.75" header="0.3" footer="0.3"/>
  <pageSetup paperSize="9" orientation="portrait" r:id="rId1"/>
  <ignoredErrors>
    <ignoredError sqref="C18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28"/>
  <sheetViews>
    <sheetView tabSelected="1" workbookViewId="0">
      <selection activeCell="L13" sqref="L13"/>
    </sheetView>
  </sheetViews>
  <sheetFormatPr baseColWidth="10" defaultColWidth="9.140625" defaultRowHeight="12.75" x14ac:dyDescent="0.2"/>
  <cols>
    <col min="1" max="1" width="34.5703125" bestFit="1" customWidth="1"/>
    <col min="2" max="2" width="12.140625" customWidth="1"/>
    <col min="3" max="3" width="13.28515625" customWidth="1"/>
  </cols>
  <sheetData>
    <row r="1" spans="1:3" x14ac:dyDescent="0.2">
      <c r="A1" s="86" t="s">
        <v>0</v>
      </c>
      <c r="B1" s="45">
        <v>0</v>
      </c>
      <c r="C1" s="109" t="s">
        <v>68</v>
      </c>
    </row>
    <row r="2" spans="1:3" x14ac:dyDescent="0.2">
      <c r="A2" s="99" t="s">
        <v>69</v>
      </c>
      <c r="B2" s="41">
        <v>-60000000</v>
      </c>
      <c r="C2" s="2"/>
    </row>
    <row r="3" spans="1:3" x14ac:dyDescent="0.2">
      <c r="A3" s="99" t="s">
        <v>70</v>
      </c>
      <c r="B3" s="2"/>
      <c r="C3" s="41">
        <v>16640000</v>
      </c>
    </row>
    <row r="4" spans="1:3" x14ac:dyDescent="0.2">
      <c r="A4" s="99" t="s">
        <v>71</v>
      </c>
      <c r="B4" s="2"/>
      <c r="C4" s="41">
        <v>-1120000</v>
      </c>
    </row>
    <row r="5" spans="1:3" x14ac:dyDescent="0.2">
      <c r="A5" s="99" t="s">
        <v>72</v>
      </c>
      <c r="B5" s="2"/>
      <c r="C5" s="41">
        <v>-1680000</v>
      </c>
    </row>
    <row r="6" spans="1:3" x14ac:dyDescent="0.2">
      <c r="A6" s="100" t="s">
        <v>64</v>
      </c>
      <c r="B6" s="3"/>
      <c r="C6" s="30">
        <v>-2000000</v>
      </c>
    </row>
    <row r="7" spans="1:3" x14ac:dyDescent="0.2">
      <c r="A7" s="86" t="s">
        <v>26</v>
      </c>
      <c r="B7" s="77">
        <f>SUM(B2:B6)</f>
        <v>-60000000</v>
      </c>
      <c r="C7" s="78">
        <f>SUM(C2:C6)</f>
        <v>11840000</v>
      </c>
    </row>
    <row r="9" spans="1:3" x14ac:dyDescent="0.2">
      <c r="A9" s="106" t="s">
        <v>73</v>
      </c>
      <c r="B9" s="118">
        <v>0.17</v>
      </c>
    </row>
    <row r="10" spans="1:3" x14ac:dyDescent="0.2">
      <c r="A10" s="107" t="s">
        <v>33</v>
      </c>
      <c r="B10" s="119">
        <v>3.5000000000000003E-2</v>
      </c>
    </row>
    <row r="11" spans="1:3" x14ac:dyDescent="0.2">
      <c r="A11" s="107" t="s">
        <v>74</v>
      </c>
      <c r="B11" s="120">
        <f>(B9-B10)/(1+B10)</f>
        <v>0.13043478260869568</v>
      </c>
    </row>
    <row r="12" spans="1:3" x14ac:dyDescent="0.2">
      <c r="A12" s="108" t="s">
        <v>84</v>
      </c>
      <c r="B12" s="121">
        <v>10</v>
      </c>
    </row>
    <row r="14" spans="1:3" x14ac:dyDescent="0.2">
      <c r="A14" s="86" t="s">
        <v>75</v>
      </c>
      <c r="B14" s="158">
        <f>B7+PV(B11,B12,-C7)</f>
        <v>4135238.2883872092</v>
      </c>
    </row>
    <row r="16" spans="1:3" x14ac:dyDescent="0.2">
      <c r="A16" s="86" t="s">
        <v>0</v>
      </c>
      <c r="B16" s="45">
        <v>0</v>
      </c>
      <c r="C16" s="109" t="s">
        <v>68</v>
      </c>
    </row>
    <row r="17" spans="1:3" x14ac:dyDescent="0.2">
      <c r="A17" s="99" t="s">
        <v>69</v>
      </c>
      <c r="B17" s="41">
        <v>-40000000</v>
      </c>
      <c r="C17" s="2"/>
    </row>
    <row r="18" spans="1:3" x14ac:dyDescent="0.2">
      <c r="A18" s="99" t="s">
        <v>70</v>
      </c>
      <c r="B18" s="2"/>
      <c r="C18" s="41">
        <v>10920000</v>
      </c>
    </row>
    <row r="19" spans="1:3" x14ac:dyDescent="0.2">
      <c r="A19" s="99" t="s">
        <v>72</v>
      </c>
      <c r="B19" s="2"/>
      <c r="C19" s="41">
        <v>-1890000</v>
      </c>
    </row>
    <row r="20" spans="1:3" x14ac:dyDescent="0.2">
      <c r="A20" s="100" t="s">
        <v>64</v>
      </c>
      <c r="B20" s="3"/>
      <c r="C20" s="30">
        <v>-600000</v>
      </c>
    </row>
    <row r="21" spans="1:3" x14ac:dyDescent="0.2">
      <c r="A21" s="110" t="s">
        <v>26</v>
      </c>
      <c r="B21" s="77">
        <f>SUM(B17:B20)</f>
        <v>-40000000</v>
      </c>
      <c r="C21" s="77">
        <f>SUM(C17:C20)</f>
        <v>8430000</v>
      </c>
    </row>
    <row r="23" spans="1:3" x14ac:dyDescent="0.2">
      <c r="A23" s="122" t="s">
        <v>82</v>
      </c>
      <c r="B23" s="118">
        <v>0.16</v>
      </c>
    </row>
    <row r="24" spans="1:3" x14ac:dyDescent="0.2">
      <c r="A24" s="123" t="s">
        <v>33</v>
      </c>
      <c r="B24" s="119">
        <v>3.5000000000000003E-2</v>
      </c>
    </row>
    <row r="25" spans="1:3" x14ac:dyDescent="0.2">
      <c r="A25" s="123" t="s">
        <v>83</v>
      </c>
      <c r="B25" s="120">
        <f>(B23-B24)/(1+B24)</f>
        <v>0.12077294685990339</v>
      </c>
    </row>
    <row r="26" spans="1:3" x14ac:dyDescent="0.2">
      <c r="A26" s="124" t="str">
        <f>A12</f>
        <v xml:space="preserve">Levetid </v>
      </c>
      <c r="B26" s="121">
        <f>B12</f>
        <v>10</v>
      </c>
    </row>
    <row r="28" spans="1:3" x14ac:dyDescent="0.2">
      <c r="A28" s="86" t="s">
        <v>76</v>
      </c>
      <c r="B28" s="158">
        <f>B21+PV(B25,B26,-C21)</f>
        <v>7481051.3129075542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Opp 1</vt:lpstr>
      <vt:lpstr>Opp 2</vt:lpstr>
      <vt:lpstr>Opp 3</vt:lpstr>
      <vt:lpstr>Opp 4</vt:lpstr>
      <vt:lpstr>Oppg 5</vt:lpstr>
      <vt:lpstr>Oppg 6</vt:lpstr>
      <vt:lpstr>Opp 7</vt:lpstr>
      <vt:lpstr>Opp 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Ivar Bredesen</dc:creator>
  <cp:keywords/>
  <dc:description/>
  <cp:lastModifiedBy>Ivar Bredesen</cp:lastModifiedBy>
  <cp:revision/>
  <dcterms:created xsi:type="dcterms:W3CDTF">2001-08-18T15:35:33Z</dcterms:created>
  <dcterms:modified xsi:type="dcterms:W3CDTF">2023-06-23T07:48:53Z</dcterms:modified>
  <cp:category/>
  <cp:contentStatus/>
</cp:coreProperties>
</file>