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w\Google Drive\Revisjon 2017\Kap 8\"/>
    </mc:Choice>
  </mc:AlternateContent>
  <xr:revisionPtr revIDLastSave="0" documentId="13_ncr:1_{99C6F1AF-2046-4220-B5D9-090ABF9C4568}" xr6:coauthVersionLast="41" xr6:coauthVersionMax="41" xr10:uidLastSave="{00000000-0000-0000-0000-000000000000}"/>
  <bookViews>
    <workbookView xWindow="-108" yWindow="-108" windowWidth="30936" windowHeight="16896" activeTab="6" xr2:uid="{00000000-000D-0000-FFFF-FFFF00000000}"/>
  </bookViews>
  <sheets>
    <sheet name="8.1" sheetId="18" r:id="rId1"/>
    <sheet name="8.2" sheetId="15" r:id="rId2"/>
    <sheet name="8.3" sheetId="14" r:id="rId3"/>
    <sheet name="8.4" sheetId="17" r:id="rId4"/>
    <sheet name="8.5" sheetId="4" r:id="rId5"/>
    <sheet name="8.6" sheetId="20" r:id="rId6"/>
    <sheet name="8.7" sheetId="16" r:id="rId7"/>
    <sheet name="8.8" sheetId="8" r:id="rId8"/>
    <sheet name="8.9" sheetId="7" r:id="rId9"/>
    <sheet name="8.10" sheetId="21" r:id="rId10"/>
    <sheet name="8.11" sheetId="9" r:id="rId11"/>
    <sheet name="8.12" sheetId="10" r:id="rId12"/>
    <sheet name="8.13" sheetId="12" r:id="rId13"/>
    <sheet name="8.14" sheetId="13" r:id="rId14"/>
    <sheet name="8.15" sheetId="26" r:id="rId15"/>
    <sheet name="8.16" sheetId="27" r:id="rId16"/>
    <sheet name="8.17" sheetId="22" r:id="rId17"/>
    <sheet name="8.18" sheetId="23" r:id="rId18"/>
    <sheet name="8.19" sheetId="25" r:id="rId19"/>
    <sheet name="8.20" sheetId="24" r:id="rId20"/>
  </sheets>
  <definedNames>
    <definedName name="BTOfortj" localSheetId="17">'8.18'!$D$4</definedName>
    <definedName name="BTOfortj">'8.17'!$D$4</definedName>
    <definedName name="Kontant">'8.18'!$D$6</definedName>
    <definedName name="Kreditt">'8.18'!$D$7</definedName>
    <definedName name="MVA" localSheetId="17">'8.18'!$D$3</definedName>
    <definedName name="MVA">'8.17'!$D$3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6" l="1"/>
  <c r="E78" i="16"/>
  <c r="F78" i="16"/>
  <c r="C78" i="16"/>
  <c r="C52" i="16"/>
  <c r="D40" i="16"/>
  <c r="C38" i="16"/>
  <c r="E9" i="16"/>
  <c r="C21" i="16"/>
  <c r="K23" i="27" l="1"/>
  <c r="K38" i="27"/>
  <c r="K31" i="27"/>
  <c r="K30" i="27"/>
  <c r="K32" i="27" s="1"/>
  <c r="K24" i="27"/>
  <c r="K22" i="27"/>
  <c r="K21" i="27"/>
  <c r="K20" i="27"/>
  <c r="K19" i="27"/>
  <c r="K18" i="27"/>
  <c r="K17" i="27"/>
  <c r="K13" i="27"/>
  <c r="K12" i="27"/>
  <c r="K14" i="27" s="1"/>
  <c r="I22" i="26"/>
  <c r="I21" i="26"/>
  <c r="I23" i="26" s="1"/>
  <c r="I15" i="26"/>
  <c r="I14" i="26"/>
  <c r="I13" i="26"/>
  <c r="I12" i="26"/>
  <c r="I9" i="26"/>
  <c r="I6" i="26"/>
  <c r="I7" i="26" s="1"/>
  <c r="I8" i="26" s="1"/>
  <c r="D15" i="25"/>
  <c r="G15" i="25"/>
  <c r="F23" i="25"/>
  <c r="F47" i="25"/>
  <c r="F56" i="25" s="1"/>
  <c r="F48" i="25"/>
  <c r="F49" i="25"/>
  <c r="F50" i="25"/>
  <c r="F51" i="25"/>
  <c r="F52" i="25"/>
  <c r="F53" i="25"/>
  <c r="F54" i="25"/>
  <c r="F55" i="25"/>
  <c r="D14" i="24"/>
  <c r="G14" i="24"/>
  <c r="F22" i="24"/>
  <c r="F27" i="24"/>
  <c r="F38" i="24"/>
  <c r="F40" i="24"/>
  <c r="F50" i="24"/>
  <c r="F51" i="24"/>
  <c r="F52" i="24"/>
  <c r="F53" i="24"/>
  <c r="F54" i="24"/>
  <c r="F55" i="24"/>
  <c r="F56" i="24"/>
  <c r="F57" i="24"/>
  <c r="F58" i="24"/>
  <c r="D19" i="23"/>
  <c r="G19" i="23"/>
  <c r="D25" i="23"/>
  <c r="D33" i="23" s="1"/>
  <c r="E25" i="23"/>
  <c r="F25" i="23"/>
  <c r="F33" i="23" s="1"/>
  <c r="F36" i="23" s="1"/>
  <c r="F78" i="23" s="1"/>
  <c r="F79" i="23" s="1"/>
  <c r="D26" i="23"/>
  <c r="E26" i="23"/>
  <c r="F26" i="23"/>
  <c r="F35" i="23" s="1"/>
  <c r="G35" i="23" s="1"/>
  <c r="D123" i="23" s="1"/>
  <c r="G27" i="23"/>
  <c r="D28" i="23"/>
  <c r="E28" i="23"/>
  <c r="E60" i="23" s="1"/>
  <c r="F28" i="23"/>
  <c r="G28" i="23"/>
  <c r="D29" i="23"/>
  <c r="E29" i="23"/>
  <c r="F29" i="23"/>
  <c r="G29" i="23"/>
  <c r="E33" i="23"/>
  <c r="D34" i="23"/>
  <c r="D35" i="23"/>
  <c r="E35" i="23"/>
  <c r="F34" i="23" s="1"/>
  <c r="D40" i="23"/>
  <c r="D42" i="23" s="1"/>
  <c r="D43" i="23" s="1"/>
  <c r="D61" i="23" s="1"/>
  <c r="D64" i="23" s="1"/>
  <c r="E40" i="23"/>
  <c r="F40" i="23"/>
  <c r="E42" i="23"/>
  <c r="E43" i="23" s="1"/>
  <c r="E61" i="23" s="1"/>
  <c r="F42" i="23"/>
  <c r="D44" i="23"/>
  <c r="E48" i="23" s="1"/>
  <c r="E82" i="23" s="1"/>
  <c r="D48" i="23"/>
  <c r="D82" i="23" s="1"/>
  <c r="G53" i="23"/>
  <c r="G55" i="23" s="1"/>
  <c r="G83" i="23" s="1"/>
  <c r="G54" i="23"/>
  <c r="D55" i="23"/>
  <c r="D83" i="23" s="1"/>
  <c r="D92" i="23" s="1"/>
  <c r="E55" i="23"/>
  <c r="F55" i="23"/>
  <c r="F83" i="23" s="1"/>
  <c r="D60" i="23"/>
  <c r="F60" i="23"/>
  <c r="G60" i="23"/>
  <c r="D63" i="23"/>
  <c r="E63" i="23"/>
  <c r="F63" i="23"/>
  <c r="G63" i="23"/>
  <c r="E69" i="23"/>
  <c r="E83" i="23"/>
  <c r="D85" i="23"/>
  <c r="E85" i="23"/>
  <c r="G85" i="23" s="1"/>
  <c r="F85" i="23"/>
  <c r="G86" i="23"/>
  <c r="G87" i="23"/>
  <c r="D89" i="23"/>
  <c r="F90" i="23"/>
  <c r="G90" i="23" s="1"/>
  <c r="E91" i="23"/>
  <c r="G91" i="23"/>
  <c r="D96" i="23"/>
  <c r="C106" i="23"/>
  <c r="D106" i="23"/>
  <c r="E106" i="23"/>
  <c r="C107" i="23"/>
  <c r="D107" i="23"/>
  <c r="C108" i="23"/>
  <c r="D108" i="23"/>
  <c r="F109" i="23"/>
  <c r="C110" i="23"/>
  <c r="D110" i="23"/>
  <c r="F89" i="23" s="1"/>
  <c r="G89" i="23" s="1"/>
  <c r="E110" i="23"/>
  <c r="F110" i="23"/>
  <c r="C111" i="23"/>
  <c r="D111" i="23"/>
  <c r="F111" i="23" s="1"/>
  <c r="E111" i="23"/>
  <c r="F112" i="23"/>
  <c r="F113" i="23"/>
  <c r="C114" i="23"/>
  <c r="D120" i="23"/>
  <c r="G120" i="23"/>
  <c r="D121" i="23"/>
  <c r="D122" i="23"/>
  <c r="G122" i="23"/>
  <c r="G125" i="23"/>
  <c r="G127" i="23"/>
  <c r="D19" i="22"/>
  <c r="H19" i="22"/>
  <c r="D25" i="22"/>
  <c r="E25" i="22"/>
  <c r="E33" i="22"/>
  <c r="F25" i="22"/>
  <c r="D26" i="22"/>
  <c r="E26" i="22"/>
  <c r="F34" i="22"/>
  <c r="F26" i="22"/>
  <c r="G34" i="22" s="1"/>
  <c r="G27" i="22"/>
  <c r="D28" i="22"/>
  <c r="D60" i="22" s="1"/>
  <c r="E28" i="22"/>
  <c r="E60" i="22" s="1"/>
  <c r="F28" i="22"/>
  <c r="F60" i="22" s="1"/>
  <c r="G28" i="22"/>
  <c r="D29" i="22"/>
  <c r="E29" i="22"/>
  <c r="F29" i="22"/>
  <c r="G29" i="22"/>
  <c r="D33" i="22"/>
  <c r="F33" i="22"/>
  <c r="F35" i="22" s="1"/>
  <c r="F78" i="22" s="1"/>
  <c r="F79" i="22" s="1"/>
  <c r="D34" i="22"/>
  <c r="E34" i="22"/>
  <c r="D117" i="22"/>
  <c r="D124" i="22" s="1"/>
  <c r="D40" i="22"/>
  <c r="D42" i="22"/>
  <c r="E40" i="22"/>
  <c r="F40" i="22"/>
  <c r="F42" i="22" s="1"/>
  <c r="F43" i="22" s="1"/>
  <c r="F61" i="22" s="1"/>
  <c r="F63" i="22" s="1"/>
  <c r="G70" i="22" s="1"/>
  <c r="E42" i="22"/>
  <c r="E43" i="22" s="1"/>
  <c r="D48" i="22"/>
  <c r="D82" i="22"/>
  <c r="D91" i="22" s="1"/>
  <c r="G53" i="22"/>
  <c r="G54" i="22"/>
  <c r="G62" i="22" s="1"/>
  <c r="D55" i="22"/>
  <c r="D83" i="22" s="1"/>
  <c r="E55" i="22"/>
  <c r="F55" i="22"/>
  <c r="F83" i="22"/>
  <c r="D62" i="22"/>
  <c r="E62" i="22"/>
  <c r="F62" i="22"/>
  <c r="E68" i="22"/>
  <c r="E71" i="22" s="1"/>
  <c r="E83" i="22"/>
  <c r="D84" i="22"/>
  <c r="E84" i="22"/>
  <c r="F84" i="22"/>
  <c r="G86" i="22"/>
  <c r="E87" i="22"/>
  <c r="G87" i="22" s="1"/>
  <c r="D88" i="22"/>
  <c r="F89" i="22"/>
  <c r="H123" i="22" s="1"/>
  <c r="G89" i="22"/>
  <c r="E90" i="22"/>
  <c r="G90" i="22" s="1"/>
  <c r="D95" i="22"/>
  <c r="G95" i="22"/>
  <c r="C101" i="22"/>
  <c r="D101" i="22"/>
  <c r="E101" i="22"/>
  <c r="D102" i="22"/>
  <c r="E102" i="22"/>
  <c r="F104" i="22"/>
  <c r="C105" i="22"/>
  <c r="D105" i="22"/>
  <c r="E105" i="22"/>
  <c r="H119" i="22" s="1"/>
  <c r="C106" i="22"/>
  <c r="D106" i="22"/>
  <c r="E106" i="22"/>
  <c r="C107" i="22"/>
  <c r="D107" i="22"/>
  <c r="E107" i="22"/>
  <c r="F107" i="22" s="1"/>
  <c r="F108" i="22"/>
  <c r="F109" i="22"/>
  <c r="F85" i="22"/>
  <c r="G85" i="22"/>
  <c r="D114" i="22"/>
  <c r="D115" i="22"/>
  <c r="D116" i="22"/>
  <c r="H116" i="22"/>
  <c r="H122" i="22"/>
  <c r="F2" i="13"/>
  <c r="F61" i="13" s="1"/>
  <c r="F11" i="13"/>
  <c r="F12" i="13"/>
  <c r="F15" i="13"/>
  <c r="B20" i="13"/>
  <c r="F20" i="13"/>
  <c r="B21" i="13"/>
  <c r="E21" i="13"/>
  <c r="B22" i="13"/>
  <c r="E22" i="13"/>
  <c r="B23" i="13"/>
  <c r="E23" i="13"/>
  <c r="F23" i="13"/>
  <c r="F24" i="13" s="1"/>
  <c r="F27" i="13" s="1"/>
  <c r="B24" i="13"/>
  <c r="B26" i="13"/>
  <c r="F26" i="13"/>
  <c r="B27" i="13"/>
  <c r="B33" i="13"/>
  <c r="B47" i="13" s="1"/>
  <c r="F33" i="13"/>
  <c r="B34" i="13"/>
  <c r="E34" i="13"/>
  <c r="B35" i="13"/>
  <c r="B49" i="13" s="1"/>
  <c r="E35" i="13"/>
  <c r="B36" i="13"/>
  <c r="E36" i="13"/>
  <c r="F36" i="13" s="1"/>
  <c r="B37" i="13"/>
  <c r="B52" i="13" s="1"/>
  <c r="B39" i="13"/>
  <c r="F39" i="13"/>
  <c r="B40" i="13"/>
  <c r="B58" i="13" s="1"/>
  <c r="F43" i="13"/>
  <c r="F47" i="13"/>
  <c r="B48" i="13"/>
  <c r="E48" i="13"/>
  <c r="E49" i="13"/>
  <c r="B50" i="13"/>
  <c r="E50" i="13"/>
  <c r="E51" i="13"/>
  <c r="F51" i="13"/>
  <c r="B54" i="13"/>
  <c r="E54" i="13"/>
  <c r="F57" i="13"/>
  <c r="F66" i="13"/>
  <c r="F62" i="13"/>
  <c r="B66" i="13"/>
  <c r="B67" i="13"/>
  <c r="E67" i="13"/>
  <c r="B68" i="13"/>
  <c r="E68" i="13"/>
  <c r="F69" i="13" s="1"/>
  <c r="B69" i="13"/>
  <c r="E69" i="13"/>
  <c r="B70" i="13"/>
  <c r="B72" i="13"/>
  <c r="F72" i="13"/>
  <c r="B73" i="13"/>
  <c r="B9" i="12"/>
  <c r="C9" i="12"/>
  <c r="D9" i="12"/>
  <c r="B10" i="12"/>
  <c r="C10" i="12"/>
  <c r="D10" i="12"/>
  <c r="D12" i="12" s="1"/>
  <c r="D14" i="12" s="1"/>
  <c r="B11" i="12"/>
  <c r="C11" i="12"/>
  <c r="D11" i="12"/>
  <c r="D75" i="12" s="1"/>
  <c r="B12" i="12"/>
  <c r="B14" i="12" s="1"/>
  <c r="D13" i="12"/>
  <c r="B15" i="12"/>
  <c r="C15" i="12"/>
  <c r="D15" i="12"/>
  <c r="B20" i="12"/>
  <c r="F21" i="12" s="1"/>
  <c r="C20" i="12"/>
  <c r="C24" i="12" s="1"/>
  <c r="D20" i="12"/>
  <c r="D24" i="12" s="1"/>
  <c r="B24" i="12"/>
  <c r="B31" i="12"/>
  <c r="B38" i="12" s="1"/>
  <c r="C31" i="12"/>
  <c r="D31" i="12"/>
  <c r="C32" i="12"/>
  <c r="B51" i="12" s="1"/>
  <c r="E51" i="12" s="1"/>
  <c r="E53" i="12" s="1"/>
  <c r="D70" i="12" s="1"/>
  <c r="C38" i="12"/>
  <c r="D38" i="12"/>
  <c r="B39" i="12"/>
  <c r="B41" i="12" s="1"/>
  <c r="D39" i="12"/>
  <c r="D41" i="12" s="1"/>
  <c r="C49" i="12"/>
  <c r="C53" i="12" s="1"/>
  <c r="B70" i="12" s="1"/>
  <c r="C57" i="12"/>
  <c r="D57" i="12"/>
  <c r="E57" i="12"/>
  <c r="C58" i="12"/>
  <c r="B68" i="12"/>
  <c r="C68" i="12"/>
  <c r="D68" i="12"/>
  <c r="B74" i="12"/>
  <c r="C74" i="12"/>
  <c r="D74" i="12"/>
  <c r="B75" i="12"/>
  <c r="C75" i="12"/>
  <c r="B76" i="12"/>
  <c r="B92" i="12" s="1"/>
  <c r="C76" i="12"/>
  <c r="D76" i="12"/>
  <c r="B77" i="12"/>
  <c r="C77" i="12"/>
  <c r="D77" i="12"/>
  <c r="C78" i="12"/>
  <c r="D79" i="12"/>
  <c r="B91" i="12"/>
  <c r="D101" i="12"/>
  <c r="D102" i="12"/>
  <c r="F5" i="10"/>
  <c r="C6" i="10"/>
  <c r="D6" i="10"/>
  <c r="E6" i="10"/>
  <c r="C7" i="10"/>
  <c r="D7" i="10"/>
  <c r="E7" i="10"/>
  <c r="C9" i="10"/>
  <c r="D9" i="10"/>
  <c r="D8" i="10" s="1"/>
  <c r="F10" i="10"/>
  <c r="D11" i="10"/>
  <c r="D17" i="10"/>
  <c r="D30" i="10" s="1"/>
  <c r="C38" i="10" s="1"/>
  <c r="E17" i="10"/>
  <c r="F17" i="10"/>
  <c r="C18" i="10"/>
  <c r="D18" i="10" s="1"/>
  <c r="C19" i="10"/>
  <c r="D19" i="10" s="1"/>
  <c r="E30" i="10"/>
  <c r="F30" i="10"/>
  <c r="D31" i="10"/>
  <c r="C32" i="10"/>
  <c r="D32" i="10"/>
  <c r="E32" i="10"/>
  <c r="C33" i="10"/>
  <c r="C34" i="10"/>
  <c r="F34" i="10"/>
  <c r="D35" i="10"/>
  <c r="C40" i="10" s="1"/>
  <c r="D38" i="10"/>
  <c r="E38" i="10"/>
  <c r="D44" i="10"/>
  <c r="E44" i="10"/>
  <c r="F44" i="10" s="1"/>
  <c r="F45" i="10"/>
  <c r="E46" i="10"/>
  <c r="F48" i="10"/>
  <c r="F49" i="10"/>
  <c r="F50" i="10"/>
  <c r="F51" i="10"/>
  <c r="F52" i="10"/>
  <c r="C64" i="10"/>
  <c r="D64" i="10"/>
  <c r="D67" i="10"/>
  <c r="D68" i="10"/>
  <c r="E68" i="10"/>
  <c r="D69" i="10"/>
  <c r="D70" i="10" s="1"/>
  <c r="C72" i="10"/>
  <c r="D72" i="10"/>
  <c r="E72" i="10"/>
  <c r="F73" i="10"/>
  <c r="F74" i="10"/>
  <c r="D81" i="10"/>
  <c r="D84" i="10"/>
  <c r="D85" i="10" s="1"/>
  <c r="D87" i="10" s="1"/>
  <c r="D47" i="10" s="1"/>
  <c r="F47" i="10" s="1"/>
  <c r="D9" i="9"/>
  <c r="E10" i="9"/>
  <c r="C11" i="9"/>
  <c r="D11" i="9"/>
  <c r="D14" i="9"/>
  <c r="D34" i="9"/>
  <c r="C12" i="9"/>
  <c r="E12" i="9"/>
  <c r="C13" i="9"/>
  <c r="G13" i="9" s="1"/>
  <c r="F13" i="9"/>
  <c r="D18" i="9"/>
  <c r="D33" i="9" s="1"/>
  <c r="D53" i="9" s="1"/>
  <c r="E18" i="9"/>
  <c r="E33" i="9" s="1"/>
  <c r="E53" i="9" s="1"/>
  <c r="F18" i="9"/>
  <c r="D19" i="9"/>
  <c r="E19" i="9"/>
  <c r="E20" i="9"/>
  <c r="F19" i="9"/>
  <c r="F20" i="9" s="1"/>
  <c r="F21" i="9" s="1"/>
  <c r="D20" i="9"/>
  <c r="D21" i="9"/>
  <c r="F33" i="9"/>
  <c r="F53" i="9" s="1"/>
  <c r="D37" i="9"/>
  <c r="D45" i="9" s="1"/>
  <c r="D47" i="9" s="1"/>
  <c r="D50" i="9" s="1"/>
  <c r="F39" i="9"/>
  <c r="D41" i="9"/>
  <c r="E41" i="9"/>
  <c r="F41" i="9"/>
  <c r="D57" i="9"/>
  <c r="G57" i="9" s="1"/>
  <c r="E57" i="9"/>
  <c r="F57" i="9"/>
  <c r="D58" i="9"/>
  <c r="G58" i="9" s="1"/>
  <c r="E58" i="9"/>
  <c r="F58" i="9"/>
  <c r="D59" i="9"/>
  <c r="E59" i="9"/>
  <c r="F59" i="9"/>
  <c r="D60" i="9"/>
  <c r="E60" i="9"/>
  <c r="F60" i="9"/>
  <c r="G61" i="9"/>
  <c r="G62" i="9"/>
  <c r="E69" i="9"/>
  <c r="H70" i="9" s="1"/>
  <c r="E70" i="9"/>
  <c r="E71" i="9"/>
  <c r="E80" i="9"/>
  <c r="A81" i="9"/>
  <c r="E81" i="9"/>
  <c r="C8" i="21"/>
  <c r="D8" i="21"/>
  <c r="C35" i="21"/>
  <c r="C47" i="21"/>
  <c r="C48" i="21" s="1"/>
  <c r="C59" i="21"/>
  <c r="C7" i="7"/>
  <c r="C6" i="7" s="1"/>
  <c r="D7" i="7"/>
  <c r="D6" i="7"/>
  <c r="C23" i="7" s="1"/>
  <c r="E7" i="7"/>
  <c r="E6" i="7"/>
  <c r="C24" i="7"/>
  <c r="F8" i="7"/>
  <c r="C10" i="7"/>
  <c r="C9" i="7"/>
  <c r="D10" i="7"/>
  <c r="D9" i="7" s="1"/>
  <c r="E10" i="7"/>
  <c r="E9" i="7"/>
  <c r="F10" i="7"/>
  <c r="F11" i="7"/>
  <c r="D12" i="7"/>
  <c r="D13" i="7" s="1"/>
  <c r="D14" i="7"/>
  <c r="C34" i="7" s="1"/>
  <c r="G34" i="7" s="1"/>
  <c r="G36" i="7" s="1"/>
  <c r="D20" i="7"/>
  <c r="D31" i="7" s="1"/>
  <c r="C39" i="7" s="1"/>
  <c r="E20" i="7"/>
  <c r="E31" i="7" s="1"/>
  <c r="D39" i="7" s="1"/>
  <c r="F20" i="7"/>
  <c r="F31" i="7" s="1"/>
  <c r="E39" i="7" s="1"/>
  <c r="D21" i="7"/>
  <c r="D36" i="7"/>
  <c r="E36" i="7"/>
  <c r="D47" i="7"/>
  <c r="D56" i="7"/>
  <c r="F42" i="7"/>
  <c r="F43" i="7"/>
  <c r="C47" i="7"/>
  <c r="F48" i="7"/>
  <c r="E49" i="7"/>
  <c r="F49" i="7" s="1"/>
  <c r="F50" i="7"/>
  <c r="F51" i="7"/>
  <c r="F52" i="7"/>
  <c r="F53" i="7"/>
  <c r="F54" i="7"/>
  <c r="F55" i="7"/>
  <c r="C67" i="7"/>
  <c r="F67" i="7" s="1"/>
  <c r="D67" i="7"/>
  <c r="E67" i="7"/>
  <c r="C70" i="7"/>
  <c r="D70" i="7"/>
  <c r="F70" i="7" s="1"/>
  <c r="E70" i="7"/>
  <c r="F71" i="7"/>
  <c r="C72" i="7"/>
  <c r="D72" i="7"/>
  <c r="F72" i="7" s="1"/>
  <c r="E72" i="7"/>
  <c r="E73" i="7" s="1"/>
  <c r="C73" i="7"/>
  <c r="F73" i="7" s="1"/>
  <c r="D73" i="7"/>
  <c r="C74" i="7"/>
  <c r="D74" i="7"/>
  <c r="E74" i="7"/>
  <c r="E77" i="7" s="1"/>
  <c r="F75" i="7"/>
  <c r="C76" i="7"/>
  <c r="F76" i="7"/>
  <c r="D76" i="7"/>
  <c r="E76" i="7"/>
  <c r="C77" i="7"/>
  <c r="C79" i="7" s="1"/>
  <c r="C80" i="7"/>
  <c r="C9" i="8"/>
  <c r="D9" i="8"/>
  <c r="E9" i="8" s="1"/>
  <c r="C18" i="8"/>
  <c r="D18" i="8"/>
  <c r="D17" i="8" s="1"/>
  <c r="B11" i="8" s="1"/>
  <c r="C21" i="8"/>
  <c r="C20" i="8" s="1"/>
  <c r="D21" i="8"/>
  <c r="E22" i="8"/>
  <c r="C23" i="8"/>
  <c r="D23" i="8"/>
  <c r="D24" i="8" s="1"/>
  <c r="C40" i="8"/>
  <c r="D41" i="8"/>
  <c r="C42" i="8"/>
  <c r="D42" i="8"/>
  <c r="C49" i="8"/>
  <c r="E6" i="16"/>
  <c r="F6" i="16"/>
  <c r="D7" i="16"/>
  <c r="E7" i="16"/>
  <c r="F7" i="16"/>
  <c r="D9" i="16"/>
  <c r="D10" i="16"/>
  <c r="E10" i="16"/>
  <c r="C41" i="16" s="1"/>
  <c r="F10" i="16"/>
  <c r="D11" i="16"/>
  <c r="F11" i="16"/>
  <c r="D12" i="16"/>
  <c r="F12" i="16"/>
  <c r="C13" i="16"/>
  <c r="D13" i="16"/>
  <c r="E13" i="16"/>
  <c r="F13" i="16" s="1"/>
  <c r="C15" i="16"/>
  <c r="D15" i="16"/>
  <c r="D17" i="16"/>
  <c r="E17" i="16"/>
  <c r="F17" i="16"/>
  <c r="C19" i="16"/>
  <c r="D21" i="16"/>
  <c r="C37" i="16"/>
  <c r="D37" i="16"/>
  <c r="D38" i="16"/>
  <c r="C60" i="16"/>
  <c r="C66" i="16" s="1"/>
  <c r="C42" i="16"/>
  <c r="D68" i="16" s="1"/>
  <c r="D42" i="16"/>
  <c r="C43" i="16"/>
  <c r="C48" i="16"/>
  <c r="D74" i="16" s="1"/>
  <c r="D48" i="16"/>
  <c r="D60" i="16"/>
  <c r="D66" i="16" s="1"/>
  <c r="C61" i="16"/>
  <c r="D61" i="16"/>
  <c r="E61" i="16"/>
  <c r="C64" i="16"/>
  <c r="D64" i="16"/>
  <c r="E64" i="16"/>
  <c r="F64" i="16"/>
  <c r="C68" i="16"/>
  <c r="C69" i="16"/>
  <c r="C74" i="16"/>
  <c r="C89" i="16"/>
  <c r="C90" i="16"/>
  <c r="E90" i="16"/>
  <c r="F90" i="16" s="1"/>
  <c r="C91" i="16"/>
  <c r="F91" i="16"/>
  <c r="G91" i="16"/>
  <c r="F92" i="16"/>
  <c r="F94" i="16" s="1"/>
  <c r="E110" i="16" s="1"/>
  <c r="E112" i="16" s="1"/>
  <c r="D93" i="16"/>
  <c r="E93" i="16"/>
  <c r="F93" i="16"/>
  <c r="D100" i="16"/>
  <c r="E100" i="16"/>
  <c r="D108" i="16" s="1"/>
  <c r="F100" i="16"/>
  <c r="E108" i="16" s="1"/>
  <c r="D101" i="16"/>
  <c r="C108" i="16"/>
  <c r="F111" i="16"/>
  <c r="F115" i="16"/>
  <c r="E116" i="16"/>
  <c r="F116" i="16" s="1"/>
  <c r="F118" i="16"/>
  <c r="F119" i="16"/>
  <c r="F120" i="16"/>
  <c r="F125" i="16"/>
  <c r="C128" i="16"/>
  <c r="D128" i="16"/>
  <c r="E128" i="16"/>
  <c r="E6" i="20"/>
  <c r="F6" i="20"/>
  <c r="D7" i="20"/>
  <c r="E7" i="20"/>
  <c r="E9" i="20" s="1"/>
  <c r="F7" i="20"/>
  <c r="D9" i="20"/>
  <c r="D10" i="20"/>
  <c r="E10" i="20"/>
  <c r="C55" i="20" s="1"/>
  <c r="C11" i="20"/>
  <c r="D11" i="20"/>
  <c r="E11" i="20"/>
  <c r="F11" i="20" s="1"/>
  <c r="D12" i="20"/>
  <c r="E12" i="20"/>
  <c r="F12" i="20"/>
  <c r="D13" i="20"/>
  <c r="E13" i="20"/>
  <c r="F13" i="20"/>
  <c r="D14" i="20"/>
  <c r="E14" i="20"/>
  <c r="F14" i="20" s="1"/>
  <c r="D15" i="20"/>
  <c r="E15" i="20"/>
  <c r="C16" i="20"/>
  <c r="D16" i="20" s="1"/>
  <c r="C18" i="20"/>
  <c r="D18" i="20" s="1"/>
  <c r="D20" i="20"/>
  <c r="E20" i="20"/>
  <c r="F20" i="20"/>
  <c r="C22" i="20"/>
  <c r="D22" i="20" s="1"/>
  <c r="C30" i="20"/>
  <c r="E30" i="20" s="1"/>
  <c r="F30" i="20" s="1"/>
  <c r="C31" i="20"/>
  <c r="E31" i="20"/>
  <c r="C32" i="20"/>
  <c r="E32" i="20" s="1"/>
  <c r="C33" i="20"/>
  <c r="E33" i="20"/>
  <c r="E39" i="20"/>
  <c r="F39" i="20" s="1"/>
  <c r="F43" i="20" s="1"/>
  <c r="D44" i="20"/>
  <c r="C56" i="20"/>
  <c r="C57" i="20"/>
  <c r="C58" i="20"/>
  <c r="C61" i="20"/>
  <c r="E6" i="14"/>
  <c r="F6" i="14"/>
  <c r="D7" i="14"/>
  <c r="E7" i="14"/>
  <c r="D9" i="14"/>
  <c r="F9" i="14"/>
  <c r="D10" i="14"/>
  <c r="E10" i="14"/>
  <c r="C11" i="14"/>
  <c r="D12" i="14"/>
  <c r="E12" i="14"/>
  <c r="D13" i="14"/>
  <c r="E13" i="14"/>
  <c r="D14" i="14"/>
  <c r="E14" i="14"/>
  <c r="D15" i="14"/>
  <c r="E15" i="14"/>
  <c r="D16" i="14"/>
  <c r="E16" i="14"/>
  <c r="D21" i="14"/>
  <c r="E21" i="14"/>
  <c r="C33" i="14"/>
  <c r="D33" i="14"/>
  <c r="C37" i="14"/>
  <c r="B38" i="14"/>
  <c r="B39" i="14"/>
  <c r="B67" i="14" s="1"/>
  <c r="B40" i="14"/>
  <c r="C41" i="14"/>
  <c r="B42" i="14"/>
  <c r="C42" i="14"/>
  <c r="C48" i="14"/>
  <c r="C59" i="14"/>
  <c r="C67" i="14" s="1"/>
  <c r="F67" i="14" s="1"/>
  <c r="D59" i="14"/>
  <c r="E59" i="14"/>
  <c r="D65" i="14"/>
  <c r="B66" i="14"/>
  <c r="D67" i="14"/>
  <c r="E67" i="14"/>
  <c r="B68" i="14"/>
  <c r="B69" i="14"/>
  <c r="D69" i="14"/>
  <c r="E69" i="14"/>
  <c r="B70" i="14"/>
  <c r="B71" i="14"/>
  <c r="E76" i="14"/>
  <c r="C85" i="14"/>
  <c r="E5" i="15"/>
  <c r="F5" i="15"/>
  <c r="E6" i="15"/>
  <c r="E8" i="15" s="1"/>
  <c r="F12" i="15" s="1"/>
  <c r="C8" i="15"/>
  <c r="D18" i="15" s="1"/>
  <c r="D8" i="15"/>
  <c r="E10" i="15"/>
  <c r="E11" i="15"/>
  <c r="F11" i="15"/>
  <c r="E12" i="15"/>
  <c r="D13" i="15"/>
  <c r="E13" i="15"/>
  <c r="F13" i="15" s="1"/>
  <c r="C14" i="15"/>
  <c r="D14" i="15" s="1"/>
  <c r="C16" i="15"/>
  <c r="C21" i="15" s="1"/>
  <c r="C25" i="15" s="1"/>
  <c r="D25" i="15" s="1"/>
  <c r="D16" i="15"/>
  <c r="F17" i="15"/>
  <c r="E18" i="15"/>
  <c r="F18" i="15" s="1"/>
  <c r="D19" i="15"/>
  <c r="E19" i="15"/>
  <c r="F19" i="15" s="1"/>
  <c r="F23" i="15"/>
  <c r="D5" i="4"/>
  <c r="C20" i="4" s="1"/>
  <c r="E20" i="4" s="1"/>
  <c r="G20" i="4" s="1"/>
  <c r="G23" i="4" s="1"/>
  <c r="D6" i="4"/>
  <c r="E6" i="4"/>
  <c r="E5" i="4" s="1"/>
  <c r="F6" i="4"/>
  <c r="F5" i="4" s="1"/>
  <c r="G6" i="4"/>
  <c r="G5" i="4" s="1"/>
  <c r="D9" i="4"/>
  <c r="D8" i="4" s="1"/>
  <c r="D15" i="4" s="1"/>
  <c r="E9" i="4"/>
  <c r="E8" i="4" s="1"/>
  <c r="E15" i="4" s="1"/>
  <c r="F9" i="4"/>
  <c r="F8" i="4" s="1"/>
  <c r="F15" i="4" s="1"/>
  <c r="G9" i="4"/>
  <c r="G8" i="4" s="1"/>
  <c r="D11" i="4"/>
  <c r="E11" i="4"/>
  <c r="F11" i="4"/>
  <c r="G11" i="4"/>
  <c r="D12" i="4"/>
  <c r="E12" i="4"/>
  <c r="F12" i="4"/>
  <c r="G12" i="4"/>
  <c r="D13" i="4"/>
  <c r="E13" i="4"/>
  <c r="F13" i="4"/>
  <c r="G13" i="4"/>
  <c r="E19" i="4"/>
  <c r="F19" i="4" s="1"/>
  <c r="F23" i="4" s="1"/>
  <c r="C21" i="4"/>
  <c r="E21" i="4" s="1"/>
  <c r="H21" i="4" s="1"/>
  <c r="C22" i="4"/>
  <c r="E22" i="4" s="1"/>
  <c r="I22" i="4" s="1"/>
  <c r="I23" i="4" s="1"/>
  <c r="H23" i="4"/>
  <c r="E28" i="4"/>
  <c r="F28" i="4"/>
  <c r="E29" i="4"/>
  <c r="C30" i="4"/>
  <c r="C39" i="4" s="1"/>
  <c r="E39" i="4" s="1"/>
  <c r="G39" i="4" s="1"/>
  <c r="G42" i="4" s="1"/>
  <c r="E30" i="4"/>
  <c r="C31" i="4"/>
  <c r="E31" i="4" s="1"/>
  <c r="C32" i="4"/>
  <c r="C41" i="4" s="1"/>
  <c r="E32" i="4"/>
  <c r="I32" i="4" s="1"/>
  <c r="C37" i="4"/>
  <c r="C38" i="4"/>
  <c r="C45" i="4"/>
  <c r="C54" i="4"/>
  <c r="E54" i="4" s="1"/>
  <c r="F54" i="4" s="1"/>
  <c r="D54" i="4"/>
  <c r="C55" i="4"/>
  <c r="C56" i="4"/>
  <c r="C8" i="17"/>
  <c r="C10" i="17"/>
  <c r="E13" i="17"/>
  <c r="E15" i="17" s="1"/>
  <c r="E14" i="17"/>
  <c r="E18" i="17"/>
  <c r="E19" i="17"/>
  <c r="E20" i="17"/>
  <c r="C25" i="17"/>
  <c r="D25" i="17"/>
  <c r="F25" i="17"/>
  <c r="C26" i="17"/>
  <c r="F26" i="17" s="1"/>
  <c r="D26" i="17"/>
  <c r="C27" i="17"/>
  <c r="F27" i="17" s="1"/>
  <c r="D27" i="17"/>
  <c r="F106" i="22"/>
  <c r="H120" i="22" s="1"/>
  <c r="D35" i="22"/>
  <c r="D78" i="22"/>
  <c r="D79" i="22" s="1"/>
  <c r="G60" i="22"/>
  <c r="E35" i="22"/>
  <c r="E78" i="22"/>
  <c r="E79" i="22" s="1"/>
  <c r="E44" i="22"/>
  <c r="F48" i="22"/>
  <c r="F82" i="22"/>
  <c r="E61" i="22"/>
  <c r="E63" i="22"/>
  <c r="D43" i="22"/>
  <c r="D61" i="22"/>
  <c r="D103" i="22"/>
  <c r="D110" i="22" s="1"/>
  <c r="G25" i="22"/>
  <c r="F37" i="13"/>
  <c r="F40" i="13" s="1"/>
  <c r="G12" i="9"/>
  <c r="G14" i="9"/>
  <c r="F11" i="9"/>
  <c r="F14" i="9" s="1"/>
  <c r="F34" i="9" s="1"/>
  <c r="G59" i="9"/>
  <c r="E14" i="9"/>
  <c r="E34" i="9" s="1"/>
  <c r="E49" i="9"/>
  <c r="G60" i="9"/>
  <c r="D54" i="9"/>
  <c r="D23" i="9"/>
  <c r="D56" i="9" s="1"/>
  <c r="D63" i="9" s="1"/>
  <c r="E21" i="9"/>
  <c r="E78" i="9"/>
  <c r="F24" i="7"/>
  <c r="F25" i="7" s="1"/>
  <c r="E41" i="7" s="1"/>
  <c r="E44" i="7" s="1"/>
  <c r="E58" i="7" s="1"/>
  <c r="G24" i="7"/>
  <c r="G25" i="7" s="1"/>
  <c r="F6" i="7"/>
  <c r="C22" i="7"/>
  <c r="D22" i="7" s="1"/>
  <c r="D25" i="7" s="1"/>
  <c r="C41" i="7" s="1"/>
  <c r="F23" i="7"/>
  <c r="E23" i="7"/>
  <c r="C56" i="7"/>
  <c r="E12" i="7"/>
  <c r="C12" i="7"/>
  <c r="D44" i="22"/>
  <c r="E48" i="22"/>
  <c r="E82" i="22" s="1"/>
  <c r="F44" i="22"/>
  <c r="G48" i="22" s="1"/>
  <c r="H118" i="22" s="1"/>
  <c r="D93" i="22"/>
  <c r="D96" i="22" s="1"/>
  <c r="E95" i="22" s="1"/>
  <c r="D25" i="9"/>
  <c r="D22" i="9"/>
  <c r="E23" i="9"/>
  <c r="E54" i="9"/>
  <c r="E13" i="7"/>
  <c r="E14" i="7" s="1"/>
  <c r="C35" i="7" s="1"/>
  <c r="G35" i="7" s="1"/>
  <c r="E22" i="7"/>
  <c r="E25" i="7" s="1"/>
  <c r="D41" i="7" s="1"/>
  <c r="D44" i="7" s="1"/>
  <c r="D58" i="7" s="1"/>
  <c r="C13" i="7"/>
  <c r="C14" i="7" s="1"/>
  <c r="C33" i="7" s="1"/>
  <c r="F33" i="7"/>
  <c r="F36" i="7" s="1"/>
  <c r="E47" i="7" s="1"/>
  <c r="E56" i="7" s="1"/>
  <c r="D26" i="9"/>
  <c r="E22" i="9"/>
  <c r="F47" i="7"/>
  <c r="F56" i="7" s="1"/>
  <c r="D27" i="9"/>
  <c r="E37" i="9" s="1"/>
  <c r="E45" i="9"/>
  <c r="E47" i="9"/>
  <c r="E15" i="16" l="1"/>
  <c r="E19" i="16" s="1"/>
  <c r="E21" i="16" s="1"/>
  <c r="F21" i="16" s="1"/>
  <c r="K25" i="27"/>
  <c r="K33" i="27"/>
  <c r="I10" i="26"/>
  <c r="D65" i="9"/>
  <c r="D63" i="22"/>
  <c r="G69" i="22" s="1"/>
  <c r="G71" i="22" s="1"/>
  <c r="G61" i="22"/>
  <c r="G63" i="22" s="1"/>
  <c r="H121" i="22" s="1"/>
  <c r="G78" i="22"/>
  <c r="G79" i="22" s="1"/>
  <c r="E41" i="4"/>
  <c r="I41" i="4" s="1"/>
  <c r="I42" i="4" s="1"/>
  <c r="C49" i="4"/>
  <c r="E49" i="4" s="1"/>
  <c r="G32" i="20"/>
  <c r="H32" i="20"/>
  <c r="D19" i="16"/>
  <c r="C23" i="16"/>
  <c r="D23" i="16" s="1"/>
  <c r="E25" i="9"/>
  <c r="E56" i="9"/>
  <c r="G82" i="22"/>
  <c r="E91" i="22"/>
  <c r="H31" i="4"/>
  <c r="I31" i="4"/>
  <c r="I33" i="4" s="1"/>
  <c r="C102" i="16"/>
  <c r="F66" i="16"/>
  <c r="G30" i="4"/>
  <c r="H30" i="4"/>
  <c r="C69" i="14"/>
  <c r="F69" i="14" s="1"/>
  <c r="D41" i="14"/>
  <c r="F15" i="14"/>
  <c r="E23" i="8"/>
  <c r="C24" i="8"/>
  <c r="E24" i="8" s="1"/>
  <c r="C11" i="8"/>
  <c r="F11" i="8" s="1"/>
  <c r="D11" i="8"/>
  <c r="G11" i="8" s="1"/>
  <c r="G12" i="8" s="1"/>
  <c r="E93" i="22"/>
  <c r="F7" i="14"/>
  <c r="D39" i="14"/>
  <c r="E9" i="14"/>
  <c r="F10" i="14"/>
  <c r="C34" i="14"/>
  <c r="F15" i="20"/>
  <c r="E16" i="20"/>
  <c r="C117" i="16"/>
  <c r="D12" i="10"/>
  <c r="D13" i="10" s="1"/>
  <c r="C12" i="12"/>
  <c r="C14" i="12" s="1"/>
  <c r="C39" i="12"/>
  <c r="C41" i="12" s="1"/>
  <c r="E96" i="22"/>
  <c r="F95" i="22" s="1"/>
  <c r="F41" i="7"/>
  <c r="F44" i="7" s="1"/>
  <c r="F58" i="7" s="1"/>
  <c r="C44" i="7"/>
  <c r="C58" i="7" s="1"/>
  <c r="C61" i="7" s="1"/>
  <c r="D60" i="7" s="1"/>
  <c r="D61" i="7" s="1"/>
  <c r="E60" i="7" s="1"/>
  <c r="E61" i="7" s="1"/>
  <c r="E38" i="4"/>
  <c r="F38" i="4" s="1"/>
  <c r="F42" i="4" s="1"/>
  <c r="C46" i="4"/>
  <c r="E46" i="4" s="1"/>
  <c r="F46" i="4" s="1"/>
  <c r="F21" i="14"/>
  <c r="F74" i="16"/>
  <c r="D41" i="16"/>
  <c r="D67" i="16"/>
  <c r="C44" i="16"/>
  <c r="E67" i="16"/>
  <c r="E50" i="9"/>
  <c r="F49" i="9" s="1"/>
  <c r="E55" i="4"/>
  <c r="G55" i="4" s="1"/>
  <c r="D55" i="4"/>
  <c r="C70" i="14"/>
  <c r="E65" i="14"/>
  <c r="C38" i="14"/>
  <c r="D37" i="14"/>
  <c r="C65" i="14"/>
  <c r="F65" i="14" s="1"/>
  <c r="F13" i="14"/>
  <c r="C40" i="14"/>
  <c r="C67" i="16"/>
  <c r="F9" i="7"/>
  <c r="F12" i="7"/>
  <c r="F54" i="9"/>
  <c r="F23" i="9"/>
  <c r="F22" i="9"/>
  <c r="C8" i="10"/>
  <c r="C11" i="10"/>
  <c r="C67" i="10"/>
  <c r="F106" i="23"/>
  <c r="E107" i="23"/>
  <c r="F107" i="23" s="1"/>
  <c r="D11" i="14"/>
  <c r="E11" i="14"/>
  <c r="F11" i="14" s="1"/>
  <c r="C17" i="14"/>
  <c r="H33" i="20"/>
  <c r="I33" i="20"/>
  <c r="I34" i="20" s="1"/>
  <c r="F31" i="20"/>
  <c r="F34" i="20" s="1"/>
  <c r="G31" i="20"/>
  <c r="G34" i="20" s="1"/>
  <c r="E18" i="8"/>
  <c r="C17" i="8"/>
  <c r="B16" i="12"/>
  <c r="B26" i="12" s="1"/>
  <c r="E34" i="23"/>
  <c r="E36" i="23" s="1"/>
  <c r="E78" i="23" s="1"/>
  <c r="E79" i="23" s="1"/>
  <c r="D36" i="23"/>
  <c r="D78" i="23" s="1"/>
  <c r="F59" i="24"/>
  <c r="C47" i="4"/>
  <c r="E47" i="4" s="1"/>
  <c r="F29" i="4"/>
  <c r="G29" i="4"/>
  <c r="G33" i="4" s="1"/>
  <c r="D21" i="15"/>
  <c r="F10" i="15"/>
  <c r="E14" i="15"/>
  <c r="F14" i="15" s="1"/>
  <c r="F6" i="15"/>
  <c r="D48" i="14"/>
  <c r="C76" i="14"/>
  <c r="D76" i="14"/>
  <c r="D42" i="14"/>
  <c r="D70" i="14"/>
  <c r="E70" i="14"/>
  <c r="C88" i="14"/>
  <c r="C91" i="14" s="1"/>
  <c r="F16" i="14"/>
  <c r="C43" i="14"/>
  <c r="F12" i="14"/>
  <c r="F10" i="20"/>
  <c r="D89" i="16"/>
  <c r="D92" i="16" s="1"/>
  <c r="D94" i="16" s="1"/>
  <c r="C110" i="16" s="1"/>
  <c r="E89" i="16"/>
  <c r="E92" i="16" s="1"/>
  <c r="E94" i="16" s="1"/>
  <c r="D110" i="16" s="1"/>
  <c r="D112" i="16" s="1"/>
  <c r="E60" i="16"/>
  <c r="E66" i="16" s="1"/>
  <c r="D20" i="8"/>
  <c r="E21" i="8"/>
  <c r="D77" i="7"/>
  <c r="D79" i="7" s="1"/>
  <c r="D7" i="21"/>
  <c r="D9" i="21"/>
  <c r="D6" i="21"/>
  <c r="C21" i="21" s="1"/>
  <c r="C23" i="21" s="1"/>
  <c r="D10" i="21"/>
  <c r="C42" i="21"/>
  <c r="D77" i="10"/>
  <c r="E33" i="10"/>
  <c r="E35" i="10" s="1"/>
  <c r="D40" i="10" s="1"/>
  <c r="F33" i="10"/>
  <c r="F35" i="10" s="1"/>
  <c r="E40" i="10" s="1"/>
  <c r="B42" i="12"/>
  <c r="B43" i="12" s="1"/>
  <c r="B59" i="12" s="1"/>
  <c r="B32" i="12"/>
  <c r="F70" i="13"/>
  <c r="F73" i="13" s="1"/>
  <c r="F52" i="13"/>
  <c r="F58" i="13" s="1"/>
  <c r="C103" i="22"/>
  <c r="C110" i="22" s="1"/>
  <c r="F101" i="22"/>
  <c r="C102" i="22"/>
  <c r="F102" i="22" s="1"/>
  <c r="F28" i="17"/>
  <c r="D56" i="4"/>
  <c r="E56" i="4"/>
  <c r="H56" i="4" s="1"/>
  <c r="D7" i="15"/>
  <c r="D12" i="15"/>
  <c r="D6" i="15"/>
  <c r="D11" i="15"/>
  <c r="D23" i="15"/>
  <c r="C58" i="4"/>
  <c r="C40" i="4"/>
  <c r="C57" i="4"/>
  <c r="F33" i="4"/>
  <c r="D10" i="15"/>
  <c r="E16" i="15"/>
  <c r="F7" i="15"/>
  <c r="F8" i="15"/>
  <c r="C40" i="20"/>
  <c r="E40" i="20" s="1"/>
  <c r="C41" i="20"/>
  <c r="E41" i="20" s="1"/>
  <c r="C42" i="20"/>
  <c r="E42" i="20" s="1"/>
  <c r="I42" i="20" s="1"/>
  <c r="E68" i="16"/>
  <c r="F68" i="16" s="1"/>
  <c r="E74" i="16"/>
  <c r="C103" i="16"/>
  <c r="D43" i="16"/>
  <c r="D69" i="16"/>
  <c r="D117" i="16" s="1"/>
  <c r="E69" i="16"/>
  <c r="E117" i="16" s="1"/>
  <c r="D25" i="8"/>
  <c r="E20" i="8"/>
  <c r="C7" i="21"/>
  <c r="C9" i="21"/>
  <c r="C10" i="21" s="1"/>
  <c r="C12" i="21" s="1"/>
  <c r="C6" i="21"/>
  <c r="C22" i="21" s="1"/>
  <c r="D71" i="10"/>
  <c r="B93" i="12"/>
  <c r="B94" i="12" s="1"/>
  <c r="D114" i="23"/>
  <c r="F43" i="23"/>
  <c r="F61" i="23" s="1"/>
  <c r="G61" i="23" s="1"/>
  <c r="G64" i="23" s="1"/>
  <c r="G126" i="23" s="1"/>
  <c r="F74" i="7"/>
  <c r="F77" i="7" s="1"/>
  <c r="F72" i="10"/>
  <c r="F68" i="10"/>
  <c r="F64" i="10"/>
  <c r="C69" i="10"/>
  <c r="E9" i="10"/>
  <c r="E64" i="10"/>
  <c r="G96" i="23"/>
  <c r="E72" i="23"/>
  <c r="E88" i="23"/>
  <c r="G88" i="23" s="1"/>
  <c r="E64" i="23"/>
  <c r="G70" i="23" s="1"/>
  <c r="E79" i="7"/>
  <c r="F7" i="7"/>
  <c r="D75" i="10"/>
  <c r="D16" i="12"/>
  <c r="D26" i="12" s="1"/>
  <c r="D32" i="12"/>
  <c r="B52" i="12" s="1"/>
  <c r="F52" i="12" s="1"/>
  <c r="F53" i="12" s="1"/>
  <c r="F105" i="22"/>
  <c r="G84" i="22"/>
  <c r="E103" i="22"/>
  <c r="E110" i="22" s="1"/>
  <c r="D129" i="23"/>
  <c r="E44" i="23"/>
  <c r="F48" i="23" s="1"/>
  <c r="F82" i="23" s="1"/>
  <c r="G26" i="23"/>
  <c r="F6" i="10"/>
  <c r="F88" i="22"/>
  <c r="G88" i="22" s="1"/>
  <c r="G34" i="10"/>
  <c r="G35" i="10" s="1"/>
  <c r="F7" i="10"/>
  <c r="D46" i="10"/>
  <c r="F46" i="10" s="1"/>
  <c r="D42" i="12"/>
  <c r="D43" i="12" s="1"/>
  <c r="B61" i="12" s="1"/>
  <c r="C16" i="12"/>
  <c r="C26" i="12" s="1"/>
  <c r="G55" i="22"/>
  <c r="G83" i="22" s="1"/>
  <c r="G26" i="22"/>
  <c r="G128" i="23"/>
  <c r="G25" i="23"/>
  <c r="F19" i="16" l="1"/>
  <c r="F15" i="16"/>
  <c r="I11" i="26"/>
  <c r="I16" i="26" s="1"/>
  <c r="D80" i="7"/>
  <c r="F79" i="7"/>
  <c r="E61" i="12"/>
  <c r="F61" i="12"/>
  <c r="F62" i="12" s="1"/>
  <c r="C13" i="21"/>
  <c r="C14" i="21" s="1"/>
  <c r="C26" i="21" s="1"/>
  <c r="C31" i="21" s="1"/>
  <c r="C33" i="21" s="1"/>
  <c r="C36" i="21" s="1"/>
  <c r="C59" i="12"/>
  <c r="C62" i="12" s="1"/>
  <c r="B73" i="12" s="1"/>
  <c r="B83" i="12" s="1"/>
  <c r="B85" i="12" s="1"/>
  <c r="B88" i="12" s="1"/>
  <c r="C87" i="12" s="1"/>
  <c r="D59" i="12"/>
  <c r="C22" i="10"/>
  <c r="C23" i="10"/>
  <c r="F23" i="10" s="1"/>
  <c r="E103" i="16"/>
  <c r="F103" i="16" s="1"/>
  <c r="F70" i="14"/>
  <c r="E18" i="20"/>
  <c r="F16" i="20"/>
  <c r="G91" i="22"/>
  <c r="F64" i="23"/>
  <c r="G71" i="23" s="1"/>
  <c r="G72" i="23" s="1"/>
  <c r="C70" i="10"/>
  <c r="C71" i="10"/>
  <c r="F44" i="23"/>
  <c r="G48" i="23" s="1"/>
  <c r="G124" i="23" s="1"/>
  <c r="D70" i="16"/>
  <c r="D72" i="16" s="1"/>
  <c r="D76" i="16" s="1"/>
  <c r="I41" i="20"/>
  <c r="I43" i="20" s="1"/>
  <c r="H41" i="20"/>
  <c r="F16" i="15"/>
  <c r="E21" i="15"/>
  <c r="E40" i="4"/>
  <c r="H40" i="4" s="1"/>
  <c r="H42" i="4" s="1"/>
  <c r="C48" i="4"/>
  <c r="E48" i="4" s="1"/>
  <c r="E92" i="23"/>
  <c r="E94" i="23" s="1"/>
  <c r="F110" i="16"/>
  <c r="F112" i="16" s="1"/>
  <c r="C112" i="16"/>
  <c r="C19" i="14"/>
  <c r="D17" i="14"/>
  <c r="E108" i="23"/>
  <c r="E114" i="23" s="1"/>
  <c r="C12" i="10"/>
  <c r="C13" i="10" s="1"/>
  <c r="F25" i="9"/>
  <c r="F56" i="9"/>
  <c r="F63" i="9" s="1"/>
  <c r="E137" i="16"/>
  <c r="F67" i="16"/>
  <c r="F55" i="4"/>
  <c r="C46" i="16"/>
  <c r="D44" i="16"/>
  <c r="C36" i="14"/>
  <c r="E17" i="14"/>
  <c r="C25" i="8"/>
  <c r="C70" i="16"/>
  <c r="F91" i="22"/>
  <c r="F93" i="22" s="1"/>
  <c r="F96" i="22" s="1"/>
  <c r="E63" i="9"/>
  <c r="E65" i="9" s="1"/>
  <c r="G56" i="9"/>
  <c r="G63" i="9" s="1"/>
  <c r="H49" i="4"/>
  <c r="I49" i="4"/>
  <c r="I50" i="4" s="1"/>
  <c r="E57" i="4"/>
  <c r="I57" i="4" s="1"/>
  <c r="D57" i="4"/>
  <c r="C71" i="14"/>
  <c r="F71" i="14" s="1"/>
  <c r="D71" i="14"/>
  <c r="E71" i="14"/>
  <c r="D43" i="14"/>
  <c r="H40" i="20"/>
  <c r="H43" i="20" s="1"/>
  <c r="G40" i="20"/>
  <c r="G43" i="20" s="1"/>
  <c r="D58" i="4"/>
  <c r="E58" i="4"/>
  <c r="C56" i="21"/>
  <c r="D79" i="23"/>
  <c r="D94" i="23" s="1"/>
  <c r="D97" i="23" s="1"/>
  <c r="E96" i="23" s="1"/>
  <c r="G78" i="23"/>
  <c r="G79" i="23" s="1"/>
  <c r="E17" i="8"/>
  <c r="B10" i="8"/>
  <c r="F108" i="23"/>
  <c r="F114" i="23" s="1"/>
  <c r="G121" i="23" s="1"/>
  <c r="F65" i="9"/>
  <c r="C68" i="14"/>
  <c r="D68" i="14"/>
  <c r="E68" i="14"/>
  <c r="D40" i="14"/>
  <c r="D66" i="14"/>
  <c r="E66" i="14"/>
  <c r="D38" i="14"/>
  <c r="C66" i="14"/>
  <c r="C42" i="12"/>
  <c r="C43" i="12" s="1"/>
  <c r="B60" i="12" s="1"/>
  <c r="F69" i="16"/>
  <c r="E62" i="14"/>
  <c r="D34" i="14"/>
  <c r="C62" i="14"/>
  <c r="D62" i="14"/>
  <c r="H33" i="4"/>
  <c r="D102" i="16"/>
  <c r="D105" i="16" s="1"/>
  <c r="C114" i="16" s="1"/>
  <c r="E26" i="9"/>
  <c r="E79" i="9" s="1"/>
  <c r="E82" i="9" s="1"/>
  <c r="F92" i="23"/>
  <c r="F94" i="23" s="1"/>
  <c r="G82" i="23"/>
  <c r="G92" i="23" s="1"/>
  <c r="E11" i="10"/>
  <c r="E67" i="10"/>
  <c r="E8" i="10"/>
  <c r="F8" i="10" s="1"/>
  <c r="F67" i="10"/>
  <c r="C75" i="10"/>
  <c r="C77" i="10" s="1"/>
  <c r="E80" i="7"/>
  <c r="E69" i="10"/>
  <c r="E23" i="16"/>
  <c r="F23" i="16" s="1"/>
  <c r="G56" i="4"/>
  <c r="F56" i="4"/>
  <c r="F103" i="22"/>
  <c r="F110" i="22" s="1"/>
  <c r="H115" i="22" s="1"/>
  <c r="D98" i="12"/>
  <c r="B50" i="12"/>
  <c r="D50" i="12" s="1"/>
  <c r="D53" i="12" s="1"/>
  <c r="C70" i="12" s="1"/>
  <c r="F40" i="10"/>
  <c r="D12" i="21"/>
  <c r="C45" i="21"/>
  <c r="E70" i="16"/>
  <c r="E72" i="16" s="1"/>
  <c r="E76" i="16" s="1"/>
  <c r="C104" i="16"/>
  <c r="F76" i="14"/>
  <c r="F47" i="4"/>
  <c r="F50" i="4" s="1"/>
  <c r="G47" i="4"/>
  <c r="F9" i="10"/>
  <c r="F11" i="10" s="1"/>
  <c r="F13" i="7"/>
  <c r="F14" i="7"/>
  <c r="F117" i="16"/>
  <c r="H34" i="20"/>
  <c r="F35" i="20" s="1"/>
  <c r="C51" i="20" s="1"/>
  <c r="G93" i="22"/>
  <c r="G54" i="9"/>
  <c r="G65" i="9" s="1"/>
  <c r="C21" i="10" l="1"/>
  <c r="E21" i="10" s="1"/>
  <c r="C20" i="10"/>
  <c r="D60" i="12"/>
  <c r="E60" i="12"/>
  <c r="E62" i="12" s="1"/>
  <c r="D73" i="12" s="1"/>
  <c r="D83" i="12" s="1"/>
  <c r="D85" i="12" s="1"/>
  <c r="E64" i="14"/>
  <c r="E72" i="14" s="1"/>
  <c r="D36" i="14"/>
  <c r="C64" i="14"/>
  <c r="D64" i="14"/>
  <c r="D72" i="14" s="1"/>
  <c r="C44" i="14"/>
  <c r="E22" i="20"/>
  <c r="F22" i="20" s="1"/>
  <c r="F18" i="20"/>
  <c r="C57" i="21"/>
  <c r="C51" i="21"/>
  <c r="C53" i="21" s="1"/>
  <c r="E12" i="10"/>
  <c r="E13" i="10" s="1"/>
  <c r="E27" i="9"/>
  <c r="F37" i="9" s="1"/>
  <c r="F45" i="9" s="1"/>
  <c r="F47" i="9" s="1"/>
  <c r="F50" i="9" s="1"/>
  <c r="D74" i="14"/>
  <c r="D78" i="14" s="1"/>
  <c r="E74" i="14"/>
  <c r="E78" i="14" s="1"/>
  <c r="F68" i="14"/>
  <c r="D10" i="8"/>
  <c r="F10" i="8" s="1"/>
  <c r="F12" i="8" s="1"/>
  <c r="D37" i="8" s="1"/>
  <c r="C10" i="8"/>
  <c r="E10" i="8" s="1"/>
  <c r="E12" i="8" s="1"/>
  <c r="C37" i="8" s="1"/>
  <c r="C51" i="8" s="1"/>
  <c r="C54" i="8" s="1"/>
  <c r="D53" i="8" s="1"/>
  <c r="F70" i="16"/>
  <c r="C72" i="16"/>
  <c r="E138" i="16"/>
  <c r="E139" i="16" s="1"/>
  <c r="G48" i="4"/>
  <c r="G50" i="4" s="1"/>
  <c r="H48" i="4"/>
  <c r="H50" i="4" s="1"/>
  <c r="E80" i="16"/>
  <c r="D14" i="21"/>
  <c r="D13" i="21"/>
  <c r="D100" i="12"/>
  <c r="D103" i="12" s="1"/>
  <c r="C121" i="16"/>
  <c r="C123" i="16" s="1"/>
  <c r="C126" i="16" s="1"/>
  <c r="F62" i="14"/>
  <c r="F66" i="14"/>
  <c r="C58" i="21"/>
  <c r="H58" i="4"/>
  <c r="I58" i="4" s="1"/>
  <c r="I59" i="4" s="1"/>
  <c r="G57" i="4"/>
  <c r="G59" i="4" s="1"/>
  <c r="H57" i="4"/>
  <c r="D40" i="8"/>
  <c r="D49" i="8" s="1"/>
  <c r="E25" i="8"/>
  <c r="D46" i="16"/>
  <c r="C50" i="16"/>
  <c r="F70" i="10"/>
  <c r="F22" i="10"/>
  <c r="E22" i="10"/>
  <c r="E97" i="23"/>
  <c r="F96" i="23" s="1"/>
  <c r="F97" i="23" s="1"/>
  <c r="F12" i="10"/>
  <c r="F13" i="10" s="1"/>
  <c r="C23" i="14"/>
  <c r="D23" i="14" s="1"/>
  <c r="D19" i="14"/>
  <c r="H117" i="22"/>
  <c r="G96" i="22"/>
  <c r="F104" i="16"/>
  <c r="F105" i="16" s="1"/>
  <c r="E114" i="16" s="1"/>
  <c r="E121" i="16" s="1"/>
  <c r="E123" i="16" s="1"/>
  <c r="H124" i="22"/>
  <c r="E70" i="10"/>
  <c r="C78" i="10"/>
  <c r="D78" i="10" s="1"/>
  <c r="E102" i="16"/>
  <c r="E105" i="16" s="1"/>
  <c r="D114" i="16" s="1"/>
  <c r="D121" i="16" s="1"/>
  <c r="D123" i="16" s="1"/>
  <c r="G94" i="23"/>
  <c r="F44" i="20"/>
  <c r="C54" i="20" s="1"/>
  <c r="C62" i="20" s="1"/>
  <c r="C64" i="20" s="1"/>
  <c r="C67" i="20" s="1"/>
  <c r="F17" i="14"/>
  <c r="E19" i="14"/>
  <c r="F59" i="4"/>
  <c r="F26" i="9"/>
  <c r="F27" i="9" s="1"/>
  <c r="F21" i="15"/>
  <c r="E25" i="15"/>
  <c r="F25" i="15" s="1"/>
  <c r="D80" i="16"/>
  <c r="F69" i="10"/>
  <c r="D62" i="12"/>
  <c r="C73" i="12" s="1"/>
  <c r="C83" i="12" s="1"/>
  <c r="C85" i="12" s="1"/>
  <c r="C88" i="12" s="1"/>
  <c r="D87" i="12" s="1"/>
  <c r="D88" i="12" s="1"/>
  <c r="E140" i="16" l="1"/>
  <c r="E141" i="16"/>
  <c r="C24" i="10"/>
  <c r="C25" i="10"/>
  <c r="G25" i="10" s="1"/>
  <c r="D125" i="16"/>
  <c r="D126" i="16" s="1"/>
  <c r="C130" i="16"/>
  <c r="E75" i="10"/>
  <c r="E77" i="10" s="1"/>
  <c r="F19" i="14"/>
  <c r="E23" i="14"/>
  <c r="F23" i="14" s="1"/>
  <c r="G123" i="23"/>
  <c r="G129" i="23" s="1"/>
  <c r="G97" i="23"/>
  <c r="E71" i="10"/>
  <c r="F71" i="10" s="1"/>
  <c r="F75" i="10" s="1"/>
  <c r="G104" i="16"/>
  <c r="G105" i="16" s="1"/>
  <c r="D51" i="8"/>
  <c r="D54" i="8" s="1"/>
  <c r="D44" i="14"/>
  <c r="C46" i="14"/>
  <c r="D20" i="10"/>
  <c r="D26" i="10" s="1"/>
  <c r="C43" i="10" s="1"/>
  <c r="E20" i="10"/>
  <c r="E26" i="10" s="1"/>
  <c r="D43" i="10" s="1"/>
  <c r="D53" i="10" s="1"/>
  <c r="D55" i="10" s="1"/>
  <c r="F121" i="16"/>
  <c r="F123" i="16" s="1"/>
  <c r="F126" i="16" s="1"/>
  <c r="C72" i="14"/>
  <c r="F64" i="14"/>
  <c r="D50" i="16"/>
  <c r="D52" i="16"/>
  <c r="H59" i="4"/>
  <c r="C60" i="21"/>
  <c r="C62" i="21"/>
  <c r="C64" i="21" s="1"/>
  <c r="F114" i="16"/>
  <c r="F72" i="16"/>
  <c r="C76" i="16"/>
  <c r="E78" i="10" l="1"/>
  <c r="F77" i="10"/>
  <c r="F24" i="10"/>
  <c r="F26" i="10" s="1"/>
  <c r="E43" i="10" s="1"/>
  <c r="E53" i="10" s="1"/>
  <c r="E55" i="10" s="1"/>
  <c r="G24" i="10"/>
  <c r="G26" i="10" s="1"/>
  <c r="C53" i="10"/>
  <c r="C55" i="10" s="1"/>
  <c r="C58" i="10" s="1"/>
  <c r="D57" i="10" s="1"/>
  <c r="D58" i="10" s="1"/>
  <c r="E57" i="10" s="1"/>
  <c r="F76" i="16"/>
  <c r="C54" i="16"/>
  <c r="D54" i="16" s="1"/>
  <c r="F72" i="14"/>
  <c r="C74" i="14"/>
  <c r="C50" i="14"/>
  <c r="D50" i="14" s="1"/>
  <c r="D46" i="14"/>
  <c r="E125" i="16"/>
  <c r="E126" i="16" s="1"/>
  <c r="E130" i="16" s="1"/>
  <c r="D130" i="16"/>
  <c r="C78" i="14" l="1"/>
  <c r="F78" i="14" s="1"/>
  <c r="F74" i="14"/>
  <c r="E58" i="10"/>
  <c r="C80" i="16"/>
  <c r="F80" i="16" s="1"/>
  <c r="F43" i="10"/>
  <c r="F53" i="10" s="1"/>
  <c r="F55" i="10" s="1"/>
</calcChain>
</file>

<file path=xl/sharedStrings.xml><?xml version="1.0" encoding="utf-8"?>
<sst xmlns="http://schemas.openxmlformats.org/spreadsheetml/2006/main" count="1353" uniqueCount="628">
  <si>
    <t>(Siden det ikke er noen lagerendring, blir varekjøpet = varekostnaden · (1 + merverdiavgiften).)</t>
    <phoneticPr fontId="24" type="noConversion"/>
  </si>
  <si>
    <t>Offentlig gjeld øker – positiv virkning på likviditet)</t>
    <phoneticPr fontId="24" type="noConversion"/>
  </si>
  <si>
    <t>Endring kundefordringer</t>
    <phoneticPr fontId="24" type="noConversion"/>
  </si>
  <si>
    <t>Endring langsiktig gjeld (positiv virkning på likviditet)</t>
    <phoneticPr fontId="24" type="noConversion"/>
  </si>
  <si>
    <t>Kredittsalg</t>
    <phoneticPr fontId="24" type="noConversion"/>
  </si>
  <si>
    <t>Merverdiavgift</t>
    <phoneticPr fontId="24" type="noConversion"/>
  </si>
  <si>
    <t>Gjennom året belastes likviditetsreserven med kr 50 000.</t>
    <phoneticPr fontId="24" type="noConversion"/>
  </si>
  <si>
    <t>Bedriften har en reserve på kr 250 000 på kassekreditt og kontanter</t>
    <phoneticPr fontId="24" type="noConversion"/>
  </si>
  <si>
    <t xml:space="preserve">og bankinnskudd på kr 50 000. Dermed er reserven større enn </t>
    <phoneticPr fontId="24" type="noConversion"/>
  </si>
  <si>
    <t>likviditetsunderskuddet på kr 50 000. Dette kan da gjennomføres.</t>
    <phoneticPr fontId="24" type="noConversion"/>
  </si>
  <si>
    <t>Likviditetsutvikling  – fortegn angir negativ (–) eller positiv (+) virkning på likviditet.</t>
    <phoneticPr fontId="24" type="noConversion"/>
  </si>
  <si>
    <t>Merverdiavgift</t>
    <phoneticPr fontId="6" type="noConversion"/>
  </si>
  <si>
    <t>inkl. mva.</t>
    <phoneticPr fontId="6" type="noConversion"/>
  </si>
  <si>
    <t>Varesalg ekskl. mva.</t>
    <phoneticPr fontId="6" type="noConversion"/>
  </si>
  <si>
    <t>Bedriften må gå igjennom kostnadene for å finne eventuelle besparelser. Det er også</t>
    <phoneticPr fontId="24" type="noConversion"/>
  </si>
  <si>
    <t>*) 80 % av kostnaden er merverdiavgiftspliktig.</t>
    <phoneticPr fontId="24" type="noConversion"/>
  </si>
  <si>
    <t>Forretningseiendom er redusert med avskrivninger på kr 50 000.</t>
    <phoneticPr fontId="24" type="noConversion"/>
  </si>
  <si>
    <t>Biler og inventar er redusert med avskrivninger på kr 100 000, men ny bil er lagt til med kr 360 000.</t>
    <phoneticPr fontId="24" type="noConversion"/>
  </si>
  <si>
    <t>Varebeholdning er økt med kr 300 000.</t>
    <phoneticPr fontId="24" type="noConversion"/>
  </si>
  <si>
    <t>Kundefordringer er kredittsalg andre halvdel av mars (inkl. mva.).</t>
    <phoneticPr fontId="24" type="noConversion"/>
  </si>
  <si>
    <t>Annen egenkapital er redusert med underskuddet på kr 803 400.</t>
    <phoneticPr fontId="24" type="noConversion"/>
  </si>
  <si>
    <t>Pantelån er redusert med avdrag på kr 60 000.</t>
    <phoneticPr fontId="24" type="noConversion"/>
  </si>
  <si>
    <t>Kassekreditt er økt tilsvarende likviditetsunderskuddet for 1. kvartal.</t>
    <phoneticPr fontId="24" type="noConversion"/>
  </si>
  <si>
    <t>Leverandørgjeld er varekjøp i mars inklusive merverdiavgift.</t>
    <phoneticPr fontId="24" type="noConversion"/>
  </si>
  <si>
    <t>Arbeidsgiveravgift er 14,1 % av lønn i mars.</t>
    <phoneticPr fontId="24" type="noConversion"/>
  </si>
  <si>
    <t>Skyldig merverdiavgift er skyldig avgift for 1. kvartal.</t>
    <phoneticPr fontId="24" type="noConversion"/>
  </si>
  <si>
    <t>Betalbar skatt er redusert med betaling foretatt i februar (kr 500 000).</t>
    <phoneticPr fontId="24" type="noConversion"/>
  </si>
  <si>
    <t>Skyldig utbytte er betalt ut i sin helhet 1. kvartal.</t>
    <phoneticPr fontId="24" type="noConversion"/>
  </si>
  <si>
    <t>A/S Indir</t>
    <phoneticPr fontId="24" type="noConversion"/>
  </si>
  <si>
    <t>Leverandørgjeld er varekjøp inklusive merverdiavgift for mars.</t>
    <phoneticPr fontId="24" type="noConversion"/>
  </si>
  <si>
    <t>Arbeidsgiveravgift er skyldig avgift for mars (14,1 % av kr 500 000).</t>
    <phoneticPr fontId="24" type="noConversion"/>
  </si>
  <si>
    <t>Skyldige feriepenger er økt med skyldige feriepenger for 1. kvartal (12 % av kr 1 500 000).</t>
    <phoneticPr fontId="24" type="noConversion"/>
  </si>
  <si>
    <t>Skyldig merverdiavgift er skyldig avgift for 1. kvartal.</t>
    <phoneticPr fontId="24" type="noConversion"/>
  </si>
  <si>
    <t>Betalbar skatt er redusert med det beløpet som ble betalt i februar.</t>
    <phoneticPr fontId="24" type="noConversion"/>
  </si>
  <si>
    <t>Skyldig utbytte er betalt ut i sin helhet i 1. kvartal.</t>
    <phoneticPr fontId="24" type="noConversion"/>
  </si>
  <si>
    <t>Merverdiavgift =</t>
    <phoneticPr fontId="24" type="noConversion"/>
  </si>
  <si>
    <t>Merverdiavgift</t>
    <phoneticPr fontId="24" type="noConversion"/>
  </si>
  <si>
    <t>Salg inkl. mva.</t>
    <phoneticPr fontId="24" type="noConversion"/>
  </si>
  <si>
    <t>Utbetalingsbudsjett – indirekte kostnader:</t>
    <phoneticPr fontId="24" type="noConversion"/>
  </si>
  <si>
    <t>Utbetalingsbudsjett – leverandører:</t>
    <phoneticPr fontId="24" type="noConversion"/>
  </si>
  <si>
    <t>Andel kontantsalg:</t>
    <phoneticPr fontId="24" type="noConversion"/>
  </si>
  <si>
    <t>Andel kredittsalg:</t>
    <phoneticPr fontId="24" type="noConversion"/>
  </si>
  <si>
    <t>Inngående mva. investering</t>
    <phoneticPr fontId="24" type="noConversion"/>
  </si>
  <si>
    <t>(april)</t>
    <phoneticPr fontId="24" type="noConversion"/>
  </si>
  <si>
    <t>Andre driftskostnader</t>
    <phoneticPr fontId="24" type="noConversion"/>
  </si>
  <si>
    <t>Balanse per 31. mars</t>
    <phoneticPr fontId="24" type="noConversion"/>
  </si>
  <si>
    <t>Skyldig mva.</t>
    <phoneticPr fontId="24" type="noConversion"/>
  </si>
  <si>
    <t>Betaling for november og desember</t>
    <phoneticPr fontId="24" type="noConversion"/>
  </si>
  <si>
    <t>(april)</t>
    <phoneticPr fontId="24" type="noConversion"/>
  </si>
  <si>
    <t>(juni)</t>
    <phoneticPr fontId="24" type="noConversion"/>
  </si>
  <si>
    <t>Differanse inn-/utbetaling</t>
    <phoneticPr fontId="24" type="noConversion"/>
  </si>
  <si>
    <t>Balanse per 31. mars</t>
    <phoneticPr fontId="24" type="noConversion"/>
  </si>
  <si>
    <t>Biler og inventar er redusert med avskrivning på kr 100 000.</t>
    <phoneticPr fontId="24" type="noConversion"/>
  </si>
  <si>
    <t>Varebeholdning er redusert med kr 100 000 per måned, det vil si kr 300 000.</t>
    <phoneticPr fontId="24" type="noConversion"/>
  </si>
  <si>
    <t>Kundefordringer er kredittsalg i mars som kommer til utbetaling i april.</t>
    <phoneticPr fontId="24" type="noConversion"/>
  </si>
  <si>
    <t>Forretningseiendom er redusert med avskrivning på kr 50 000.</t>
    <phoneticPr fontId="24" type="noConversion"/>
  </si>
  <si>
    <t>Annen egenkapital er redusert med underskudd for 1. kvartal.</t>
    <phoneticPr fontId="24" type="noConversion"/>
  </si>
  <si>
    <t>Pantelån er redusert med avdrag på kr 2 millioner i mars.</t>
    <phoneticPr fontId="24" type="noConversion"/>
  </si>
  <si>
    <t>Kassekreditt er redusert med likviditetsoverskudd for 1. kvartal.</t>
    <phoneticPr fontId="24" type="noConversion"/>
  </si>
  <si>
    <t>UB 31.3.</t>
    <phoneticPr fontId="8" type="noConversion"/>
  </si>
  <si>
    <t>UB 31.1.</t>
    <phoneticPr fontId="8" type="noConversion"/>
  </si>
  <si>
    <t>Leverandørgjeld 1.1.</t>
    <phoneticPr fontId="8" type="noConversion"/>
  </si>
  <si>
    <t>Utbetalingsbudsjett leverandører</t>
    <phoneticPr fontId="8" type="noConversion"/>
  </si>
  <si>
    <t>Innbetalingsbudsjett kunder</t>
    <phoneticPr fontId="8" type="noConversion"/>
  </si>
  <si>
    <t>Likviditetsbudsjett</t>
    <phoneticPr fontId="8" type="noConversion"/>
  </si>
  <si>
    <t>Direkte lønn (prod. · 63)</t>
    <phoneticPr fontId="8" type="noConversion"/>
  </si>
  <si>
    <t>Var.tilv.utg. inkl. mva.</t>
    <phoneticPr fontId="8" type="noConversion"/>
  </si>
  <si>
    <t>Andre betalb. kostn. inkl. mva.</t>
    <phoneticPr fontId="8" type="noConversion"/>
  </si>
  <si>
    <t>Avgift 14,1 % =</t>
    <phoneticPr fontId="8" type="noConversion"/>
  </si>
  <si>
    <t>Råvarekjøp</t>
    <phoneticPr fontId="8" type="noConversion"/>
  </si>
  <si>
    <t>Ind.var. kostnader</t>
    <phoneticPr fontId="8" type="noConversion"/>
  </si>
  <si>
    <t>Diverse kostnader</t>
    <phoneticPr fontId="8" type="noConversion"/>
  </si>
  <si>
    <t>a)</t>
    <phoneticPr fontId="7" type="noConversion"/>
  </si>
  <si>
    <t>b)</t>
    <phoneticPr fontId="7" type="noConversion"/>
  </si>
  <si>
    <t>c)</t>
    <phoneticPr fontId="7" type="noConversion"/>
  </si>
  <si>
    <t>Antall enheter: 10 000 – 1 200 =</t>
    <phoneticPr fontId="7" type="noConversion"/>
  </si>
  <si>
    <t>d)</t>
    <phoneticPr fontId="7" type="noConversion"/>
  </si>
  <si>
    <t>Mengdeøkning = 800 enheter = 8 %</t>
    <phoneticPr fontId="7" type="noConversion"/>
  </si>
  <si>
    <t>Merverdiavgift =</t>
    <phoneticPr fontId="24" type="noConversion"/>
  </si>
  <si>
    <t>Annen egenskapital</t>
    <phoneticPr fontId="24" type="noConversion"/>
  </si>
  <si>
    <t>Salg inkl. mva.</t>
    <phoneticPr fontId="24" type="noConversion"/>
  </si>
  <si>
    <t>Innbetalingsbudsjett – kunder:</t>
    <phoneticPr fontId="24" type="noConversion"/>
  </si>
  <si>
    <t>Kontantsalg inkl. mva.</t>
    <phoneticPr fontId="24" type="noConversion"/>
  </si>
  <si>
    <t>Varekjøp eksl. mva.</t>
    <phoneticPr fontId="24" type="noConversion"/>
  </si>
  <si>
    <t>Utbetalingsbudsjett – leverandører</t>
    <phoneticPr fontId="24" type="noConversion"/>
  </si>
  <si>
    <t>Utbetalingsbudsjett – andre betalbare driftskostnader</t>
    <phoneticPr fontId="24" type="noConversion"/>
  </si>
  <si>
    <t>Utgående mva. varesalg:</t>
    <phoneticPr fontId="24" type="noConversion"/>
  </si>
  <si>
    <t>Inngående mva. varekjøp</t>
    <phoneticPr fontId="24" type="noConversion"/>
  </si>
  <si>
    <t>Inngående mva. indir. kostn.</t>
    <phoneticPr fontId="24" type="noConversion"/>
  </si>
  <si>
    <t>Utbetaling i:</t>
    <phoneticPr fontId="24" type="noConversion"/>
  </si>
  <si>
    <t xml:space="preserve">Utbetaling i: </t>
    <phoneticPr fontId="24" type="noConversion"/>
  </si>
  <si>
    <t>Varekjøpsbudsjett</t>
    <phoneticPr fontId="6" type="noConversion"/>
  </si>
  <si>
    <t>Likviditetsbudsjett</t>
    <phoneticPr fontId="6" type="noConversion"/>
  </si>
  <si>
    <t>Driftsbudsjett</t>
    <phoneticPr fontId="6" type="noConversion"/>
  </si>
  <si>
    <t>Innbetalinger – Utbetalinger</t>
    <phoneticPr fontId="6" type="noConversion"/>
  </si>
  <si>
    <t>Driftsinntekter ekskl. mva.</t>
    <phoneticPr fontId="6" type="noConversion"/>
  </si>
  <si>
    <t>Varekjøp i desember ekskl. mva.</t>
    <phoneticPr fontId="6" type="noConversion"/>
  </si>
  <si>
    <t>Varesalg ekskl. mva. i desember</t>
    <phoneticPr fontId="6" type="noConversion"/>
  </si>
  <si>
    <t>vil gå ned med rundt kr 6000 i løpet av desember.</t>
    <phoneticPr fontId="6" type="noConversion"/>
  </si>
  <si>
    <t>d)</t>
    <phoneticPr fontId="6" type="noConversion"/>
  </si>
  <si>
    <t>c)</t>
    <phoneticPr fontId="6" type="noConversion"/>
  </si>
  <si>
    <t>b)</t>
    <phoneticPr fontId="6" type="noConversion"/>
  </si>
  <si>
    <t>a)</t>
    <phoneticPr fontId="6" type="noConversion"/>
  </si>
  <si>
    <t>Utgående mva. på varesalg</t>
    <phoneticPr fontId="6" type="noConversion"/>
  </si>
  <si>
    <t>Inngående mva. varekjøp</t>
    <phoneticPr fontId="6" type="noConversion"/>
  </si>
  <si>
    <t>Inngående mva. driftskostnader</t>
    <phoneticPr fontId="6" type="noConversion"/>
  </si>
  <si>
    <t>–</t>
    <phoneticPr fontId="6" type="noConversion"/>
  </si>
  <si>
    <t>–</t>
    <phoneticPr fontId="6" type="noConversion"/>
  </si>
  <si>
    <t>Varesalg inkl. mva.</t>
    <phoneticPr fontId="6" type="noConversion"/>
  </si>
  <si>
    <t>Utbetalingsbudsjett til leverandører</t>
    <phoneticPr fontId="6" type="noConversion"/>
  </si>
  <si>
    <t>Mars per 10 dager</t>
    <phoneticPr fontId="6" type="noConversion"/>
  </si>
  <si>
    <t>Mars per 1 måned</t>
    <phoneticPr fontId="6" type="noConversion"/>
  </si>
  <si>
    <t>April per 10 dager</t>
    <phoneticPr fontId="6" type="noConversion"/>
  </si>
  <si>
    <t>April per 1 måned</t>
    <phoneticPr fontId="6" type="noConversion"/>
  </si>
  <si>
    <t>Mai per 10 dager</t>
    <phoneticPr fontId="6" type="noConversion"/>
  </si>
  <si>
    <t>Mai per 1 måned</t>
    <phoneticPr fontId="6" type="noConversion"/>
  </si>
  <si>
    <t>Juni per 10 dager</t>
    <phoneticPr fontId="6" type="noConversion"/>
  </si>
  <si>
    <t>Juni per 30 dager</t>
    <phoneticPr fontId="6" type="noConversion"/>
  </si>
  <si>
    <t>Salgsbudsjett</t>
    <phoneticPr fontId="8" type="noConversion"/>
  </si>
  <si>
    <t>Driftsbudsjett</t>
    <phoneticPr fontId="8" type="noConversion"/>
  </si>
  <si>
    <t>Materialbudsjett</t>
    <phoneticPr fontId="8" type="noConversion"/>
  </si>
  <si>
    <t>Materialforbruk</t>
    <phoneticPr fontId="8" type="noConversion"/>
  </si>
  <si>
    <t>Kjøp inkl, mva.</t>
    <phoneticPr fontId="8" type="noConversion"/>
  </si>
  <si>
    <t>Kundefordringer 1.1.</t>
    <phoneticPr fontId="8" type="noConversion"/>
  </si>
  <si>
    <t>Varekjøpsbudsjettet</t>
    <phoneticPr fontId="6" type="noConversion"/>
  </si>
  <si>
    <t>Mva.</t>
    <phoneticPr fontId="6" type="noConversion"/>
  </si>
  <si>
    <t>Mva.-faktor</t>
    <phoneticPr fontId="6" type="noConversion"/>
  </si>
  <si>
    <t>Mva.-faktor</t>
    <phoneticPr fontId="8" type="noConversion"/>
  </si>
  <si>
    <t>Sum</t>
    <phoneticPr fontId="6" type="noConversion"/>
  </si>
  <si>
    <t>Varekjøp ekskl. mva.</t>
    <phoneticPr fontId="6" type="noConversion"/>
  </si>
  <si>
    <t>Varekjøp inkl. mva.</t>
    <phoneticPr fontId="6" type="noConversion"/>
  </si>
  <si>
    <t>Innbetalingsbudsjett for kunder</t>
    <phoneticPr fontId="6" type="noConversion"/>
  </si>
  <si>
    <t>Utbetalingsbudsjett for leverandører</t>
    <phoneticPr fontId="6" type="noConversion"/>
  </si>
  <si>
    <t>Beløp</t>
    <phoneticPr fontId="6" type="noConversion"/>
  </si>
  <si>
    <t>Varekjøpsbudsjett</t>
    <phoneticPr fontId="24" type="noConversion"/>
  </si>
  <si>
    <t>Mva.</t>
    <phoneticPr fontId="24" type="noConversion"/>
  </si>
  <si>
    <t>Mva.-faktor</t>
    <phoneticPr fontId="24" type="noConversion"/>
  </si>
  <si>
    <t>Varesalg inkl. mva.</t>
    <phoneticPr fontId="24" type="noConversion"/>
  </si>
  <si>
    <t>Omsetning ekskl. mva.</t>
    <phoneticPr fontId="24" type="noConversion"/>
  </si>
  <si>
    <t>Lagerreduksjon</t>
    <phoneticPr fontId="24" type="noConversion"/>
  </si>
  <si>
    <t>Varekjøp ekskl. mva.</t>
    <phoneticPr fontId="24" type="noConversion"/>
  </si>
  <si>
    <t>Varekjøp inkl. mva.</t>
    <phoneticPr fontId="24" type="noConversion"/>
  </si>
  <si>
    <t>Likviditetsbudsjett</t>
    <phoneticPr fontId="24" type="noConversion"/>
  </si>
  <si>
    <t>Driftsresultatbudsjett</t>
    <phoneticPr fontId="24" type="noConversion"/>
  </si>
  <si>
    <t>Innbetalinger – utbetalinger</t>
    <phoneticPr fontId="24" type="noConversion"/>
  </si>
  <si>
    <t>(200 000 – 150 000 + 20 000)</t>
    <phoneticPr fontId="24" type="noConversion"/>
  </si>
  <si>
    <t>(55 000 – 10 000)</t>
    <phoneticPr fontId="24" type="noConversion"/>
  </si>
  <si>
    <t>– Faste kostnader</t>
    <phoneticPr fontId="24" type="noConversion"/>
  </si>
  <si>
    <t>– Varekostnad</t>
    <phoneticPr fontId="24" type="noConversion"/>
  </si>
  <si>
    <t>= Driftresultat</t>
    <phoneticPr fontId="24" type="noConversion"/>
  </si>
  <si>
    <t>(DB · 100) / Salgsinntekter</t>
    <phoneticPr fontId="24" type="noConversion"/>
  </si>
  <si>
    <t>(Faste kostnader · 100) / Dekningsgrad</t>
    <phoneticPr fontId="24" type="noConversion"/>
  </si>
  <si>
    <t>Innbetalingsbudsjett kunder</t>
    <phoneticPr fontId="6" type="noConversion"/>
  </si>
  <si>
    <t>Innbetaling i:</t>
    <phoneticPr fontId="24" type="noConversion"/>
  </si>
  <si>
    <t>Utbetaling i:</t>
    <phoneticPr fontId="6" type="noConversion"/>
  </si>
  <si>
    <t xml:space="preserve">legge til lønnskostnaden til sjåfør og dele dette på antall utkjøringer. Forutsetter vi at </t>
    <phoneticPr fontId="24" type="noConversion"/>
  </si>
  <si>
    <t>det går ned 20 % av et årsverk til utkjøring, og at et årsverk koster kr 450 000, blir kostnaden</t>
    <phoneticPr fontId="24" type="noConversion"/>
  </si>
  <si>
    <t>Velger en å kjøpe bil, må en ta alle kostnadene dette medfører (vist ovenfor), samt</t>
    <phoneticPr fontId="24" type="noConversion"/>
  </si>
  <si>
    <t>(108 000 + [450 000 · 20 %]) 198 000.</t>
    <phoneticPr fontId="24" type="noConversion"/>
  </si>
  <si>
    <t>Per utkjøring under forutsetningene i d) blir da: 198 000 / (240 · 3) = kr 275</t>
    <phoneticPr fontId="24" type="noConversion"/>
  </si>
  <si>
    <t>Kredittkjøp</t>
    <phoneticPr fontId="24" type="noConversion"/>
  </si>
  <si>
    <t>Med 40 dagers kredittid vil 2/3 av januarkjøpet betales i februar og 1/3 i mars. Tegn tidslinje.</t>
    <phoneticPr fontId="24" type="noConversion"/>
  </si>
  <si>
    <t>Merverdiavgift</t>
    <phoneticPr fontId="24" type="noConversion"/>
  </si>
  <si>
    <t>Sum dr.kostnader</t>
    <phoneticPr fontId="24" type="noConversion"/>
  </si>
  <si>
    <t>Sum innbetalinger</t>
    <phoneticPr fontId="24" type="noConversion"/>
  </si>
  <si>
    <t>Kredittkjøp med mva.</t>
    <phoneticPr fontId="24" type="noConversion"/>
  </si>
  <si>
    <t>Kredittsalg med mva.</t>
    <phoneticPr fontId="24" type="noConversion"/>
  </si>
  <si>
    <t>Sum utbetalinger</t>
    <phoneticPr fontId="24" type="noConversion"/>
  </si>
  <si>
    <t>Innbetalinger – Utbetalinger</t>
    <phoneticPr fontId="24" type="noConversion"/>
  </si>
  <si>
    <t>Salg med mva.</t>
    <phoneticPr fontId="24" type="noConversion"/>
  </si>
  <si>
    <t>Mva.</t>
    <phoneticPr fontId="8" type="noConversion"/>
  </si>
  <si>
    <t>28.2.</t>
    <phoneticPr fontId="8" type="noConversion"/>
  </si>
  <si>
    <t>Omsetning inkl. mva.</t>
    <phoneticPr fontId="8" type="noConversion"/>
  </si>
  <si>
    <t>Varekjøp inkl. mva.</t>
    <phoneticPr fontId="8" type="noConversion"/>
  </si>
  <si>
    <t>Omsetning ekskl. mva.</t>
    <phoneticPr fontId="8" type="noConversion"/>
  </si>
  <si>
    <t>Innbetalingsbudsjett kunder</t>
    <phoneticPr fontId="8" type="noConversion"/>
  </si>
  <si>
    <t>Varekjøpsbudsjett</t>
    <phoneticPr fontId="8" type="noConversion"/>
  </si>
  <si>
    <t>Januar</t>
    <phoneticPr fontId="8" type="noConversion"/>
  </si>
  <si>
    <t>Februar</t>
    <phoneticPr fontId="8" type="noConversion"/>
  </si>
  <si>
    <t>Sum</t>
    <phoneticPr fontId="8" type="noConversion"/>
  </si>
  <si>
    <t>Innbetalinger – Utbetalinger</t>
    <phoneticPr fontId="8" type="noConversion"/>
  </si>
  <si>
    <t>Varesalg inkl. mva.</t>
    <phoneticPr fontId="6" type="noConversion"/>
  </si>
  <si>
    <t>med underskudd, og vi har satt skattekostnaden til kr 0.</t>
    <phoneticPr fontId="24" type="noConversion"/>
  </si>
  <si>
    <t>aktuelt å finne en erstatning for driftsinntektene som er budsjettert med en reduksjon.</t>
    <phoneticPr fontId="24" type="noConversion"/>
  </si>
  <si>
    <t>Varekostnad</t>
    <phoneticPr fontId="24" type="noConversion"/>
  </si>
  <si>
    <t>Det budsjetterte resultatet ser utvilsomt bedre ut etter de nye forutsetningene. Ytredal må stille</t>
    <phoneticPr fontId="24" type="noConversion"/>
  </si>
  <si>
    <t>Sum</t>
    <phoneticPr fontId="24" type="noConversion"/>
  </si>
  <si>
    <t>Alternativene blir svært like i kostnad dersom en ser bort fra lønn til sjåfør. Dersom en</t>
    <phoneticPr fontId="24" type="noConversion"/>
  </si>
  <si>
    <t>tar utgangspunkt i at en av de ansatte skal benytte arbeidstiden til utkjøring, vil ikke denne</t>
    <phoneticPr fontId="24" type="noConversion"/>
  </si>
  <si>
    <t xml:space="preserve">personen generere inntekter mens han kjører bilen. Lønnskostnaden må derfor tas med i </t>
    <phoneticPr fontId="24" type="noConversion"/>
  </si>
  <si>
    <t>Dersom transportfirmaet velges, bør kundene betale kostnaden på kr 150 per utkjøring.</t>
    <phoneticPr fontId="24" type="noConversion"/>
  </si>
  <si>
    <t xml:space="preserve">  halvparten av salget i januar  kr 567 000 : 2 = </t>
    <phoneticPr fontId="24" type="noConversion"/>
  </si>
  <si>
    <t xml:space="preserve">   20 % av salget i mars  kr 819 000 · 0,2 = </t>
    <phoneticPr fontId="24" type="noConversion"/>
  </si>
  <si>
    <t xml:space="preserve"> +80 % av salget i februar  kr 661 500 · 0,8 = </t>
    <phoneticPr fontId="24" type="noConversion"/>
  </si>
  <si>
    <t xml:space="preserve"> +halvparten av salget i februar  kr 661 500 : 2 = </t>
    <phoneticPr fontId="24" type="noConversion"/>
  </si>
  <si>
    <t>1)   Halvparten av salget per 45 dager i januar.</t>
    <phoneticPr fontId="24" type="noConversion"/>
  </si>
  <si>
    <t>2)   Halvparten av salget per 45 dager i februar.</t>
    <phoneticPr fontId="24" type="noConversion"/>
  </si>
  <si>
    <t>3)   Halvparten av salget per 15 dager i februar.</t>
    <phoneticPr fontId="24" type="noConversion"/>
  </si>
  <si>
    <t>4)   Halvparten av salget per 15 dager i mars.</t>
    <phoneticPr fontId="24" type="noConversion"/>
  </si>
  <si>
    <t>Merverdiavgift</t>
    <phoneticPr fontId="6" type="noConversion"/>
  </si>
  <si>
    <t>Omsetning inkl. mva.</t>
    <phoneticPr fontId="6" type="noConversion"/>
  </si>
  <si>
    <t>Omsetning ekskl. mva.</t>
    <phoneticPr fontId="6" type="noConversion"/>
  </si>
  <si>
    <t>Januar</t>
    <phoneticPr fontId="6" type="noConversion"/>
  </si>
  <si>
    <t>Februar</t>
    <phoneticPr fontId="6" type="noConversion"/>
  </si>
  <si>
    <t>Mars</t>
    <phoneticPr fontId="6" type="noConversion"/>
  </si>
  <si>
    <t>Desember</t>
    <phoneticPr fontId="6" type="noConversion"/>
  </si>
  <si>
    <t>Kredittkjøp</t>
    <phoneticPr fontId="6" type="noConversion"/>
  </si>
  <si>
    <t>Per 10 d-10%</t>
    <phoneticPr fontId="6" type="noConversion"/>
  </si>
  <si>
    <t>Per 45 d</t>
    <phoneticPr fontId="6" type="noConversion"/>
  </si>
  <si>
    <t>Sum dr.kostnader</t>
    <phoneticPr fontId="24" type="noConversion"/>
  </si>
  <si>
    <t>Det budsjetterte underskuddet har sin hovedforklaring i de reduserte «andre driftsinntektene».</t>
    <phoneticPr fontId="24" type="noConversion"/>
  </si>
  <si>
    <t>budsjettet kan en se hvordan betalingsevnen vil bli dersom bedriftens</t>
    <phoneticPr fontId="24" type="noConversion"/>
  </si>
  <si>
    <t xml:space="preserve">planer holder stikk. Budsjettet vil vise om de planene en har, er </t>
    <phoneticPr fontId="24" type="noConversion"/>
  </si>
  <si>
    <t>mulig å gjennomføre.</t>
    <phoneticPr fontId="24" type="noConversion"/>
  </si>
  <si>
    <t xml:space="preserve">periodes tall (ofte forventet årsresultat) med forventninger om utvikling i </t>
    <phoneticPr fontId="24" type="noConversion"/>
  </si>
  <si>
    <t>kommende periode.</t>
    <phoneticPr fontId="24" type="noConversion"/>
  </si>
  <si>
    <t xml:space="preserve">For eksempel at Telenor skal etablere seg på det argentinske telemarkedet i løpet </t>
    <phoneticPr fontId="24" type="noConversion"/>
  </si>
  <si>
    <t>av kommende femårsperiode. Den operative planleggingen er knyttet til den mer</t>
    <phoneticPr fontId="24" type="noConversion"/>
  </si>
  <si>
    <t xml:space="preserve">kortsiktige driften av virksomheten og har gjerne en tidshorisont på ett år. </t>
    <phoneticPr fontId="24" type="noConversion"/>
  </si>
  <si>
    <t>består av innbetalinger og utbetalinger (kontantstrømmer).</t>
    <phoneticPr fontId="24" type="noConversion"/>
  </si>
  <si>
    <t>Salg med mva.</t>
    <phoneticPr fontId="24" type="noConversion"/>
  </si>
  <si>
    <t>alt salg per en måned:</t>
    <phoneticPr fontId="24" type="noConversion"/>
  </si>
  <si>
    <t>Forklaring til tallene:</t>
  </si>
  <si>
    <t>Indirekte kostnader</t>
  </si>
  <si>
    <t>Kredittsalg II</t>
  </si>
  <si>
    <t>Kredittsalg I</t>
  </si>
  <si>
    <t>Peder Ås A/S</t>
  </si>
  <si>
    <t>Likviditetstilgang i løpet av året</t>
  </si>
  <si>
    <t>Skattebetaling</t>
  </si>
  <si>
    <t>Nyinvestering</t>
  </si>
  <si>
    <t>Endring varelager</t>
  </si>
  <si>
    <t>Endring offentlig gjeld</t>
  </si>
  <si>
    <t>Endring langsiktig gjeld</t>
  </si>
  <si>
    <t>Endring leverandørgjeld</t>
  </si>
  <si>
    <t>Budsjettert resultat før skatt:</t>
  </si>
  <si>
    <t>Utbytte betales med</t>
  </si>
  <si>
    <t xml:space="preserve">Skatt betales med </t>
  </si>
  <si>
    <t>Endring (negativ virkning på likviditet)</t>
  </si>
  <si>
    <t>Nyinvesteringer</t>
  </si>
  <si>
    <t>Avskrivninger (positiv virkning på likviditet)</t>
  </si>
  <si>
    <t>Endring (positiv virkning på likviditet)</t>
  </si>
  <si>
    <t>Endring kundefordringer</t>
  </si>
  <si>
    <t>Likviditetsutvikling:</t>
  </si>
  <si>
    <t>Offentlig gjeld</t>
  </si>
  <si>
    <t>Langsiktig gjeld</t>
  </si>
  <si>
    <t>Biler</t>
  </si>
  <si>
    <t>Inventar</t>
  </si>
  <si>
    <t>Bygninger</t>
  </si>
  <si>
    <t>Skyldige feriepenger (nedgang)</t>
  </si>
  <si>
    <t xml:space="preserve">Endring </t>
  </si>
  <si>
    <t xml:space="preserve">Avskrivninger </t>
  </si>
  <si>
    <t xml:space="preserve">Skyldige feriepenger reduseres med </t>
  </si>
  <si>
    <t>Offentlig gjeld øker med</t>
  </si>
  <si>
    <t xml:space="preserve">Endring langsiktig gjeld </t>
  </si>
  <si>
    <t>A/S Byggevare</t>
  </si>
  <si>
    <t>Forklaring til tallene i balansen (bare de tallene som er endret fra 1. januar)</t>
  </si>
  <si>
    <t>Sum</t>
  </si>
  <si>
    <t>Skyldig utbytte</t>
  </si>
  <si>
    <t>Betalbar skatt</t>
  </si>
  <si>
    <t>Skyldig merverdiavgift</t>
  </si>
  <si>
    <t>Skyldige feriepenger</t>
  </si>
  <si>
    <t>Leverandørgjeld</t>
  </si>
  <si>
    <t>Kontanter/bankinnskudd</t>
  </si>
  <si>
    <t>Kassekreditt</t>
  </si>
  <si>
    <t>Kundefordringer</t>
  </si>
  <si>
    <t>Pantelån</t>
  </si>
  <si>
    <t>Varebeholdning</t>
  </si>
  <si>
    <t>Annen egenkapital</t>
  </si>
  <si>
    <t>Biler og inventar</t>
  </si>
  <si>
    <t>Aksjekapital</t>
  </si>
  <si>
    <t>Forretningseiendom</t>
  </si>
  <si>
    <t xml:space="preserve">Renter </t>
  </si>
  <si>
    <t>Andre driftskostn.</t>
  </si>
  <si>
    <t>Total</t>
  </si>
  <si>
    <t>Resultatbudsjett:</t>
  </si>
  <si>
    <t>Skatt</t>
  </si>
  <si>
    <t>Utbytte</t>
  </si>
  <si>
    <t>Avdrag</t>
  </si>
  <si>
    <t>Renter</t>
  </si>
  <si>
    <t>Andre betalbare kostnader</t>
  </si>
  <si>
    <t>Leverandører</t>
  </si>
  <si>
    <t>Sum innbetalinger</t>
  </si>
  <si>
    <t>Likviditetsbudsjett:</t>
  </si>
  <si>
    <t>Betaling for mars</t>
  </si>
  <si>
    <t>Betaling for januar og februar</t>
  </si>
  <si>
    <t>Betalingsbudsjett for merverdiavgift:</t>
  </si>
  <si>
    <t>Budsjett for merverdiavgift:</t>
  </si>
  <si>
    <t>Utbetaling</t>
  </si>
  <si>
    <t>Kostnad</t>
  </si>
  <si>
    <t>Varekjøpsbudsjett:</t>
  </si>
  <si>
    <t xml:space="preserve">Total innbetaling </t>
  </si>
  <si>
    <t>Totalt salg</t>
  </si>
  <si>
    <t>Kreditsalg</t>
  </si>
  <si>
    <t>Totalt</t>
  </si>
  <si>
    <t>Salgsbudsjett for 1. kvartal:</t>
  </si>
  <si>
    <t>Annen egenskaptial</t>
  </si>
  <si>
    <t>Åpningsbalanse</t>
  </si>
  <si>
    <t>Kassekredittlimit:</t>
  </si>
  <si>
    <t>Forventet bruttofortjeneste:</t>
  </si>
  <si>
    <t>Lars Holm A/S</t>
  </si>
  <si>
    <t>ikke er oppfylt.</t>
  </si>
  <si>
    <t>Mink og Mercedes</t>
  </si>
  <si>
    <t>AS Bakkenteigen</t>
  </si>
  <si>
    <t>Resultatbudsjettet består av inntekter og kostnader, mens likviditetsbudsjettet</t>
  </si>
  <si>
    <t>AS Miljøhandel</t>
  </si>
  <si>
    <t>Likviditetsbudsjett</t>
  </si>
  <si>
    <t>Delbudsjetter:</t>
  </si>
  <si>
    <t>Hovedbudsjett:</t>
  </si>
  <si>
    <t>Varesalg</t>
  </si>
  <si>
    <t>Sum 1. kvartal</t>
  </si>
  <si>
    <t>Lønnsutbetalinger</t>
  </si>
  <si>
    <t>Avdrag og renter</t>
  </si>
  <si>
    <t>Innbetalingsoverskudd</t>
  </si>
  <si>
    <t>Det ser ut som om bedriften ikke vil få likviditetsproblemer kommende kvartal</t>
  </si>
  <si>
    <t>til tross for at de finansierer en investering uten tilførsel av langsiktig kapital.</t>
  </si>
  <si>
    <t>DRIFTSRESULTATBUDSJETT</t>
  </si>
  <si>
    <t>September</t>
  </si>
  <si>
    <t>Oktober</t>
  </si>
  <si>
    <t>Forutsatt 12 % feriepenger</t>
  </si>
  <si>
    <t>Forutsatt 14,1 % arbeidsgiveravgift</t>
  </si>
  <si>
    <t>= Dekningsbidrag</t>
  </si>
  <si>
    <t>Dekningsgrad</t>
  </si>
  <si>
    <t>Dekningspunktomsetning</t>
  </si>
  <si>
    <t>Utbetaling kredittkjøp</t>
  </si>
  <si>
    <t>Utbetalinger:</t>
  </si>
  <si>
    <r>
      <t>Andre driftskostnader*</t>
    </r>
    <r>
      <rPr>
        <vertAlign val="superscript"/>
        <sz val="10"/>
        <rFont val="Arial"/>
        <family val="2"/>
      </rPr>
      <t>)</t>
    </r>
  </si>
  <si>
    <t>Investering</t>
  </si>
  <si>
    <t xml:space="preserve">Mål </t>
  </si>
  <si>
    <t>Faktisk prosent</t>
  </si>
  <si>
    <t>Handelsbedriften AS</t>
  </si>
  <si>
    <t xml:space="preserve">Innbetaling i mars forutsatt </t>
  </si>
  <si>
    <t>alt salg kontant:</t>
  </si>
  <si>
    <t xml:space="preserve">alt salg per 45 dager: </t>
  </si>
  <si>
    <t xml:space="preserve">20 % kontant og resten per en måned: </t>
  </si>
  <si>
    <t xml:space="preserve">25 % per 15 dager og resten per 45 dager: </t>
  </si>
  <si>
    <t>Salg med merverdiavgift</t>
  </si>
  <si>
    <t>Innbet. i</t>
  </si>
  <si>
    <t xml:space="preserve"> Måned</t>
  </si>
  <si>
    <t>Per 15 dager</t>
  </si>
  <si>
    <t>Per 45 dager</t>
  </si>
  <si>
    <t>mars</t>
  </si>
  <si>
    <t xml:space="preserve"> Januar</t>
  </si>
  <si>
    <t xml:space="preserve"> Februar</t>
  </si>
  <si>
    <t>2, 3)</t>
  </si>
  <si>
    <t xml:space="preserve"> Mars</t>
  </si>
  <si>
    <t>4)</t>
  </si>
  <si>
    <t>Innbetalingen i mars består av</t>
  </si>
  <si>
    <t>Kongsberg handel</t>
  </si>
  <si>
    <t>Dagens situasjon er utgangspunkt for neste års budsjett, hvor vi korrigerer forrige</t>
  </si>
  <si>
    <t>Strategisk planlegging er knyttet til bedriftens langtidsplaner eller strategiplaner.</t>
  </si>
  <si>
    <t>firma) siden disse kostnadene varierer med aktiviteten (ingen salg en en uke, ingen transportkostnader)</t>
  </si>
  <si>
    <t>Et annet poeng er at dersom bedriften kjøper bilen, vil dette medføre en økning i de faste</t>
  </si>
  <si>
    <t>20x1</t>
  </si>
  <si>
    <t>Annen driftsinntekt</t>
  </si>
  <si>
    <t>Sum driftsinntekter</t>
  </si>
  <si>
    <t>Renteinntekt</t>
  </si>
  <si>
    <t>Årsresultat</t>
  </si>
  <si>
    <t>Forutsetninger for budsjettoppsettet:</t>
  </si>
  <si>
    <t>Vi har redusert bade rentekostnadene og -inntektene med 10 %. Det er budsjettert</t>
  </si>
  <si>
    <t>Berger Produkter AS</t>
  </si>
  <si>
    <t>Resultat etter sk.kostnad</t>
  </si>
  <si>
    <t>Varekostnad i % av salg</t>
  </si>
  <si>
    <t>Vi viser delbudsjettene som likviditetsbudsjettet bygger på:</t>
  </si>
  <si>
    <t>Budsjett for innbetaling fra kunder:</t>
  </si>
  <si>
    <t>Senere</t>
  </si>
  <si>
    <t>IB kunder</t>
  </si>
  <si>
    <t>Innbetaling kredittsalg</t>
  </si>
  <si>
    <t>Innbetaling kontantsalg</t>
  </si>
  <si>
    <t>Budsjett for utbetaling til leverandører:</t>
  </si>
  <si>
    <t>IB leverandører</t>
  </si>
  <si>
    <t>Varekjøp januar</t>
  </si>
  <si>
    <t>Varekjøp februar</t>
  </si>
  <si>
    <t>Varekjøp mars</t>
  </si>
  <si>
    <t>Nedgang i omsetningen = 600 000 =</t>
  </si>
  <si>
    <t>Reduserte prod.kostnader</t>
  </si>
  <si>
    <t>Redusert reklame</t>
  </si>
  <si>
    <t>Økte avskrivninger</t>
  </si>
  <si>
    <t>Økte rentekostnader</t>
  </si>
  <si>
    <t>Ny pris</t>
  </si>
  <si>
    <t>Omsatt mengde</t>
  </si>
  <si>
    <t>Mengdenedgang i prosent</t>
  </si>
  <si>
    <t>Låneopptak</t>
  </si>
  <si>
    <t>Innbytte gammel bil</t>
  </si>
  <si>
    <t>Differanse=</t>
  </si>
  <si>
    <t>Her må vi beregne avgiften for 1. termin (januar og februar)</t>
  </si>
  <si>
    <t>=</t>
  </si>
  <si>
    <t>Skyldig avgift 1. termin</t>
  </si>
  <si>
    <r>
      <t xml:space="preserve">Arbeidsgiveravgift </t>
    </r>
    <r>
      <rPr>
        <vertAlign val="superscript"/>
        <sz val="11"/>
        <rFont val="Times New Roman"/>
        <family val="1"/>
      </rPr>
      <t>1)</t>
    </r>
  </si>
  <si>
    <t>1)</t>
  </si>
  <si>
    <t>14,1 % arbeidsgiveravgift</t>
  </si>
  <si>
    <t>Omsetning ekskl. mva i mars 2010 =</t>
  </si>
  <si>
    <t>Salg- og varekjøpsbudsjett</t>
  </si>
  <si>
    <t>Til</t>
  </si>
  <si>
    <t>balansen</t>
  </si>
  <si>
    <t>b)</t>
  </si>
  <si>
    <t>a)</t>
  </si>
  <si>
    <t>Avanseprosent:</t>
  </si>
  <si>
    <t>Kontantkjøp</t>
  </si>
  <si>
    <t>November</t>
  </si>
  <si>
    <t>c)</t>
  </si>
  <si>
    <t>d)</t>
  </si>
  <si>
    <t>Varekjøp</t>
  </si>
  <si>
    <t>e)</t>
  </si>
  <si>
    <t>Regnskap</t>
  </si>
  <si>
    <t>Budsjett</t>
  </si>
  <si>
    <t>20x2</t>
  </si>
  <si>
    <t>Kr</t>
  </si>
  <si>
    <t>%</t>
  </si>
  <si>
    <t>Varekostnad</t>
  </si>
  <si>
    <t>ADK</t>
  </si>
  <si>
    <t>Rentekostnader</t>
  </si>
  <si>
    <t>Resultat før skattekostnad</t>
  </si>
  <si>
    <t>Skattekostnad</t>
  </si>
  <si>
    <t>Revidert budsjett</t>
  </si>
  <si>
    <t>Månedsfordelt budsjett:</t>
  </si>
  <si>
    <t>Fordeling inntekter</t>
  </si>
  <si>
    <t>Fordeling kostnader</t>
  </si>
  <si>
    <t>Bilkostnader</t>
  </si>
  <si>
    <t>AS Bil</t>
  </si>
  <si>
    <t>Antall virkedager:</t>
  </si>
  <si>
    <t>Antall utkjøringer hver dag:</t>
  </si>
  <si>
    <t>Pris per utkjøring:</t>
  </si>
  <si>
    <t>Årlig kostnad transportfirma</t>
  </si>
  <si>
    <t>Drifte egen bil:</t>
  </si>
  <si>
    <t>Driftutgifter</t>
  </si>
  <si>
    <t>Rentekostnad</t>
  </si>
  <si>
    <t>(alternativt 15 000)</t>
  </si>
  <si>
    <t>Sum kostnad</t>
  </si>
  <si>
    <t>regnestykket som en kostnad. Dermed vil transportfirmaets tilbud være å foretrekke.</t>
  </si>
  <si>
    <t>kostnadene. Det er mindre risikofylt med en økning i de variable kostnadene (transport-</t>
  </si>
  <si>
    <t>Kalkulatoriske kostnader</t>
  </si>
  <si>
    <t>Oppgaven ber bare om kolonnen helt til høyre.</t>
  </si>
  <si>
    <t>Varekostnad i desember</t>
  </si>
  <si>
    <t xml:space="preserve">Ved å sammenligne varekjøpet med varekostnadene ser det ut til at varelageret </t>
  </si>
  <si>
    <t>Driftsresultat hittil i kvartalet</t>
  </si>
  <si>
    <t>Lønn for mars og april</t>
  </si>
  <si>
    <t>Utbetalt provisjon i mars og april</t>
  </si>
  <si>
    <t>Likviditetsbudsjettet er et viktig verktøy for å styre den likviditets-</t>
  </si>
  <si>
    <t>messige (pengemessige) utviklingen. Med utgangspunkt i likviditets-</t>
  </si>
  <si>
    <t>Oppgave B</t>
  </si>
  <si>
    <t>Produksjon</t>
  </si>
  <si>
    <t>Salg</t>
  </si>
  <si>
    <t>Materialer</t>
  </si>
  <si>
    <t>Andre var.kostn.</t>
  </si>
  <si>
    <t>Tilv.merkost</t>
  </si>
  <si>
    <t>Økning ferdigvarer</t>
  </si>
  <si>
    <t>Tilv.merkost solgte varer</t>
  </si>
  <si>
    <t>Salgsinntekt</t>
  </si>
  <si>
    <t>Dekningsbidrag</t>
  </si>
  <si>
    <t>Faste kostnader</t>
  </si>
  <si>
    <t>Indirekte lønn</t>
  </si>
  <si>
    <t>Andre betalbare kostn.</t>
  </si>
  <si>
    <t>Ferielønn</t>
  </si>
  <si>
    <t xml:space="preserve">   egentlig</t>
  </si>
  <si>
    <t>Kalk. renter</t>
  </si>
  <si>
    <t>Oppgave A</t>
  </si>
  <si>
    <t>Materialforbruk</t>
  </si>
  <si>
    <t>Materialkjøp</t>
  </si>
  <si>
    <t>Oppgave C</t>
  </si>
  <si>
    <t>Arbeidsgiveravgift for januar og februar</t>
  </si>
  <si>
    <t>Direkte lønn (ren lønn)</t>
  </si>
  <si>
    <t>Grunnlag arbeidsgiveravgift</t>
  </si>
  <si>
    <t xml:space="preserve"> som avrundes til</t>
  </si>
  <si>
    <t>Oppgave D</t>
  </si>
  <si>
    <t>Utgående merverdiavgift januar og februar</t>
  </si>
  <si>
    <t>Inngående merverdiavgift januar og februar</t>
  </si>
  <si>
    <t>Å betale 10. april</t>
  </si>
  <si>
    <t>Lønnskostnader</t>
  </si>
  <si>
    <t>Andre variable kostnader</t>
  </si>
  <si>
    <t>Direkte lønn</t>
  </si>
  <si>
    <t>SUM</t>
  </si>
  <si>
    <t>Salgsinntekter</t>
  </si>
  <si>
    <t>Januar</t>
  </si>
  <si>
    <t>Februar</t>
  </si>
  <si>
    <t>Varekostnader</t>
  </si>
  <si>
    <t>Lønn</t>
  </si>
  <si>
    <t>Feriepenger</t>
  </si>
  <si>
    <t>Arbeidsgiveravgift</t>
  </si>
  <si>
    <t>Husleie</t>
  </si>
  <si>
    <t>Andre driftskostnader</t>
  </si>
  <si>
    <t>Avskrivninger</t>
  </si>
  <si>
    <t>Driftsresultat</t>
  </si>
  <si>
    <t>Innbetaling i:</t>
  </si>
  <si>
    <t>IB</t>
  </si>
  <si>
    <t>Lagerendring</t>
  </si>
  <si>
    <t>Utbetaling i:</t>
  </si>
  <si>
    <t>LIKVIDITETSBUDSJETT</t>
  </si>
  <si>
    <t>Innbetalinger</t>
  </si>
  <si>
    <t>Fra kunder</t>
  </si>
  <si>
    <t>Utbetalinger</t>
  </si>
  <si>
    <t>Til leverandører</t>
  </si>
  <si>
    <t>Renter og avdrag</t>
  </si>
  <si>
    <t>Merverdiavgift</t>
  </si>
  <si>
    <t>Forhåndsskatt</t>
  </si>
  <si>
    <t>Sum utbetalinger</t>
  </si>
  <si>
    <t>Likviditetsreserve IB</t>
  </si>
  <si>
    <t>Likviditetsreserve UB</t>
  </si>
  <si>
    <t>Resultat</t>
  </si>
  <si>
    <t>Til gode</t>
  </si>
  <si>
    <t>April</t>
  </si>
  <si>
    <t>Mai</t>
  </si>
  <si>
    <t>Juni</t>
  </si>
  <si>
    <t>Innbetalinger fra kunder</t>
  </si>
  <si>
    <t>Mars</t>
  </si>
  <si>
    <t>Omsetning ekskl. mva</t>
  </si>
  <si>
    <t>Avanse</t>
  </si>
  <si>
    <t>Inntakskost</t>
  </si>
  <si>
    <t>Lagerreduksjon</t>
  </si>
  <si>
    <t>UB</t>
  </si>
  <si>
    <t>Innbetalinger:</t>
  </si>
  <si>
    <t>Diverse driftsutgifter</t>
  </si>
  <si>
    <t>Ny bil</t>
  </si>
  <si>
    <t>Merverdi- og inv.avg.</t>
  </si>
  <si>
    <t>Aksjeutbytte</t>
  </si>
  <si>
    <t>Renter og provisjon</t>
  </si>
  <si>
    <t>Innbetalinger- utbetalinger</t>
  </si>
  <si>
    <t>Inntekter</t>
  </si>
  <si>
    <t>Kostnader</t>
  </si>
  <si>
    <t>Kalkulatoriske renter</t>
  </si>
  <si>
    <t>Kalkulatoriske avskrivninger</t>
  </si>
  <si>
    <t>Sum kostnader</t>
  </si>
  <si>
    <t>Driftsresultat hittil i år</t>
  </si>
  <si>
    <t>Salgsmåned</t>
  </si>
  <si>
    <t>Totalsalg</t>
  </si>
  <si>
    <t>Kontantsalg</t>
  </si>
  <si>
    <t>Kredittsalg</t>
  </si>
  <si>
    <t>Desember</t>
  </si>
  <si>
    <t>Omsetning inkl. mva</t>
  </si>
  <si>
    <t>Beholdningsøkning</t>
  </si>
  <si>
    <t>Varekjøp ekskl. mva.</t>
  </si>
  <si>
    <t>Varekjøp inkl. mva.</t>
  </si>
  <si>
    <t>Betaling skjer i:</t>
  </si>
  <si>
    <t>Provisjon</t>
  </si>
  <si>
    <t>Diverse kostnader</t>
  </si>
  <si>
    <t>Privatuttak</t>
  </si>
  <si>
    <t>Datautstyr</t>
  </si>
  <si>
    <t>Beløp</t>
  </si>
  <si>
    <t>Innbetaling skjer i:</t>
  </si>
  <si>
    <t>November 19x0</t>
  </si>
  <si>
    <t>Desember 19x0</t>
  </si>
  <si>
    <t>Januar 19x1</t>
  </si>
  <si>
    <t>Februar 19x1</t>
  </si>
  <si>
    <t>Mars 19x1</t>
  </si>
  <si>
    <t>Beholdningsendring</t>
  </si>
  <si>
    <t>Betalingsmåned</t>
  </si>
  <si>
    <t>Nytt inventar</t>
  </si>
  <si>
    <t>seg kritisk til de nye forutsetningene og vurdere om de er realistiske.</t>
  </si>
  <si>
    <r>
      <t>Lønn**</t>
    </r>
    <r>
      <rPr>
        <vertAlign val="superscript"/>
        <sz val="10"/>
        <rFont val="Arial"/>
        <family val="2"/>
      </rPr>
      <t>)</t>
    </r>
  </si>
  <si>
    <t>Av dette utgjør arbeidsgiveravgiften (14,1 %)</t>
  </si>
  <si>
    <t>Lønnskostnaden fra c) inkluderer feriepenger (14,1%) og arbeidsgiveravgift (10,2 %)</t>
  </si>
  <si>
    <t>Lønnskostnaden uten arbeidsgiveravgift</t>
  </si>
  <si>
    <t>Lønnsutbetaling per måned</t>
  </si>
  <si>
    <t>Lønnskostnaden fra c)</t>
  </si>
  <si>
    <r>
      <t>**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 xml:space="preserve"> Hvordan er lønnsutbetalingen på kr 99 250 fremkommet?</t>
    </r>
  </si>
  <si>
    <t>avrundet til</t>
  </si>
  <si>
    <t>Fratrukket 10,2 % feriepenger</t>
  </si>
  <si>
    <t>(48 000 - 6 000 + 8 000)</t>
  </si>
  <si>
    <t>Inngående mva investering</t>
  </si>
  <si>
    <t xml:space="preserve">Pris i 20x8: </t>
  </si>
  <si>
    <t>Omsatt mengde i 20x8:</t>
  </si>
  <si>
    <t>Driftsregnskap 20x8</t>
  </si>
  <si>
    <t>Oppgave 8.15</t>
  </si>
  <si>
    <t>A.</t>
  </si>
  <si>
    <t>Inndata:</t>
  </si>
  <si>
    <t>Resultatbudsjett for mai:</t>
  </si>
  <si>
    <t xml:space="preserve">Forventet omsetning inkl mva </t>
  </si>
  <si>
    <t>Økning kundefordringer</t>
  </si>
  <si>
    <t>Budsjettert avanse</t>
  </si>
  <si>
    <t>Planlagt beholdningsreduksjon</t>
  </si>
  <si>
    <t>Lønnsutbetaling = lønnskostnad</t>
  </si>
  <si>
    <t>Utbetaling feriepenger fra mai</t>
  </si>
  <si>
    <t>Forskudd husleie for mai og juni</t>
  </si>
  <si>
    <t>(betalt i april)</t>
  </si>
  <si>
    <t>Skyldige driftskostnader 1. mai</t>
  </si>
  <si>
    <t>Skyldige driftskostnader 31. mai</t>
  </si>
  <si>
    <t>Driftskostnader</t>
  </si>
  <si>
    <t>Utbetaling av driftskostnader</t>
  </si>
  <si>
    <t>(inkl. 10 000 mva)</t>
  </si>
  <si>
    <t>Renter pantlån</t>
  </si>
  <si>
    <t>Investering datautstyr</t>
  </si>
  <si>
    <t>(betales 50 % i mai)</t>
  </si>
  <si>
    <t>Avskrivning</t>
  </si>
  <si>
    <t>Betaling av arbeidsgiveravgift</t>
  </si>
  <si>
    <t>Renter på pantelån for mai</t>
  </si>
  <si>
    <t>Avdrag pantelån</t>
  </si>
  <si>
    <t>B.</t>
  </si>
  <si>
    <t>Avskrivning per måned</t>
  </si>
  <si>
    <t>Innbetaling fra kunder:</t>
  </si>
  <si>
    <t>Budsjettert leverandørgjeld 1. mai</t>
  </si>
  <si>
    <t>Budsjettert leverandørgjeld 31. mai</t>
  </si>
  <si>
    <t>Omseting inkl. mva</t>
  </si>
  <si>
    <t xml:space="preserve">Merverdiavgift </t>
  </si>
  <si>
    <t>Økning kunderfordringer</t>
  </si>
  <si>
    <t>Innbetalt fra kunder</t>
  </si>
  <si>
    <t>C.</t>
  </si>
  <si>
    <t>Ingen innvirkning på resultatet. Varekjøpet blir</t>
  </si>
  <si>
    <t>påvirket men ikke varekostnaden.</t>
  </si>
  <si>
    <t>Oppgave 8.16</t>
  </si>
  <si>
    <t>Likviditetsbudsjett for november</t>
  </si>
  <si>
    <t>Lurer du på hvordan tallene er fremkommet så klikk på de enkelte cellene for å se hvordan de er bygd opp</t>
  </si>
  <si>
    <t>Inndata til bruk i likviditetsbudsjettet:</t>
  </si>
  <si>
    <t>Forventet omsetning uten mva</t>
  </si>
  <si>
    <t>Merverdiavgiftsats</t>
  </si>
  <si>
    <t>Endring kunderfordringer</t>
  </si>
  <si>
    <t>Avanse (beregnet av inntakskost)</t>
  </si>
  <si>
    <t>Beh endring varer</t>
  </si>
  <si>
    <t>Lønnskostnad</t>
  </si>
  <si>
    <t>Forskuddsbetalt lønn foreg måned</t>
  </si>
  <si>
    <t>Skyldig lønn fra inneværende måned</t>
  </si>
  <si>
    <t>Utbetaling av indirekte driftskostnader</t>
  </si>
  <si>
    <t>Indirekte driftskostnader</t>
  </si>
  <si>
    <t>Skyldig indirekte driftskostnader foreg måned</t>
  </si>
  <si>
    <t>Skyldig indirekte driftskostnader inneværende måned</t>
  </si>
  <si>
    <t>Inngående mva driftskostnader</t>
  </si>
  <si>
    <t>Arbeidsgiveravgift - betaling</t>
  </si>
  <si>
    <t>Rentebetaling</t>
  </si>
  <si>
    <t>Inngående likviditetsreserve</t>
  </si>
  <si>
    <t xml:space="preserve">Avdrag - betaling </t>
  </si>
  <si>
    <t>Utgående likviditetsreserve</t>
  </si>
  <si>
    <t>Leverandørgjeld IB</t>
  </si>
  <si>
    <t>Leverandørgjeld UB</t>
  </si>
  <si>
    <t>Inngående kassebeholdning</t>
  </si>
  <si>
    <t>Personalkostnader for november:</t>
  </si>
  <si>
    <t>Ubenyttet kassekreditt 1. november</t>
  </si>
  <si>
    <t xml:space="preserve">Likviditeten blir forbedret med: </t>
  </si>
  <si>
    <t>20x8</t>
  </si>
  <si>
    <t>20x9</t>
  </si>
  <si>
    <t>Vi ser at kravet om at resultat før skattekostnad skal utgjøre 5 % av salgsinntektene,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</si>
</sst>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31" x14ac:knownFonts="1">
    <font>
      <sz val="10"/>
      <name val="Times New Roman"/>
    </font>
    <font>
      <sz val="10"/>
      <name val="Times New Roman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i/>
      <u/>
      <sz val="11"/>
      <name val="Arial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  <font>
      <sz val="10"/>
      <color indexed="10"/>
      <name val="Times New Roman"/>
    </font>
    <font>
      <b/>
      <sz val="12"/>
      <name val="Arial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5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10" xfId="0" applyNumberFormat="1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3" fontId="2" fillId="0" borderId="11" xfId="0" applyNumberFormat="1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6" xfId="0" applyFont="1" applyBorder="1"/>
    <xf numFmtId="3" fontId="2" fillId="0" borderId="17" xfId="0" applyNumberFormat="1" applyFont="1" applyBorder="1"/>
    <xf numFmtId="0" fontId="2" fillId="0" borderId="16" xfId="0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0" fontId="2" fillId="0" borderId="22" xfId="0" applyFont="1" applyBorder="1"/>
    <xf numFmtId="0" fontId="3" fillId="0" borderId="4" xfId="0" applyFont="1" applyBorder="1"/>
    <xf numFmtId="0" fontId="9" fillId="0" borderId="0" xfId="4" applyFont="1"/>
    <xf numFmtId="3" fontId="10" fillId="0" borderId="0" xfId="4" applyNumberFormat="1" applyFont="1"/>
    <xf numFmtId="0" fontId="10" fillId="0" borderId="0" xfId="4" applyFont="1"/>
    <xf numFmtId="0" fontId="10" fillId="0" borderId="23" xfId="4" applyFont="1" applyBorder="1"/>
    <xf numFmtId="3" fontId="10" fillId="0" borderId="5" xfId="4" applyNumberFormat="1" applyFont="1" applyBorder="1"/>
    <xf numFmtId="3" fontId="10" fillId="0" borderId="8" xfId="4" applyNumberFormat="1" applyFont="1" applyBorder="1" applyAlignment="1">
      <alignment horizontal="center"/>
    </xf>
    <xf numFmtId="3" fontId="10" fillId="0" borderId="5" xfId="4" applyNumberFormat="1" applyFont="1" applyBorder="1" applyAlignment="1">
      <alignment horizontal="center"/>
    </xf>
    <xf numFmtId="0" fontId="10" fillId="0" borderId="9" xfId="4" applyFont="1" applyBorder="1"/>
    <xf numFmtId="3" fontId="10" fillId="0" borderId="6" xfId="4" applyNumberFormat="1" applyFont="1" applyBorder="1"/>
    <xf numFmtId="3" fontId="10" fillId="0" borderId="6" xfId="4" applyNumberFormat="1" applyFont="1" applyBorder="1" applyAlignment="1">
      <alignment horizontal="center"/>
    </xf>
    <xf numFmtId="3" fontId="10" fillId="0" borderId="6" xfId="4" quotePrefix="1" applyNumberFormat="1" applyFont="1" applyBorder="1" applyAlignment="1">
      <alignment horizontal="center"/>
    </xf>
    <xf numFmtId="0" fontId="10" fillId="0" borderId="2" xfId="4" applyFont="1" applyBorder="1"/>
    <xf numFmtId="3" fontId="10" fillId="0" borderId="4" xfId="4" applyNumberFormat="1" applyFont="1" applyBorder="1"/>
    <xf numFmtId="3" fontId="10" fillId="0" borderId="24" xfId="4" applyNumberFormat="1" applyFont="1" applyBorder="1"/>
    <xf numFmtId="0" fontId="10" fillId="0" borderId="25" xfId="4" applyFont="1" applyBorder="1"/>
    <xf numFmtId="3" fontId="10" fillId="0" borderId="20" xfId="4" applyNumberFormat="1" applyFont="1" applyBorder="1"/>
    <xf numFmtId="3" fontId="10" fillId="0" borderId="26" xfId="4" applyNumberFormat="1" applyFont="1" applyBorder="1"/>
    <xf numFmtId="3" fontId="10" fillId="0" borderId="27" xfId="4" applyNumberFormat="1" applyFont="1" applyBorder="1"/>
    <xf numFmtId="0" fontId="10" fillId="0" borderId="8" xfId="4" applyFont="1" applyBorder="1"/>
    <xf numFmtId="3" fontId="10" fillId="0" borderId="1" xfId="4" applyNumberFormat="1" applyFont="1" applyBorder="1"/>
    <xf numFmtId="3" fontId="10" fillId="0" borderId="3" xfId="4" applyNumberFormat="1" applyFont="1" applyBorder="1" applyAlignment="1">
      <alignment horizontal="center"/>
    </xf>
    <xf numFmtId="3" fontId="10" fillId="0" borderId="2" xfId="4" applyNumberFormat="1" applyFont="1" applyBorder="1"/>
    <xf numFmtId="3" fontId="10" fillId="0" borderId="9" xfId="4" applyNumberFormat="1" applyFont="1" applyBorder="1"/>
    <xf numFmtId="0" fontId="10" fillId="0" borderId="28" xfId="4" applyFont="1" applyBorder="1"/>
    <xf numFmtId="3" fontId="10" fillId="0" borderId="29" xfId="4" applyNumberFormat="1" applyFont="1" applyBorder="1"/>
    <xf numFmtId="3" fontId="10" fillId="0" borderId="11" xfId="4" applyNumberFormat="1" applyFont="1" applyBorder="1"/>
    <xf numFmtId="3" fontId="10" fillId="0" borderId="30" xfId="4" applyNumberFormat="1" applyFont="1" applyBorder="1"/>
    <xf numFmtId="3" fontId="10" fillId="0" borderId="12" xfId="4" applyNumberFormat="1" applyFont="1" applyBorder="1"/>
    <xf numFmtId="3" fontId="10" fillId="0" borderId="0" xfId="4" applyNumberFormat="1" applyFont="1" applyAlignment="1">
      <alignment horizontal="center"/>
    </xf>
    <xf numFmtId="0" fontId="11" fillId="0" borderId="2" xfId="4" applyFont="1" applyBorder="1"/>
    <xf numFmtId="3" fontId="10" fillId="0" borderId="31" xfId="4" applyNumberFormat="1" applyFont="1" applyBorder="1"/>
    <xf numFmtId="3" fontId="10" fillId="0" borderId="18" xfId="4" applyNumberFormat="1" applyFont="1" applyBorder="1"/>
    <xf numFmtId="3" fontId="10" fillId="0" borderId="25" xfId="4" applyNumberFormat="1" applyFont="1" applyBorder="1"/>
    <xf numFmtId="3" fontId="10" fillId="0" borderId="7" xfId="4" applyNumberFormat="1" applyFont="1" applyBorder="1"/>
    <xf numFmtId="3" fontId="2" fillId="0" borderId="32" xfId="0" applyNumberFormat="1" applyFont="1" applyBorder="1" applyAlignment="1">
      <alignment horizontal="center"/>
    </xf>
    <xf numFmtId="0" fontId="2" fillId="0" borderId="30" xfId="0" applyFont="1" applyBorder="1"/>
    <xf numFmtId="3" fontId="2" fillId="0" borderId="5" xfId="0" applyNumberFormat="1" applyFont="1" applyBorder="1" applyAlignment="1">
      <alignment horizontal="center"/>
    </xf>
    <xf numFmtId="0" fontId="9" fillId="0" borderId="0" xfId="5" applyFont="1"/>
    <xf numFmtId="3" fontId="10" fillId="0" borderId="0" xfId="5" applyNumberFormat="1" applyFont="1"/>
    <xf numFmtId="0" fontId="10" fillId="0" borderId="0" xfId="5" applyFont="1"/>
    <xf numFmtId="3" fontId="10" fillId="0" borderId="1" xfId="5" applyNumberFormat="1" applyFont="1" applyBorder="1" applyAlignment="1">
      <alignment horizontal="right"/>
    </xf>
    <xf numFmtId="3" fontId="10" fillId="0" borderId="7" xfId="5" applyNumberFormat="1" applyFont="1" applyBorder="1"/>
    <xf numFmtId="0" fontId="11" fillId="0" borderId="0" xfId="5" applyFont="1"/>
    <xf numFmtId="3" fontId="10" fillId="0" borderId="0" xfId="5" applyNumberFormat="1" applyFont="1" applyAlignment="1">
      <alignment horizontal="right"/>
    </xf>
    <xf numFmtId="3" fontId="10" fillId="0" borderId="0" xfId="5" applyNumberFormat="1" applyFont="1" applyAlignment="1">
      <alignment horizontal="left"/>
    </xf>
    <xf numFmtId="3" fontId="10" fillId="0" borderId="1" xfId="5" applyNumberFormat="1" applyFont="1" applyBorder="1"/>
    <xf numFmtId="3" fontId="10" fillId="0" borderId="28" xfId="5" applyNumberFormat="1" applyFont="1" applyBorder="1"/>
    <xf numFmtId="0" fontId="10" fillId="0" borderId="5" xfId="5" applyFont="1" applyBorder="1"/>
    <xf numFmtId="3" fontId="10" fillId="0" borderId="5" xfId="5" applyNumberFormat="1" applyFont="1" applyBorder="1"/>
    <xf numFmtId="3" fontId="10" fillId="0" borderId="3" xfId="5" applyNumberFormat="1" applyFont="1" applyBorder="1" applyAlignment="1">
      <alignment horizontal="center"/>
    </xf>
    <xf numFmtId="0" fontId="10" fillId="0" borderId="6" xfId="5" applyFont="1" applyBorder="1"/>
    <xf numFmtId="3" fontId="10" fillId="0" borderId="6" xfId="5" applyNumberFormat="1" applyFont="1" applyBorder="1"/>
    <xf numFmtId="3" fontId="10" fillId="0" borderId="6" xfId="5" applyNumberFormat="1" applyFont="1" applyBorder="1" applyAlignment="1">
      <alignment horizontal="center"/>
    </xf>
    <xf numFmtId="0" fontId="10" fillId="0" borderId="4" xfId="5" applyFont="1" applyBorder="1"/>
    <xf numFmtId="3" fontId="10" fillId="0" borderId="4" xfId="5" applyNumberFormat="1" applyFont="1" applyBorder="1"/>
    <xf numFmtId="0" fontId="10" fillId="0" borderId="12" xfId="5" applyFont="1" applyBorder="1"/>
    <xf numFmtId="3" fontId="10" fillId="0" borderId="12" xfId="5" applyNumberFormat="1" applyFont="1" applyBorder="1"/>
    <xf numFmtId="0" fontId="10" fillId="0" borderId="8" xfId="5" applyFont="1" applyBorder="1"/>
    <xf numFmtId="0" fontId="13" fillId="0" borderId="2" xfId="5" applyFont="1" applyBorder="1"/>
    <xf numFmtId="0" fontId="10" fillId="0" borderId="2" xfId="5" applyFont="1" applyBorder="1"/>
    <xf numFmtId="3" fontId="10" fillId="0" borderId="18" xfId="5" applyNumberFormat="1" applyFont="1" applyBorder="1"/>
    <xf numFmtId="3" fontId="10" fillId="0" borderId="20" xfId="5" applyNumberFormat="1" applyFont="1" applyBorder="1"/>
    <xf numFmtId="0" fontId="10" fillId="0" borderId="9" xfId="5" applyFont="1" applyBorder="1"/>
    <xf numFmtId="0" fontId="12" fillId="0" borderId="0" xfId="6" applyFont="1"/>
    <xf numFmtId="3" fontId="12" fillId="0" borderId="0" xfId="6" applyNumberFormat="1" applyFont="1"/>
    <xf numFmtId="3" fontId="12" fillId="0" borderId="7" xfId="6" applyNumberFormat="1" applyFont="1" applyBorder="1"/>
    <xf numFmtId="3" fontId="12" fillId="0" borderId="1" xfId="6" applyNumberFormat="1" applyFont="1" applyBorder="1"/>
    <xf numFmtId="165" fontId="12" fillId="0" borderId="0" xfId="7" applyNumberFormat="1" applyFont="1"/>
    <xf numFmtId="3" fontId="12" fillId="0" borderId="0" xfId="7" applyNumberFormat="1" applyFont="1"/>
    <xf numFmtId="4" fontId="2" fillId="0" borderId="0" xfId="0" applyNumberFormat="1" applyFont="1"/>
    <xf numFmtId="3" fontId="2" fillId="0" borderId="0" xfId="0" applyNumberFormat="1" applyFont="1" applyAlignment="1">
      <alignment horizontal="right"/>
    </xf>
    <xf numFmtId="9" fontId="2" fillId="0" borderId="0" xfId="7" applyFont="1" applyAlignment="1">
      <alignment horizontal="center"/>
    </xf>
    <xf numFmtId="9" fontId="10" fillId="0" borderId="0" xfId="7" applyFont="1"/>
    <xf numFmtId="4" fontId="10" fillId="0" borderId="0" xfId="4" applyNumberFormat="1" applyFont="1"/>
    <xf numFmtId="4" fontId="2" fillId="2" borderId="0" xfId="0" applyNumberFormat="1" applyFont="1" applyFill="1"/>
    <xf numFmtId="0" fontId="2" fillId="0" borderId="11" xfId="0" applyFont="1" applyBorder="1"/>
    <xf numFmtId="0" fontId="14" fillId="0" borderId="0" xfId="0" applyFont="1" applyAlignment="1">
      <alignment horizontal="right"/>
    </xf>
    <xf numFmtId="0" fontId="12" fillId="0" borderId="23" xfId="6" applyFont="1" applyBorder="1"/>
    <xf numFmtId="0" fontId="12" fillId="0" borderId="33" xfId="6" applyFont="1" applyBorder="1"/>
    <xf numFmtId="3" fontId="12" fillId="0" borderId="33" xfId="6" applyNumberFormat="1" applyFont="1" applyBorder="1"/>
    <xf numFmtId="0" fontId="12" fillId="0" borderId="32" xfId="6" applyFont="1" applyBorder="1"/>
    <xf numFmtId="0" fontId="12" fillId="0" borderId="2" xfId="6" applyFont="1" applyBorder="1"/>
    <xf numFmtId="0" fontId="12" fillId="0" borderId="24" xfId="6" applyFont="1" applyBorder="1"/>
    <xf numFmtId="0" fontId="12" fillId="0" borderId="9" xfId="6" applyFont="1" applyBorder="1"/>
    <xf numFmtId="0" fontId="12" fillId="0" borderId="7" xfId="6" applyFont="1" applyBorder="1"/>
    <xf numFmtId="0" fontId="12" fillId="0" borderId="10" xfId="6" applyFont="1" applyBorder="1"/>
    <xf numFmtId="4" fontId="10" fillId="2" borderId="0" xfId="5" applyNumberFormat="1" applyFont="1" applyFill="1"/>
    <xf numFmtId="0" fontId="2" fillId="0" borderId="2" xfId="4" applyFont="1" applyBorder="1"/>
    <xf numFmtId="0" fontId="5" fillId="0" borderId="0" xfId="0" applyFont="1"/>
    <xf numFmtId="0" fontId="2" fillId="0" borderId="0" xfId="4" applyFont="1"/>
    <xf numFmtId="3" fontId="2" fillId="0" borderId="0" xfId="4" applyNumberFormat="1" applyFont="1"/>
    <xf numFmtId="0" fontId="2" fillId="0" borderId="8" xfId="4" applyFont="1" applyBorder="1"/>
    <xf numFmtId="3" fontId="2" fillId="0" borderId="1" xfId="4" applyNumberFormat="1" applyFont="1" applyBorder="1"/>
    <xf numFmtId="3" fontId="2" fillId="0" borderId="8" xfId="4" applyNumberFormat="1" applyFont="1" applyBorder="1" applyAlignment="1">
      <alignment horizontal="center"/>
    </xf>
    <xf numFmtId="3" fontId="2" fillId="0" borderId="3" xfId="4" applyNumberFormat="1" applyFont="1" applyBorder="1" applyAlignment="1">
      <alignment horizontal="center"/>
    </xf>
    <xf numFmtId="3" fontId="2" fillId="0" borderId="2" xfId="4" applyNumberFormat="1" applyFont="1" applyBorder="1"/>
    <xf numFmtId="3" fontId="2" fillId="0" borderId="4" xfId="4" applyNumberFormat="1" applyFont="1" applyBorder="1"/>
    <xf numFmtId="0" fontId="2" fillId="0" borderId="9" xfId="4" applyFont="1" applyBorder="1"/>
    <xf numFmtId="3" fontId="2" fillId="0" borderId="10" xfId="4" applyNumberFormat="1" applyFont="1" applyBorder="1"/>
    <xf numFmtId="3" fontId="2" fillId="0" borderId="9" xfId="4" applyNumberFormat="1" applyFont="1" applyBorder="1"/>
    <xf numFmtId="3" fontId="2" fillId="0" borderId="6" xfId="4" applyNumberFormat="1" applyFont="1" applyBorder="1"/>
    <xf numFmtId="3" fontId="2" fillId="0" borderId="8" xfId="4" applyNumberFormat="1" applyFont="1" applyBorder="1"/>
    <xf numFmtId="3" fontId="2" fillId="0" borderId="3" xfId="4" applyNumberFormat="1" applyFont="1" applyBorder="1"/>
    <xf numFmtId="3" fontId="2" fillId="0" borderId="5" xfId="4" applyNumberFormat="1" applyFont="1" applyBorder="1"/>
    <xf numFmtId="3" fontId="2" fillId="0" borderId="5" xfId="4" applyNumberFormat="1" applyFont="1" applyBorder="1" applyAlignment="1">
      <alignment horizontal="center"/>
    </xf>
    <xf numFmtId="3" fontId="2" fillId="0" borderId="6" xfId="4" applyNumberFormat="1" applyFont="1" applyBorder="1" applyAlignment="1">
      <alignment horizontal="center"/>
    </xf>
    <xf numFmtId="3" fontId="2" fillId="0" borderId="24" xfId="4" applyNumberFormat="1" applyFont="1" applyBorder="1"/>
    <xf numFmtId="0" fontId="5" fillId="0" borderId="5" xfId="0" applyFont="1" applyBorder="1"/>
    <xf numFmtId="3" fontId="2" fillId="0" borderId="18" xfId="4" applyNumberFormat="1" applyFont="1" applyBorder="1"/>
    <xf numFmtId="3" fontId="2" fillId="0" borderId="20" xfId="4" applyNumberFormat="1" applyFont="1" applyBorder="1"/>
    <xf numFmtId="0" fontId="2" fillId="0" borderId="5" xfId="4" applyFont="1" applyBorder="1"/>
    <xf numFmtId="0" fontId="2" fillId="0" borderId="6" xfId="4" applyFont="1" applyBorder="1"/>
    <xf numFmtId="0" fontId="2" fillId="0" borderId="4" xfId="4" applyFont="1" applyBorder="1"/>
    <xf numFmtId="0" fontId="2" fillId="0" borderId="20" xfId="4" applyFont="1" applyBorder="1"/>
    <xf numFmtId="9" fontId="5" fillId="0" borderId="0" xfId="7" applyFont="1"/>
    <xf numFmtId="0" fontId="5" fillId="0" borderId="24" xfId="0" applyFont="1" applyBorder="1"/>
    <xf numFmtId="3" fontId="2" fillId="0" borderId="4" xfId="4" applyNumberFormat="1" applyFont="1" applyBorder="1" applyAlignment="1">
      <alignment horizontal="center"/>
    </xf>
    <xf numFmtId="0" fontId="16" fillId="0" borderId="0" xfId="1" applyFont="1"/>
    <xf numFmtId="0" fontId="15" fillId="0" borderId="0" xfId="1"/>
    <xf numFmtId="9" fontId="15" fillId="2" borderId="0" xfId="1" applyNumberFormat="1" applyFill="1"/>
    <xf numFmtId="0" fontId="16" fillId="0" borderId="0" xfId="1" quotePrefix="1" applyFont="1" applyAlignment="1">
      <alignment horizontal="left"/>
    </xf>
    <xf numFmtId="0" fontId="15" fillId="0" borderId="23" xfId="1" applyBorder="1"/>
    <xf numFmtId="0" fontId="15" fillId="0" borderId="2" xfId="1" applyBorder="1"/>
    <xf numFmtId="0" fontId="15" fillId="0" borderId="8" xfId="1" applyBorder="1" applyAlignment="1">
      <alignment horizontal="center"/>
    </xf>
    <xf numFmtId="0" fontId="15" fillId="0" borderId="3" xfId="1" applyBorder="1" applyAlignment="1">
      <alignment horizontal="center"/>
    </xf>
    <xf numFmtId="166" fontId="15" fillId="0" borderId="2" xfId="11" applyNumberFormat="1" applyBorder="1"/>
    <xf numFmtId="165" fontId="15" fillId="0" borderId="4" xfId="8" applyNumberFormat="1" applyBorder="1"/>
    <xf numFmtId="166" fontId="15" fillId="0" borderId="4" xfId="11" applyNumberFormat="1" applyBorder="1"/>
    <xf numFmtId="0" fontId="15" fillId="0" borderId="2" xfId="1" quotePrefix="1" applyBorder="1" applyAlignment="1">
      <alignment horizontal="left"/>
    </xf>
    <xf numFmtId="0" fontId="15" fillId="0" borderId="6" xfId="1" applyBorder="1"/>
    <xf numFmtId="166" fontId="15" fillId="0" borderId="9" xfId="11" applyNumberFormat="1" applyBorder="1"/>
    <xf numFmtId="165" fontId="15" fillId="0" borderId="6" xfId="8" applyNumberFormat="1" applyBorder="1"/>
    <xf numFmtId="166" fontId="15" fillId="0" borderId="6" xfId="11" applyNumberFormat="1" applyBorder="1"/>
    <xf numFmtId="166" fontId="15" fillId="0" borderId="2" xfId="1" applyNumberFormat="1" applyBorder="1"/>
    <xf numFmtId="166" fontId="15" fillId="0" borderId="4" xfId="1" applyNumberFormat="1" applyBorder="1"/>
    <xf numFmtId="0" fontId="15" fillId="0" borderId="9" xfId="1" applyBorder="1"/>
    <xf numFmtId="0" fontId="15" fillId="0" borderId="4" xfId="1" applyBorder="1"/>
    <xf numFmtId="0" fontId="15" fillId="0" borderId="3" xfId="1" applyBorder="1"/>
    <xf numFmtId="166" fontId="15" fillId="0" borderId="3" xfId="11" applyNumberFormat="1" applyBorder="1"/>
    <xf numFmtId="165" fontId="15" fillId="0" borderId="3" xfId="8" applyNumberFormat="1" applyBorder="1"/>
    <xf numFmtId="166" fontId="15" fillId="0" borderId="0" xfId="11" applyNumberFormat="1"/>
    <xf numFmtId="165" fontId="15" fillId="0" borderId="0" xfId="8" applyNumberFormat="1"/>
    <xf numFmtId="10" fontId="15" fillId="0" borderId="5" xfId="1" applyNumberFormat="1" applyBorder="1"/>
    <xf numFmtId="10" fontId="0" fillId="0" borderId="6" xfId="8" applyNumberFormat="1" applyFont="1" applyBorder="1"/>
    <xf numFmtId="3" fontId="15" fillId="0" borderId="4" xfId="11" applyNumberFormat="1" applyBorder="1"/>
    <xf numFmtId="3" fontId="15" fillId="0" borderId="4" xfId="1" applyNumberFormat="1" applyBorder="1"/>
    <xf numFmtId="3" fontId="15" fillId="0" borderId="6" xfId="11" applyNumberFormat="1" applyBorder="1"/>
    <xf numFmtId="3" fontId="15" fillId="0" borderId="6" xfId="1" applyNumberFormat="1" applyBorder="1"/>
    <xf numFmtId="3" fontId="15" fillId="0" borderId="3" xfId="11" applyNumberFormat="1" applyBorder="1"/>
    <xf numFmtId="3" fontId="15" fillId="0" borderId="0" xfId="11" applyNumberFormat="1"/>
    <xf numFmtId="3" fontId="15" fillId="0" borderId="0" xfId="1" applyNumberFormat="1"/>
    <xf numFmtId="0" fontId="7" fillId="0" borderId="2" xfId="1" applyFont="1" applyBorder="1"/>
    <xf numFmtId="0" fontId="7" fillId="0" borderId="0" xfId="1" applyFont="1"/>
    <xf numFmtId="166" fontId="15" fillId="0" borderId="0" xfId="1" applyNumberFormat="1"/>
    <xf numFmtId="0" fontId="15" fillId="0" borderId="8" xfId="1" applyBorder="1"/>
    <xf numFmtId="3" fontId="15" fillId="0" borderId="3" xfId="1" applyNumberFormat="1" applyBorder="1"/>
    <xf numFmtId="0" fontId="7" fillId="0" borderId="1" xfId="1" applyFont="1" applyBorder="1"/>
    <xf numFmtId="166" fontId="15" fillId="0" borderId="1" xfId="1" applyNumberFormat="1" applyBorder="1"/>
    <xf numFmtId="4" fontId="7" fillId="0" borderId="23" xfId="2" applyNumberFormat="1" applyBorder="1"/>
    <xf numFmtId="4" fontId="7" fillId="0" borderId="0" xfId="2" applyNumberFormat="1"/>
    <xf numFmtId="4" fontId="7" fillId="0" borderId="2" xfId="2" applyNumberFormat="1" applyBorder="1"/>
    <xf numFmtId="4" fontId="7" fillId="0" borderId="6" xfId="2" applyNumberFormat="1" applyBorder="1"/>
    <xf numFmtId="4" fontId="7" fillId="0" borderId="8" xfId="2" applyNumberFormat="1" applyBorder="1" applyAlignment="1">
      <alignment horizontal="center"/>
    </xf>
    <xf numFmtId="4" fontId="7" fillId="0" borderId="3" xfId="2" applyNumberFormat="1" applyBorder="1" applyAlignment="1">
      <alignment horizontal="center"/>
    </xf>
    <xf numFmtId="3" fontId="7" fillId="0" borderId="2" xfId="12" applyNumberFormat="1" applyBorder="1"/>
    <xf numFmtId="165" fontId="7" fillId="0" borderId="4" xfId="9" applyNumberFormat="1" applyBorder="1"/>
    <xf numFmtId="3" fontId="7" fillId="0" borderId="4" xfId="12" applyNumberFormat="1" applyBorder="1"/>
    <xf numFmtId="4" fontId="7" fillId="0" borderId="9" xfId="2" applyNumberFormat="1" applyBorder="1"/>
    <xf numFmtId="3" fontId="7" fillId="0" borderId="9" xfId="12" applyNumberFormat="1" applyBorder="1"/>
    <xf numFmtId="165" fontId="7" fillId="0" borderId="6" xfId="9" applyNumberFormat="1" applyBorder="1"/>
    <xf numFmtId="3" fontId="7" fillId="0" borderId="6" xfId="12" applyNumberFormat="1" applyBorder="1"/>
    <xf numFmtId="4" fontId="7" fillId="0" borderId="2" xfId="2" quotePrefix="1" applyNumberFormat="1" applyBorder="1" applyAlignment="1">
      <alignment horizontal="left"/>
    </xf>
    <xf numFmtId="3" fontId="7" fillId="0" borderId="2" xfId="2" applyNumberFormat="1" applyBorder="1"/>
    <xf numFmtId="3" fontId="7" fillId="0" borderId="4" xfId="2" applyNumberFormat="1" applyBorder="1"/>
    <xf numFmtId="165" fontId="7" fillId="0" borderId="5" xfId="9" applyNumberFormat="1" applyBorder="1"/>
    <xf numFmtId="165" fontId="7" fillId="0" borderId="3" xfId="9" applyNumberFormat="1" applyBorder="1"/>
    <xf numFmtId="4" fontId="7" fillId="0" borderId="0" xfId="12" applyNumberFormat="1"/>
    <xf numFmtId="4" fontId="7" fillId="0" borderId="0" xfId="2" quotePrefix="1" applyNumberFormat="1" applyAlignment="1">
      <alignment horizontal="left"/>
    </xf>
    <xf numFmtId="4" fontId="7" fillId="0" borderId="0" xfId="2" applyNumberFormat="1" applyAlignment="1">
      <alignment horizontal="left"/>
    </xf>
    <xf numFmtId="3" fontId="15" fillId="0" borderId="0" xfId="1" applyNumberFormat="1" applyAlignment="1">
      <alignment horizontal="center"/>
    </xf>
    <xf numFmtId="3" fontId="15" fillId="0" borderId="23" xfId="1" applyNumberFormat="1" applyBorder="1"/>
    <xf numFmtId="3" fontId="15" fillId="0" borderId="9" xfId="1" applyNumberFormat="1" applyBorder="1"/>
    <xf numFmtId="3" fontId="7" fillId="0" borderId="3" xfId="1" applyNumberFormat="1" applyFont="1" applyBorder="1" applyAlignment="1">
      <alignment horizontal="center"/>
    </xf>
    <xf numFmtId="3" fontId="7" fillId="0" borderId="34" xfId="1" applyNumberFormat="1" applyFont="1" applyBorder="1" applyAlignment="1">
      <alignment horizontal="center"/>
    </xf>
    <xf numFmtId="166" fontId="15" fillId="0" borderId="5" xfId="11" applyNumberFormat="1" applyBorder="1"/>
    <xf numFmtId="166" fontId="15" fillId="0" borderId="24" xfId="11" applyNumberFormat="1" applyBorder="1"/>
    <xf numFmtId="0" fontId="15" fillId="0" borderId="24" xfId="1" applyBorder="1"/>
    <xf numFmtId="166" fontId="15" fillId="0" borderId="34" xfId="11" applyNumberFormat="1" applyBorder="1"/>
    <xf numFmtId="166" fontId="15" fillId="0" borderId="8" xfId="11" applyNumberFormat="1" applyBorder="1"/>
    <xf numFmtId="3" fontId="7" fillId="0" borderId="23" xfId="1" applyNumberFormat="1" applyFont="1" applyBorder="1"/>
    <xf numFmtId="3" fontId="7" fillId="0" borderId="9" xfId="1" applyNumberFormat="1" applyFont="1" applyBorder="1"/>
    <xf numFmtId="166" fontId="7" fillId="0" borderId="4" xfId="11" applyNumberFormat="1" applyFont="1" applyBorder="1"/>
    <xf numFmtId="166" fontId="7" fillId="0" borderId="24" xfId="11" applyNumberFormat="1" applyFont="1" applyBorder="1"/>
    <xf numFmtId="0" fontId="7" fillId="0" borderId="6" xfId="1" applyFont="1" applyBorder="1"/>
    <xf numFmtId="166" fontId="7" fillId="0" borderId="10" xfId="11" applyNumberFormat="1" applyFont="1" applyBorder="1"/>
    <xf numFmtId="166" fontId="7" fillId="0" borderId="6" xfId="11" applyNumberFormat="1" applyFont="1" applyBorder="1"/>
    <xf numFmtId="0" fontId="7" fillId="0" borderId="8" xfId="1" applyFont="1" applyBorder="1"/>
    <xf numFmtId="166" fontId="7" fillId="0" borderId="1" xfId="11" applyNumberFormat="1" applyFont="1" applyBorder="1"/>
    <xf numFmtId="166" fontId="7" fillId="0" borderId="3" xfId="11" applyNumberFormat="1" applyFont="1" applyBorder="1"/>
    <xf numFmtId="166" fontId="7" fillId="0" borderId="0" xfId="11" applyNumberFormat="1" applyFont="1"/>
    <xf numFmtId="3" fontId="7" fillId="0" borderId="8" xfId="1" applyNumberFormat="1" applyFont="1" applyBorder="1"/>
    <xf numFmtId="3" fontId="18" fillId="0" borderId="2" xfId="1" applyNumberFormat="1" applyFont="1" applyBorder="1"/>
    <xf numFmtId="1" fontId="7" fillId="0" borderId="4" xfId="11" applyNumberFormat="1" applyFont="1" applyBorder="1" applyAlignment="1">
      <alignment horizontal="center"/>
    </xf>
    <xf numFmtId="1" fontId="7" fillId="0" borderId="5" xfId="11" applyNumberFormat="1" applyFont="1" applyBorder="1" applyAlignment="1">
      <alignment horizontal="center"/>
    </xf>
    <xf numFmtId="3" fontId="7" fillId="0" borderId="2" xfId="1" applyNumberFormat="1" applyFont="1" applyBorder="1"/>
    <xf numFmtId="3" fontId="7" fillId="0" borderId="2" xfId="11" applyNumberFormat="1" applyFont="1" applyBorder="1"/>
    <xf numFmtId="3" fontId="7" fillId="0" borderId="4" xfId="11" applyNumberFormat="1" applyFont="1" applyBorder="1"/>
    <xf numFmtId="3" fontId="7" fillId="0" borderId="9" xfId="11" applyNumberFormat="1" applyFont="1" applyBorder="1"/>
    <xf numFmtId="3" fontId="7" fillId="0" borderId="3" xfId="11" applyNumberFormat="1" applyFont="1" applyBorder="1"/>
    <xf numFmtId="3" fontId="7" fillId="0" borderId="2" xfId="1" quotePrefix="1" applyNumberFormat="1" applyFont="1" applyBorder="1" applyAlignment="1">
      <alignment horizontal="left"/>
    </xf>
    <xf numFmtId="0" fontId="7" fillId="0" borderId="2" xfId="1" quotePrefix="1" applyFont="1" applyBorder="1" applyAlignment="1">
      <alignment horizontal="left"/>
    </xf>
    <xf numFmtId="3" fontId="7" fillId="0" borderId="6" xfId="11" applyNumberFormat="1" applyFont="1" applyBorder="1"/>
    <xf numFmtId="0" fontId="7" fillId="0" borderId="23" xfId="1" applyFont="1" applyBorder="1"/>
    <xf numFmtId="3" fontId="7" fillId="0" borderId="5" xfId="1" applyNumberFormat="1" applyFont="1" applyBorder="1"/>
    <xf numFmtId="3" fontId="7" fillId="0" borderId="0" xfId="1" applyNumberFormat="1" applyFont="1"/>
    <xf numFmtId="3" fontId="7" fillId="0" borderId="2" xfId="1" applyNumberFormat="1" applyFont="1" applyBorder="1" applyAlignment="1">
      <alignment horizontal="left"/>
    </xf>
    <xf numFmtId="9" fontId="7" fillId="0" borderId="4" xfId="8" applyFont="1" applyBorder="1" applyAlignment="1">
      <alignment horizontal="right"/>
    </xf>
    <xf numFmtId="1" fontId="7" fillId="0" borderId="0" xfId="1" applyNumberFormat="1" applyFont="1"/>
    <xf numFmtId="0" fontId="7" fillId="0" borderId="9" xfId="1" applyFont="1" applyBorder="1"/>
    <xf numFmtId="10" fontId="7" fillId="0" borderId="6" xfId="8" applyNumberFormat="1" applyFont="1" applyBorder="1" applyAlignment="1">
      <alignment horizontal="right"/>
    </xf>
    <xf numFmtId="4" fontId="15" fillId="0" borderId="0" xfId="1" applyNumberFormat="1"/>
    <xf numFmtId="9" fontId="0" fillId="0" borderId="0" xfId="8" applyFont="1"/>
    <xf numFmtId="3" fontId="15" fillId="0" borderId="0" xfId="1" quotePrefix="1" applyNumberFormat="1" applyAlignment="1">
      <alignment horizontal="left"/>
    </xf>
    <xf numFmtId="3" fontId="16" fillId="0" borderId="0" xfId="1" applyNumberFormat="1" applyFont="1"/>
    <xf numFmtId="3" fontId="15" fillId="0" borderId="8" xfId="1" applyNumberFormat="1" applyBorder="1" applyAlignment="1">
      <alignment horizontal="center"/>
    </xf>
    <xf numFmtId="3" fontId="15" fillId="0" borderId="5" xfId="1" applyNumberFormat="1" applyBorder="1" applyAlignment="1">
      <alignment horizontal="center"/>
    </xf>
    <xf numFmtId="4" fontId="15" fillId="0" borderId="23" xfId="1" applyNumberFormat="1" applyBorder="1"/>
    <xf numFmtId="3" fontId="15" fillId="0" borderId="1" xfId="1" applyNumberFormat="1" applyBorder="1" applyAlignment="1">
      <alignment horizontal="center"/>
    </xf>
    <xf numFmtId="3" fontId="15" fillId="0" borderId="34" xfId="1" applyNumberFormat="1" applyBorder="1"/>
    <xf numFmtId="3" fontId="15" fillId="0" borderId="6" xfId="1" applyNumberFormat="1" applyBorder="1" applyAlignment="1">
      <alignment horizontal="center"/>
    </xf>
    <xf numFmtId="4" fontId="15" fillId="0" borderId="2" xfId="1" applyNumberFormat="1" applyBorder="1"/>
    <xf numFmtId="3" fontId="15" fillId="0" borderId="5" xfId="1" applyNumberFormat="1" applyBorder="1"/>
    <xf numFmtId="3" fontId="15" fillId="0" borderId="24" xfId="1" applyNumberFormat="1" applyBorder="1"/>
    <xf numFmtId="4" fontId="15" fillId="0" borderId="9" xfId="1" applyNumberFormat="1" applyBorder="1"/>
    <xf numFmtId="3" fontId="15" fillId="0" borderId="7" xfId="1" applyNumberFormat="1" applyBorder="1"/>
    <xf numFmtId="3" fontId="15" fillId="0" borderId="10" xfId="1" applyNumberFormat="1" applyBorder="1"/>
    <xf numFmtId="3" fontId="16" fillId="0" borderId="3" xfId="1" applyNumberFormat="1" applyFont="1" applyBorder="1"/>
    <xf numFmtId="3" fontId="15" fillId="0" borderId="3" xfId="1" applyNumberFormat="1" applyBorder="1" applyAlignment="1">
      <alignment horizontal="center"/>
    </xf>
    <xf numFmtId="4" fontId="16" fillId="0" borderId="0" xfId="1" applyNumberFormat="1" applyFont="1" applyAlignment="1">
      <alignment horizontal="left"/>
    </xf>
    <xf numFmtId="0" fontId="20" fillId="0" borderId="0" xfId="0" applyFont="1"/>
    <xf numFmtId="165" fontId="15" fillId="0" borderId="4" xfId="1" applyNumberFormat="1" applyBorder="1"/>
    <xf numFmtId="10" fontId="7" fillId="0" borderId="6" xfId="8" applyNumberFormat="1" applyFont="1" applyBorder="1"/>
    <xf numFmtId="0" fontId="2" fillId="0" borderId="25" xfId="0" applyFont="1" applyBorder="1"/>
    <xf numFmtId="3" fontId="2" fillId="0" borderId="2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4" xfId="0" applyNumberFormat="1" applyFont="1" applyBorder="1"/>
    <xf numFmtId="3" fontId="2" fillId="0" borderId="10" xfId="0" applyNumberFormat="1" applyFont="1" applyBorder="1"/>
    <xf numFmtId="3" fontId="2" fillId="0" borderId="34" xfId="0" applyNumberFormat="1" applyFont="1" applyBorder="1"/>
    <xf numFmtId="166" fontId="7" fillId="0" borderId="8" xfId="11" applyNumberFormat="1" applyFont="1" applyBorder="1"/>
    <xf numFmtId="0" fontId="15" fillId="0" borderId="34" xfId="1" applyBorder="1"/>
    <xf numFmtId="0" fontId="2" fillId="0" borderId="0" xfId="1" applyFont="1"/>
    <xf numFmtId="166" fontId="2" fillId="0" borderId="0" xfId="11" applyNumberFormat="1" applyFont="1"/>
    <xf numFmtId="165" fontId="2" fillId="0" borderId="0" xfId="8" applyNumberFormat="1" applyFont="1"/>
    <xf numFmtId="0" fontId="4" fillId="0" borderId="0" xfId="1" applyFont="1"/>
    <xf numFmtId="0" fontId="21" fillId="0" borderId="23" xfId="1" applyFont="1" applyBorder="1"/>
    <xf numFmtId="0" fontId="2" fillId="0" borderId="32" xfId="1" applyFont="1" applyBorder="1"/>
    <xf numFmtId="0" fontId="2" fillId="0" borderId="2" xfId="1" applyFont="1" applyBorder="1"/>
    <xf numFmtId="3" fontId="4" fillId="0" borderId="24" xfId="1" applyNumberFormat="1" applyFont="1" applyBorder="1"/>
    <xf numFmtId="0" fontId="2" fillId="0" borderId="24" xfId="1" applyFont="1" applyBorder="1"/>
    <xf numFmtId="0" fontId="21" fillId="0" borderId="2" xfId="1" applyFont="1" applyBorder="1"/>
    <xf numFmtId="3" fontId="2" fillId="0" borderId="24" xfId="1" applyNumberFormat="1" applyFont="1" applyBorder="1"/>
    <xf numFmtId="0" fontId="2" fillId="0" borderId="9" xfId="1" applyFont="1" applyBorder="1"/>
    <xf numFmtId="3" fontId="2" fillId="0" borderId="10" xfId="1" applyNumberFormat="1" applyFont="1" applyBorder="1"/>
    <xf numFmtId="0" fontId="2" fillId="0" borderId="0" xfId="0" quotePrefix="1" applyFont="1"/>
    <xf numFmtId="9" fontId="2" fillId="0" borderId="0" xfId="7" applyFont="1"/>
    <xf numFmtId="0" fontId="2" fillId="0" borderId="7" xfId="0" quotePrefix="1" applyFont="1" applyBorder="1"/>
    <xf numFmtId="0" fontId="27" fillId="0" borderId="0" xfId="3"/>
    <xf numFmtId="0" fontId="27" fillId="0" borderId="0" xfId="3" applyAlignment="1">
      <alignment horizontal="left"/>
    </xf>
    <xf numFmtId="0" fontId="27" fillId="0" borderId="0" xfId="3" quotePrefix="1" applyAlignment="1">
      <alignment horizontal="left"/>
    </xf>
    <xf numFmtId="0" fontId="23" fillId="0" borderId="0" xfId="3" quotePrefix="1" applyFont="1" applyAlignment="1">
      <alignment horizontal="left"/>
    </xf>
    <xf numFmtId="3" fontId="27" fillId="0" borderId="0" xfId="3" applyNumberFormat="1"/>
    <xf numFmtId="3" fontId="27" fillId="0" borderId="1" xfId="3" applyNumberFormat="1" applyBorder="1"/>
    <xf numFmtId="0" fontId="27" fillId="0" borderId="1" xfId="3" applyBorder="1"/>
    <xf numFmtId="3" fontId="27" fillId="0" borderId="34" xfId="3" applyNumberFormat="1" applyBorder="1"/>
    <xf numFmtId="0" fontId="27" fillId="0" borderId="2" xfId="3" applyBorder="1"/>
    <xf numFmtId="0" fontId="27" fillId="0" borderId="2" xfId="3" quotePrefix="1" applyBorder="1" applyAlignment="1">
      <alignment horizontal="left"/>
    </xf>
    <xf numFmtId="0" fontId="27" fillId="0" borderId="23" xfId="3" applyBorder="1"/>
    <xf numFmtId="3" fontId="23" fillId="0" borderId="6" xfId="3" applyNumberFormat="1" applyFont="1" applyBorder="1"/>
    <xf numFmtId="0" fontId="23" fillId="0" borderId="10" xfId="3" applyFont="1" applyBorder="1"/>
    <xf numFmtId="0" fontId="23" fillId="0" borderId="9" xfId="3" applyFont="1" applyBorder="1"/>
    <xf numFmtId="3" fontId="22" fillId="0" borderId="6" xfId="3" applyNumberFormat="1" applyFont="1" applyBorder="1"/>
    <xf numFmtId="0" fontId="22" fillId="0" borderId="10" xfId="3" applyFont="1" applyBorder="1"/>
    <xf numFmtId="0" fontId="22" fillId="0" borderId="9" xfId="3" applyFont="1" applyBorder="1"/>
    <xf numFmtId="3" fontId="27" fillId="0" borderId="4" xfId="3" applyNumberFormat="1" applyBorder="1"/>
    <xf numFmtId="0" fontId="27" fillId="0" borderId="24" xfId="3" applyBorder="1"/>
    <xf numFmtId="0" fontId="27" fillId="0" borderId="4" xfId="3" applyBorder="1"/>
    <xf numFmtId="3" fontId="23" fillId="0" borderId="4" xfId="3" applyNumberFormat="1" applyFont="1" applyBorder="1"/>
    <xf numFmtId="0" fontId="23" fillId="0" borderId="24" xfId="3" applyFont="1" applyBorder="1"/>
    <xf numFmtId="0" fontId="23" fillId="0" borderId="2" xfId="3" applyFont="1" applyBorder="1"/>
    <xf numFmtId="3" fontId="27" fillId="0" borderId="6" xfId="3" applyNumberFormat="1" applyBorder="1"/>
    <xf numFmtId="0" fontId="27" fillId="0" borderId="10" xfId="3" applyBorder="1"/>
    <xf numFmtId="0" fontId="27" fillId="0" borderId="9" xfId="3" applyBorder="1"/>
    <xf numFmtId="0" fontId="27" fillId="0" borderId="3" xfId="3" applyBorder="1" applyAlignment="1">
      <alignment horizontal="center"/>
    </xf>
    <xf numFmtId="0" fontId="27" fillId="0" borderId="32" xfId="3" applyBorder="1"/>
    <xf numFmtId="0" fontId="23" fillId="0" borderId="0" xfId="3" applyFont="1"/>
    <xf numFmtId="0" fontId="27" fillId="0" borderId="7" xfId="3" applyBorder="1"/>
    <xf numFmtId="0" fontId="27" fillId="0" borderId="9" xfId="3" applyBorder="1" applyAlignment="1">
      <alignment horizontal="left"/>
    </xf>
    <xf numFmtId="0" fontId="27" fillId="0" borderId="6" xfId="3" applyBorder="1"/>
    <xf numFmtId="0" fontId="27" fillId="0" borderId="34" xfId="3" applyBorder="1"/>
    <xf numFmtId="0" fontId="27" fillId="0" borderId="8" xfId="3" applyBorder="1"/>
    <xf numFmtId="3" fontId="27" fillId="0" borderId="3" xfId="3" applyNumberFormat="1" applyBorder="1"/>
    <xf numFmtId="0" fontId="27" fillId="0" borderId="3" xfId="3" applyBorder="1"/>
    <xf numFmtId="0" fontId="27" fillId="0" borderId="5" xfId="3" applyBorder="1" applyAlignment="1">
      <alignment horizontal="center"/>
    </xf>
    <xf numFmtId="0" fontId="27" fillId="0" borderId="0" xfId="3" applyAlignment="1">
      <alignment horizontal="center"/>
    </xf>
    <xf numFmtId="3" fontId="27" fillId="0" borderId="10" xfId="3" applyNumberFormat="1" applyBorder="1"/>
    <xf numFmtId="3" fontId="27" fillId="0" borderId="24" xfId="3" applyNumberFormat="1" applyBorder="1"/>
    <xf numFmtId="0" fontId="27" fillId="0" borderId="33" xfId="3" applyBorder="1"/>
    <xf numFmtId="0" fontId="27" fillId="0" borderId="5" xfId="3" applyBorder="1"/>
    <xf numFmtId="3" fontId="27" fillId="0" borderId="7" xfId="3" applyNumberFormat="1" applyBorder="1"/>
    <xf numFmtId="0" fontId="27" fillId="0" borderId="0" xfId="3" applyAlignment="1">
      <alignment horizontal="right"/>
    </xf>
    <xf numFmtId="9" fontId="22" fillId="0" borderId="0" xfId="10"/>
    <xf numFmtId="0" fontId="27" fillId="0" borderId="10" xfId="3" applyBorder="1" applyAlignment="1">
      <alignment horizontal="left"/>
    </xf>
    <xf numFmtId="0" fontId="27" fillId="0" borderId="24" xfId="3" applyBorder="1" applyAlignment="1">
      <alignment horizontal="left"/>
    </xf>
    <xf numFmtId="0" fontId="27" fillId="0" borderId="2" xfId="3" applyBorder="1" applyAlignment="1">
      <alignment horizontal="left"/>
    </xf>
    <xf numFmtId="0" fontId="27" fillId="0" borderId="32" xfId="3" applyBorder="1" applyAlignment="1">
      <alignment horizontal="left"/>
    </xf>
    <xf numFmtId="0" fontId="27" fillId="0" borderId="23" xfId="3" applyBorder="1" applyAlignment="1">
      <alignment horizontal="left"/>
    </xf>
    <xf numFmtId="0" fontId="27" fillId="0" borderId="8" xfId="3" quotePrefix="1" applyBorder="1" applyAlignment="1">
      <alignment horizontal="left"/>
    </xf>
    <xf numFmtId="3" fontId="23" fillId="0" borderId="0" xfId="3" applyNumberFormat="1" applyFont="1"/>
    <xf numFmtId="0" fontId="23" fillId="0" borderId="0" xfId="3" applyFont="1" applyAlignment="1">
      <alignment horizontal="left"/>
    </xf>
    <xf numFmtId="4" fontId="15" fillId="0" borderId="1" xfId="1" applyNumberFormat="1" applyBorder="1"/>
    <xf numFmtId="4" fontId="15" fillId="0" borderId="0" xfId="1" quotePrefix="1" applyNumberFormat="1" applyAlignment="1">
      <alignment horizontal="left"/>
    </xf>
    <xf numFmtId="0" fontId="25" fillId="0" borderId="0" xfId="0" applyFont="1"/>
    <xf numFmtId="0" fontId="4" fillId="0" borderId="0" xfId="0" applyFont="1" applyAlignment="1">
      <alignment horizontal="left"/>
    </xf>
    <xf numFmtId="0" fontId="26" fillId="0" borderId="0" xfId="6" applyFont="1"/>
    <xf numFmtId="0" fontId="22" fillId="0" borderId="0" xfId="3" applyFont="1"/>
    <xf numFmtId="0" fontId="22" fillId="0" borderId="2" xfId="3" applyFont="1" applyBorder="1"/>
    <xf numFmtId="0" fontId="22" fillId="0" borderId="7" xfId="3" applyFont="1" applyBorder="1"/>
    <xf numFmtId="0" fontId="22" fillId="0" borderId="5" xfId="3" quotePrefix="1" applyFont="1" applyBorder="1" applyAlignment="1">
      <alignment horizontal="left"/>
    </xf>
    <xf numFmtId="0" fontId="22" fillId="0" borderId="1" xfId="3" applyFont="1" applyBorder="1"/>
    <xf numFmtId="0" fontId="22" fillId="0" borderId="0" xfId="3" quotePrefix="1" applyFont="1" applyAlignment="1">
      <alignment horizontal="left"/>
    </xf>
    <xf numFmtId="0" fontId="22" fillId="0" borderId="0" xfId="3" applyFont="1" applyAlignment="1">
      <alignment horizontal="left"/>
    </xf>
    <xf numFmtId="0" fontId="22" fillId="0" borderId="8" xfId="3" quotePrefix="1" applyFont="1" applyBorder="1" applyAlignment="1">
      <alignment horizontal="left"/>
    </xf>
    <xf numFmtId="0" fontId="22" fillId="0" borderId="23" xfId="3" applyFont="1" applyBorder="1"/>
    <xf numFmtId="0" fontId="22" fillId="0" borderId="2" xfId="3" applyFont="1" applyBorder="1" applyAlignment="1">
      <alignment horizontal="left"/>
    </xf>
    <xf numFmtId="0" fontId="15" fillId="0" borderId="0" xfId="1" quotePrefix="1" applyAlignment="1">
      <alignment horizontal="left"/>
    </xf>
    <xf numFmtId="0" fontId="7" fillId="0" borderId="7" xfId="1" applyFont="1" applyBorder="1"/>
    <xf numFmtId="0" fontId="15" fillId="0" borderId="7" xfId="1" applyBorder="1"/>
    <xf numFmtId="0" fontId="15" fillId="0" borderId="1" xfId="1" applyBorder="1"/>
    <xf numFmtId="3" fontId="15" fillId="0" borderId="1" xfId="1" applyNumberFormat="1" applyBorder="1"/>
    <xf numFmtId="3" fontId="15" fillId="0" borderId="0" xfId="1" applyNumberFormat="1" applyAlignment="1">
      <alignment horizontal="left"/>
    </xf>
    <xf numFmtId="4" fontId="16" fillId="0" borderId="0" xfId="2" applyNumberFormat="1" applyFont="1"/>
    <xf numFmtId="0" fontId="28" fillId="0" borderId="0" xfId="1" applyFont="1"/>
    <xf numFmtId="0" fontId="29" fillId="0" borderId="0" xfId="0" applyFont="1"/>
    <xf numFmtId="0" fontId="0" fillId="3" borderId="0" xfId="0" applyFill="1"/>
    <xf numFmtId="3" fontId="0" fillId="3" borderId="0" xfId="0" applyNumberFormat="1" applyFill="1"/>
    <xf numFmtId="9" fontId="0" fillId="3" borderId="0" xfId="7" applyFont="1" applyFill="1"/>
    <xf numFmtId="0" fontId="0" fillId="0" borderId="35" xfId="0" applyBorder="1"/>
    <xf numFmtId="3" fontId="0" fillId="0" borderId="0" xfId="0" applyNumberFormat="1"/>
    <xf numFmtId="0" fontId="0" fillId="0" borderId="0" xfId="0" quotePrefix="1" applyAlignment="1">
      <alignment horizontal="left"/>
    </xf>
    <xf numFmtId="3" fontId="0" fillId="0" borderId="35" xfId="0" applyNumberFormat="1" applyBorder="1"/>
    <xf numFmtId="0" fontId="0" fillId="3" borderId="0" xfId="0" quotePrefix="1" applyFill="1" applyAlignment="1">
      <alignment horizontal="left"/>
    </xf>
    <xf numFmtId="9" fontId="0" fillId="3" borderId="0" xfId="7" quotePrefix="1" applyFont="1" applyFill="1" applyAlignment="1">
      <alignment horizontal="right"/>
    </xf>
    <xf numFmtId="165" fontId="0" fillId="3" borderId="0" xfId="7" applyNumberFormat="1" applyFont="1" applyFill="1"/>
    <xf numFmtId="9" fontId="0" fillId="0" borderId="0" xfId="7" applyFont="1"/>
    <xf numFmtId="0" fontId="30" fillId="0" borderId="0" xfId="0" applyFont="1"/>
    <xf numFmtId="3" fontId="30" fillId="0" borderId="0" xfId="0" applyNumberFormat="1" applyFont="1"/>
    <xf numFmtId="0" fontId="30" fillId="0" borderId="0" xfId="0" quotePrefix="1" applyFont="1" applyAlignment="1">
      <alignment horizontal="left"/>
    </xf>
    <xf numFmtId="4" fontId="7" fillId="0" borderId="23" xfId="2" applyNumberFormat="1" applyBorder="1" applyAlignment="1">
      <alignment horizontal="center"/>
    </xf>
    <xf numFmtId="4" fontId="7" fillId="0" borderId="32" xfId="2" applyNumberFormat="1" applyBorder="1" applyAlignment="1">
      <alignment horizontal="center"/>
    </xf>
    <xf numFmtId="4" fontId="7" fillId="0" borderId="2" xfId="2" applyNumberFormat="1" applyBorder="1" applyAlignment="1">
      <alignment horizontal="center"/>
    </xf>
    <xf numFmtId="4" fontId="7" fillId="0" borderId="24" xfId="2" applyNumberFormat="1" applyBorder="1" applyAlignment="1">
      <alignment horizontal="center"/>
    </xf>
    <xf numFmtId="4" fontId="7" fillId="0" borderId="2" xfId="9" applyNumberFormat="1" applyBorder="1" applyAlignment="1">
      <alignment horizontal="center"/>
    </xf>
    <xf numFmtId="4" fontId="7" fillId="0" borderId="24" xfId="9" applyNumberFormat="1" applyBorder="1" applyAlignment="1">
      <alignment horizontal="center"/>
    </xf>
    <xf numFmtId="1" fontId="7" fillId="0" borderId="9" xfId="8" applyNumberFormat="1" applyFont="1" applyBorder="1" applyAlignment="1">
      <alignment horizontal="center"/>
    </xf>
    <xf numFmtId="1" fontId="15" fillId="0" borderId="10" xfId="8" applyNumberFormat="1" applyBorder="1" applyAlignment="1">
      <alignment horizontal="center"/>
    </xf>
    <xf numFmtId="0" fontId="15" fillId="0" borderId="23" xfId="1" applyBorder="1" applyAlignment="1">
      <alignment horizontal="center"/>
    </xf>
    <xf numFmtId="0" fontId="15" fillId="0" borderId="3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5" fillId="0" borderId="24" xfId="1" applyBorder="1" applyAlignment="1">
      <alignment horizontal="center"/>
    </xf>
    <xf numFmtId="0" fontId="15" fillId="0" borderId="23" xfId="1" quotePrefix="1" applyBorder="1" applyAlignment="1">
      <alignment horizontal="center"/>
    </xf>
    <xf numFmtId="3" fontId="15" fillId="0" borderId="8" xfId="1" applyNumberFormat="1" applyBorder="1" applyAlignment="1">
      <alignment horizontal="center"/>
    </xf>
    <xf numFmtId="3" fontId="15" fillId="0" borderId="34" xfId="1" applyNumberFormat="1" applyBorder="1" applyAlignment="1">
      <alignment horizontal="center"/>
    </xf>
    <xf numFmtId="3" fontId="2" fillId="0" borderId="23" xfId="4" applyNumberFormat="1" applyFont="1" applyBorder="1" applyAlignment="1">
      <alignment horizontal="center"/>
    </xf>
    <xf numFmtId="3" fontId="2" fillId="0" borderId="33" xfId="4" applyNumberFormat="1" applyFont="1" applyBorder="1" applyAlignment="1">
      <alignment horizontal="center"/>
    </xf>
    <xf numFmtId="3" fontId="15" fillId="0" borderId="1" xfId="1" applyNumberFormat="1" applyBorder="1" applyAlignment="1">
      <alignment horizontal="center"/>
    </xf>
    <xf numFmtId="3" fontId="17" fillId="0" borderId="0" xfId="1" quotePrefix="1" applyNumberFormat="1" applyFont="1" applyAlignment="1">
      <alignment horizontal="left"/>
    </xf>
    <xf numFmtId="3" fontId="17" fillId="0" borderId="0" xfId="1" applyNumberFormat="1" applyFont="1" applyAlignment="1">
      <alignment horizontal="left"/>
    </xf>
    <xf numFmtId="3" fontId="15" fillId="0" borderId="5" xfId="1" applyNumberFormat="1" applyBorder="1" applyAlignment="1">
      <alignment horizontal="center" wrapText="1"/>
    </xf>
    <xf numFmtId="3" fontId="15" fillId="0" borderId="6" xfId="1" applyNumberFormat="1" applyBorder="1" applyAlignment="1">
      <alignment horizontal="center" wrapText="1"/>
    </xf>
    <xf numFmtId="0" fontId="15" fillId="0" borderId="8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/>
    </xf>
    <xf numFmtId="3" fontId="7" fillId="0" borderId="5" xfId="1" applyNumberFormat="1" applyFont="1" applyBorder="1" applyAlignment="1">
      <alignment horizontal="center" wrapText="1"/>
    </xf>
    <xf numFmtId="3" fontId="7" fillId="0" borderId="6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9" fontId="15" fillId="0" borderId="24" xfId="8" applyBorder="1" applyAlignment="1">
      <alignment horizontal="center"/>
    </xf>
    <xf numFmtId="9" fontId="15" fillId="0" borderId="10" xfId="8" applyBorder="1" applyAlignment="1">
      <alignment horizontal="center"/>
    </xf>
    <xf numFmtId="3" fontId="10" fillId="0" borderId="8" xfId="4" applyNumberFormat="1" applyFont="1" applyBorder="1" applyAlignment="1">
      <alignment horizontal="center"/>
    </xf>
    <xf numFmtId="3" fontId="10" fillId="0" borderId="34" xfId="4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0" fillId="0" borderId="3" xfId="5" applyNumberFormat="1" applyFont="1" applyBorder="1" applyAlignment="1">
      <alignment horizontal="center"/>
    </xf>
    <xf numFmtId="0" fontId="27" fillId="0" borderId="1" xfId="3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/>
    </xf>
    <xf numFmtId="9" fontId="7" fillId="0" borderId="2" xfId="8" applyFont="1" applyBorder="1" applyAlignment="1">
      <alignment horizontal="center"/>
    </xf>
    <xf numFmtId="9" fontId="7" fillId="0" borderId="9" xfId="8" applyFont="1" applyBorder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L_39" xfId="4" xr:uid="{00000000-0005-0000-0000-000004000000}"/>
    <cellStyle name="Normal_L_43" xfId="5" xr:uid="{00000000-0005-0000-0000-000005000000}"/>
    <cellStyle name="Normal_L_44" xfId="6" xr:uid="{00000000-0005-0000-0000-000006000000}"/>
    <cellStyle name="Prosent" xfId="7" builtinId="5"/>
    <cellStyle name="Prosent 2" xfId="8" xr:uid="{00000000-0005-0000-0000-000008000000}"/>
    <cellStyle name="Prosent 3" xfId="9" xr:uid="{00000000-0005-0000-0000-000009000000}"/>
    <cellStyle name="Prosent 4" xfId="10" xr:uid="{00000000-0005-0000-0000-00000A000000}"/>
    <cellStyle name="Tusenskille 2" xfId="11" xr:uid="{00000000-0005-0000-0000-00000B000000}"/>
    <cellStyle name="Tusenskille 3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23</xdr:row>
      <xdr:rowOff>149225</xdr:rowOff>
    </xdr:from>
    <xdr:to>
      <xdr:col>6</xdr:col>
      <xdr:colOff>104775</xdr:colOff>
      <xdr:row>26</xdr:row>
      <xdr:rowOff>53975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ACD49DE-55F5-40DC-8735-3DEBC08CD559}"/>
            </a:ext>
          </a:extLst>
        </xdr:cNvPr>
        <xdr:cNvSpPr txBox="1">
          <a:spLocks noChangeArrowheads="1"/>
        </xdr:cNvSpPr>
      </xdr:nvSpPr>
      <xdr:spPr bwMode="auto">
        <a:xfrm>
          <a:off x="257175" y="3876675"/>
          <a:ext cx="46767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Det budsjetteres med et svært dårlig resultat. Ytredal bør gå igjennom budsjettarbeidet på nytt.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28</xdr:row>
      <xdr:rowOff>38101</xdr:rowOff>
    </xdr:from>
    <xdr:to>
      <xdr:col>6</xdr:col>
      <xdr:colOff>104791</xdr:colOff>
      <xdr:row>32</xdr:row>
      <xdr:rowOff>111109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E922398-CA1A-4B32-BBD0-04330C17721B}"/>
            </a:ext>
          </a:extLst>
        </xdr:cNvPr>
        <xdr:cNvSpPr txBox="1">
          <a:spLocks noChangeArrowheads="1"/>
        </xdr:cNvSpPr>
      </xdr:nvSpPr>
      <xdr:spPr bwMode="auto">
        <a:xfrm>
          <a:off x="257175" y="4572001"/>
          <a:ext cx="467677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Ved å prøve oss frem i modellen (målsøking) finner vi ut at en reduksjon i varekostnaden til kr 6 246 900 fører til at resultatgraden blir 5 %. Det innebærer at varekostnaden utgjør 63,3 % av salgsinntekten. Bruttofortjenesten blir dermed 36,7 %.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</xdr:col>
      <xdr:colOff>8890</xdr:colOff>
      <xdr:row>141</xdr:row>
      <xdr:rowOff>158750</xdr:rowOff>
    </xdr:from>
    <xdr:to>
      <xdr:col>5</xdr:col>
      <xdr:colOff>666241</xdr:colOff>
      <xdr:row>150</xdr:row>
      <xdr:rowOff>40121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7E6EC34-623A-409E-B7AA-7A09FF6D544F}"/>
            </a:ext>
          </a:extLst>
        </xdr:cNvPr>
        <xdr:cNvSpPr txBox="1">
          <a:spLocks noChangeArrowheads="1"/>
        </xdr:cNvSpPr>
      </xdr:nvSpPr>
      <xdr:spPr bwMode="auto">
        <a:xfrm>
          <a:off x="222250" y="24230330"/>
          <a:ext cx="4695951" cy="1321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Kravet til likviditeten er 30 % av salget med mva. i måneden. Vi ser at målet er oppfylt i hele perioden. Likviditeten er meget bra.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Investeringen på kr 185 000 burde vært finansiert med langsiktig kapital (vi vet ikke om likviditetsbeholdningen er limit på kassekredittkonto, det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vil si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kortsiktig gjeld, eller et rent bankinnskudd. I det første tilfellet ville investeringen være finansiert med kortsiktig gjeld. Det er ikke bra. I det andre tilfellet ville investeringen være finansiert med (langsiktig) egenkapital, og det er ok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25</xdr:row>
      <xdr:rowOff>57150</xdr:rowOff>
    </xdr:from>
    <xdr:to>
      <xdr:col>2</xdr:col>
      <xdr:colOff>457200</xdr:colOff>
      <xdr:row>26</xdr:row>
      <xdr:rowOff>123825</xdr:rowOff>
    </xdr:to>
    <xdr:sp macro="" textlink="">
      <xdr:nvSpPr>
        <xdr:cNvPr id="4389" name="Line 1">
          <a:extLst>
            <a:ext uri="{FF2B5EF4-FFF2-40B4-BE49-F238E27FC236}">
              <a16:creationId xmlns:a16="http://schemas.microsoft.com/office/drawing/2014/main" id="{D8A2D6A8-4A81-459E-95E0-04B0B070B36D}"/>
            </a:ext>
          </a:extLst>
        </xdr:cNvPr>
        <xdr:cNvSpPr>
          <a:spLocks noChangeShapeType="1"/>
        </xdr:cNvSpPr>
      </xdr:nvSpPr>
      <xdr:spPr bwMode="auto">
        <a:xfrm flipV="1">
          <a:off x="2085975" y="4619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25</xdr:row>
      <xdr:rowOff>66675</xdr:rowOff>
    </xdr:from>
    <xdr:to>
      <xdr:col>3</xdr:col>
      <xdr:colOff>390525</xdr:colOff>
      <xdr:row>26</xdr:row>
      <xdr:rowOff>171450</xdr:rowOff>
    </xdr:to>
    <xdr:sp macro="" textlink="">
      <xdr:nvSpPr>
        <xdr:cNvPr id="4390" name="Line 2">
          <a:extLst>
            <a:ext uri="{FF2B5EF4-FFF2-40B4-BE49-F238E27FC236}">
              <a16:creationId xmlns:a16="http://schemas.microsoft.com/office/drawing/2014/main" id="{4DA48358-6567-4A8D-AA8C-F51E7767CB82}"/>
            </a:ext>
          </a:extLst>
        </xdr:cNvPr>
        <xdr:cNvSpPr>
          <a:spLocks noChangeShapeType="1"/>
        </xdr:cNvSpPr>
      </xdr:nvSpPr>
      <xdr:spPr bwMode="auto">
        <a:xfrm flipV="1">
          <a:off x="2790825" y="46291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27</xdr:row>
      <xdr:rowOff>47625</xdr:rowOff>
    </xdr:from>
    <xdr:to>
      <xdr:col>4</xdr:col>
      <xdr:colOff>352425</xdr:colOff>
      <xdr:row>28</xdr:row>
      <xdr:rowOff>19050</xdr:rowOff>
    </xdr:to>
    <xdr:sp macro="" textlink="">
      <xdr:nvSpPr>
        <xdr:cNvPr id="5987" name="Line 1">
          <a:extLst>
            <a:ext uri="{FF2B5EF4-FFF2-40B4-BE49-F238E27FC236}">
              <a16:creationId xmlns:a16="http://schemas.microsoft.com/office/drawing/2014/main" id="{461D64DF-1D87-49C8-B4BE-9BD7A6379CEC}"/>
            </a:ext>
          </a:extLst>
        </xdr:cNvPr>
        <xdr:cNvSpPr>
          <a:spLocks noChangeShapeType="1"/>
        </xdr:cNvSpPr>
      </xdr:nvSpPr>
      <xdr:spPr bwMode="auto">
        <a:xfrm flipV="1">
          <a:off x="2867025" y="52101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27</xdr:row>
      <xdr:rowOff>76200</xdr:rowOff>
    </xdr:from>
    <xdr:to>
      <xdr:col>5</xdr:col>
      <xdr:colOff>371475</xdr:colOff>
      <xdr:row>28</xdr:row>
      <xdr:rowOff>76200</xdr:rowOff>
    </xdr:to>
    <xdr:sp macro="" textlink="">
      <xdr:nvSpPr>
        <xdr:cNvPr id="5988" name="Line 2">
          <a:extLst>
            <a:ext uri="{FF2B5EF4-FFF2-40B4-BE49-F238E27FC236}">
              <a16:creationId xmlns:a16="http://schemas.microsoft.com/office/drawing/2014/main" id="{AD389D00-838C-4973-9E0E-54A0E092A3DE}"/>
            </a:ext>
          </a:extLst>
        </xdr:cNvPr>
        <xdr:cNvSpPr>
          <a:spLocks noChangeShapeType="1"/>
        </xdr:cNvSpPr>
      </xdr:nvSpPr>
      <xdr:spPr bwMode="auto">
        <a:xfrm flipV="1">
          <a:off x="3571875" y="52387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27</xdr:row>
      <xdr:rowOff>47625</xdr:rowOff>
    </xdr:from>
    <xdr:to>
      <xdr:col>3</xdr:col>
      <xdr:colOff>342900</xdr:colOff>
      <xdr:row>28</xdr:row>
      <xdr:rowOff>47625</xdr:rowOff>
    </xdr:to>
    <xdr:sp macro="" textlink="">
      <xdr:nvSpPr>
        <xdr:cNvPr id="5989" name="Line 3">
          <a:extLst>
            <a:ext uri="{FF2B5EF4-FFF2-40B4-BE49-F238E27FC236}">
              <a16:creationId xmlns:a16="http://schemas.microsoft.com/office/drawing/2014/main" id="{7BC5ED9C-8527-43DE-8CFF-E58962042BD9}"/>
            </a:ext>
          </a:extLst>
        </xdr:cNvPr>
        <xdr:cNvSpPr>
          <a:spLocks noChangeShapeType="1"/>
        </xdr:cNvSpPr>
      </xdr:nvSpPr>
      <xdr:spPr bwMode="auto">
        <a:xfrm flipV="1">
          <a:off x="2171700" y="52101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65</xdr:row>
      <xdr:rowOff>57150</xdr:rowOff>
    </xdr:from>
    <xdr:to>
      <xdr:col>6</xdr:col>
      <xdr:colOff>133350</xdr:colOff>
      <xdr:row>66</xdr:row>
      <xdr:rowOff>47625</xdr:rowOff>
    </xdr:to>
    <xdr:sp macro="" textlink="">
      <xdr:nvSpPr>
        <xdr:cNvPr id="5990" name="Line 4">
          <a:extLst>
            <a:ext uri="{FF2B5EF4-FFF2-40B4-BE49-F238E27FC236}">
              <a16:creationId xmlns:a16="http://schemas.microsoft.com/office/drawing/2014/main" id="{98DCE6BA-AB13-4BF1-8FB2-646899FE1B17}"/>
            </a:ext>
          </a:extLst>
        </xdr:cNvPr>
        <xdr:cNvSpPr>
          <a:spLocks noChangeShapeType="1"/>
        </xdr:cNvSpPr>
      </xdr:nvSpPr>
      <xdr:spPr bwMode="auto">
        <a:xfrm flipV="1">
          <a:off x="2828925" y="12458700"/>
          <a:ext cx="11906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68</xdr:row>
      <xdr:rowOff>82550</xdr:rowOff>
    </xdr:from>
    <xdr:to>
      <xdr:col>5</xdr:col>
      <xdr:colOff>621153</xdr:colOff>
      <xdr:row>69</xdr:row>
      <xdr:rowOff>82550</xdr:rowOff>
    </xdr:to>
    <xdr:cxnSp macro="">
      <xdr:nvCxnSpPr>
        <xdr:cNvPr id="7" name="Rett pil 6">
          <a:extLst>
            <a:ext uri="{FF2B5EF4-FFF2-40B4-BE49-F238E27FC236}">
              <a16:creationId xmlns:a16="http://schemas.microsoft.com/office/drawing/2014/main" id="{1341E2F5-3630-4B7D-A379-8F5918D5CCC8}"/>
            </a:ext>
          </a:extLst>
        </xdr:cNvPr>
        <xdr:cNvCxnSpPr/>
      </xdr:nvCxnSpPr>
      <xdr:spPr>
        <a:xfrm>
          <a:off x="3162300" y="14001750"/>
          <a:ext cx="5048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73025</xdr:colOff>
      <xdr:row>69</xdr:row>
      <xdr:rowOff>174625</xdr:rowOff>
    </xdr:from>
    <xdr:to>
      <xdr:col>5</xdr:col>
      <xdr:colOff>603603</xdr:colOff>
      <xdr:row>70</xdr:row>
      <xdr:rowOff>111125</xdr:rowOff>
    </xdr:to>
    <xdr:cxnSp macro="">
      <xdr:nvCxnSpPr>
        <xdr:cNvPr id="9" name="Rett pil 8">
          <a:extLst>
            <a:ext uri="{FF2B5EF4-FFF2-40B4-BE49-F238E27FC236}">
              <a16:creationId xmlns:a16="http://schemas.microsoft.com/office/drawing/2014/main" id="{B9D9A86B-3E3A-4165-8F75-C6F8C625B821}"/>
            </a:ext>
          </a:extLst>
        </xdr:cNvPr>
        <xdr:cNvCxnSpPr/>
      </xdr:nvCxnSpPr>
      <xdr:spPr>
        <a:xfrm flipV="1">
          <a:off x="3114675" y="14297025"/>
          <a:ext cx="53340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75</xdr:row>
      <xdr:rowOff>57150</xdr:rowOff>
    </xdr:from>
    <xdr:to>
      <xdr:col>7</xdr:col>
      <xdr:colOff>320484</xdr:colOff>
      <xdr:row>81</xdr:row>
      <xdr:rowOff>76200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95A8176E-FAB2-4E95-955F-ACADF35D63DD}"/>
            </a:ext>
          </a:extLst>
        </xdr:cNvPr>
        <xdr:cNvSpPr txBox="1">
          <a:spLocks noChangeArrowheads="1"/>
        </xdr:cNvSpPr>
      </xdr:nvSpPr>
      <xdr:spPr bwMode="auto">
        <a:xfrm>
          <a:off x="390525" y="15487650"/>
          <a:ext cx="4867275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ser unektelig ut som at alternativ D er det klart beste. En kan legge merke til at alternativ a) (sette prisen ned med 10 % for derved å få til en økning i omsatt mengde) kommer dårligst ut. Det viser seg generelt at en må oppnå en ganske vesentlig mengdeøkning for at prisnedsettelser skal være lønnsomme!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zoomScale="125" workbookViewId="0">
      <selection activeCell="D1" sqref="D1"/>
    </sheetView>
  </sheetViews>
  <sheetFormatPr baseColWidth="10" defaultColWidth="12" defaultRowHeight="15.6" x14ac:dyDescent="0.3"/>
  <cols>
    <col min="1" max="1" width="4.33203125" style="279" customWidth="1"/>
    <col min="2" max="16384" width="12" style="279"/>
  </cols>
  <sheetData>
    <row r="1" spans="1:4" x14ac:dyDescent="0.3">
      <c r="D1" s="382">
        <v>27062011</v>
      </c>
    </row>
    <row r="2" spans="1:4" x14ac:dyDescent="0.3">
      <c r="A2" s="279" t="s">
        <v>395</v>
      </c>
      <c r="B2" s="279" t="s">
        <v>303</v>
      </c>
    </row>
    <row r="3" spans="1:4" x14ac:dyDescent="0.3">
      <c r="B3" s="279" t="s">
        <v>219</v>
      </c>
    </row>
    <row r="5" spans="1:4" x14ac:dyDescent="0.3">
      <c r="A5" s="279" t="s">
        <v>394</v>
      </c>
      <c r="B5" s="279" t="s">
        <v>437</v>
      </c>
    </row>
    <row r="6" spans="1:4" x14ac:dyDescent="0.3">
      <c r="B6" s="279" t="s">
        <v>438</v>
      </c>
    </row>
    <row r="7" spans="1:4" x14ac:dyDescent="0.3">
      <c r="B7" s="279" t="s">
        <v>211</v>
      </c>
    </row>
    <row r="8" spans="1:4" x14ac:dyDescent="0.3">
      <c r="B8" s="279" t="s">
        <v>212</v>
      </c>
    </row>
    <row r="9" spans="1:4" x14ac:dyDescent="0.3">
      <c r="B9" s="279" t="s">
        <v>213</v>
      </c>
    </row>
    <row r="11" spans="1:4" x14ac:dyDescent="0.3">
      <c r="A11" s="279" t="s">
        <v>399</v>
      </c>
      <c r="B11" s="279" t="s">
        <v>348</v>
      </c>
    </row>
    <row r="12" spans="1:4" x14ac:dyDescent="0.3">
      <c r="B12" s="279" t="s">
        <v>214</v>
      </c>
    </row>
    <row r="13" spans="1:4" x14ac:dyDescent="0.3">
      <c r="B13" s="279" t="s">
        <v>215</v>
      </c>
    </row>
    <row r="15" spans="1:4" x14ac:dyDescent="0.3">
      <c r="A15" s="279" t="s">
        <v>400</v>
      </c>
      <c r="B15" s="279" t="s">
        <v>349</v>
      </c>
    </row>
    <row r="16" spans="1:4" x14ac:dyDescent="0.3">
      <c r="B16" s="279" t="s">
        <v>216</v>
      </c>
    </row>
    <row r="17" spans="2:2" x14ac:dyDescent="0.3">
      <c r="B17" s="279" t="s">
        <v>217</v>
      </c>
    </row>
    <row r="18" spans="2:2" x14ac:dyDescent="0.3">
      <c r="B18" s="279" t="s">
        <v>218</v>
      </c>
    </row>
  </sheetData>
  <phoneticPr fontId="24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&amp;CLøsninger kapittel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64"/>
  <sheetViews>
    <sheetView showGridLines="0" zoomScale="125" workbookViewId="0">
      <selection activeCell="D51" sqref="D51"/>
    </sheetView>
  </sheetViews>
  <sheetFormatPr baseColWidth="10" defaultColWidth="12" defaultRowHeight="13.8" x14ac:dyDescent="0.25"/>
  <cols>
    <col min="1" max="1" width="5.77734375" style="1" customWidth="1"/>
    <col min="2" max="2" width="27.6640625" style="1" customWidth="1"/>
    <col min="3" max="7" width="12.109375" style="1" bestFit="1" customWidth="1"/>
    <col min="8" max="16384" width="12" style="1"/>
  </cols>
  <sheetData>
    <row r="2" spans="1:6" x14ac:dyDescent="0.25">
      <c r="C2" s="110" t="s">
        <v>135</v>
      </c>
      <c r="D2" s="111">
        <v>0.25</v>
      </c>
      <c r="E2" s="2" t="s">
        <v>136</v>
      </c>
      <c r="F2" s="109">
        <v>1.25</v>
      </c>
    </row>
    <row r="4" spans="1:6" x14ac:dyDescent="0.25">
      <c r="A4" s="1" t="s">
        <v>395</v>
      </c>
      <c r="B4" s="19" t="s">
        <v>134</v>
      </c>
    </row>
    <row r="5" spans="1:6" x14ac:dyDescent="0.25">
      <c r="C5" s="20" t="s">
        <v>316</v>
      </c>
      <c r="D5" s="20" t="s">
        <v>317</v>
      </c>
      <c r="E5" s="10"/>
      <c r="F5" s="10"/>
    </row>
    <row r="6" spans="1:6" x14ac:dyDescent="0.25">
      <c r="B6" s="1" t="s">
        <v>137</v>
      </c>
      <c r="C6" s="2">
        <f>C8+C7</f>
        <v>500000</v>
      </c>
      <c r="D6" s="2">
        <f>D8+D7</f>
        <v>600000</v>
      </c>
      <c r="E6" s="2"/>
      <c r="F6" s="2"/>
    </row>
    <row r="7" spans="1:6" x14ac:dyDescent="0.25">
      <c r="B7" s="1" t="s">
        <v>492</v>
      </c>
      <c r="C7" s="13">
        <f>C8*$D$2</f>
        <v>100000</v>
      </c>
      <c r="D7" s="13">
        <f>D8*$D$2</f>
        <v>120000</v>
      </c>
      <c r="E7" s="2"/>
      <c r="F7" s="2"/>
    </row>
    <row r="8" spans="1:6" x14ac:dyDescent="0.25">
      <c r="B8" s="1" t="s">
        <v>138</v>
      </c>
      <c r="C8" s="2">
        <f>500000/F2</f>
        <v>400000</v>
      </c>
      <c r="D8" s="2">
        <f>600000/F2</f>
        <v>480000</v>
      </c>
      <c r="E8" s="2"/>
      <c r="F8" s="2"/>
    </row>
    <row r="9" spans="1:6" x14ac:dyDescent="0.25">
      <c r="B9" s="1" t="s">
        <v>505</v>
      </c>
      <c r="C9" s="13">
        <f>(C8/140)*40</f>
        <v>114285.71428571429</v>
      </c>
      <c r="D9" s="13">
        <f>(D8/140)*40</f>
        <v>137142.85714285713</v>
      </c>
      <c r="E9" s="2"/>
      <c r="F9" s="2"/>
    </row>
    <row r="10" spans="1:6" x14ac:dyDescent="0.25">
      <c r="B10" s="1" t="s">
        <v>506</v>
      </c>
      <c r="C10" s="2">
        <f>C8-C9</f>
        <v>285714.28571428568</v>
      </c>
      <c r="D10" s="2">
        <f>D8-D9</f>
        <v>342857.14285714284</v>
      </c>
      <c r="E10" s="2"/>
      <c r="F10" s="2"/>
    </row>
    <row r="11" spans="1:6" x14ac:dyDescent="0.25">
      <c r="B11" s="1" t="s">
        <v>139</v>
      </c>
      <c r="C11" s="13">
        <v>-20000</v>
      </c>
      <c r="D11" s="13">
        <v>-20000</v>
      </c>
      <c r="E11" s="2"/>
      <c r="F11" s="2"/>
    </row>
    <row r="12" spans="1:6" x14ac:dyDescent="0.25">
      <c r="B12" s="1" t="s">
        <v>140</v>
      </c>
      <c r="C12" s="2">
        <f>SUM(C10:C11)</f>
        <v>265714.28571428568</v>
      </c>
      <c r="D12" s="2">
        <f>SUM(D10:D11)</f>
        <v>322857.14285714284</v>
      </c>
      <c r="E12" s="2"/>
      <c r="F12" s="2"/>
    </row>
    <row r="13" spans="1:6" x14ac:dyDescent="0.25">
      <c r="B13" s="1" t="s">
        <v>492</v>
      </c>
      <c r="C13" s="2">
        <f>C12*$D$2</f>
        <v>66428.57142857142</v>
      </c>
      <c r="D13" s="2">
        <f>D12*$D$2</f>
        <v>80714.28571428571</v>
      </c>
      <c r="E13" s="2"/>
      <c r="F13" s="2"/>
    </row>
    <row r="14" spans="1:6" ht="14.4" thickBot="1" x14ac:dyDescent="0.3">
      <c r="B14" s="1" t="s">
        <v>141</v>
      </c>
      <c r="C14" s="21">
        <f>SUM(C12:C13)</f>
        <v>332142.8571428571</v>
      </c>
      <c r="D14" s="21">
        <f>SUM(D12:D13)</f>
        <v>403571.42857142852</v>
      </c>
      <c r="E14" s="2"/>
      <c r="F14" s="2"/>
    </row>
    <row r="15" spans="1:6" ht="14.4" thickTop="1" x14ac:dyDescent="0.25">
      <c r="C15" s="2"/>
      <c r="D15" s="2"/>
      <c r="E15" s="2"/>
      <c r="F15" s="2"/>
    </row>
    <row r="18" spans="2:6" x14ac:dyDescent="0.25">
      <c r="B18" s="19" t="s">
        <v>142</v>
      </c>
    </row>
    <row r="19" spans="2:6" ht="14.4" thickBot="1" x14ac:dyDescent="0.3">
      <c r="B19" s="282"/>
      <c r="C19" s="283" t="s">
        <v>317</v>
      </c>
      <c r="D19" s="10"/>
      <c r="E19" s="10"/>
      <c r="F19" s="10"/>
    </row>
    <row r="20" spans="2:6" x14ac:dyDescent="0.25">
      <c r="B20" s="18" t="s">
        <v>509</v>
      </c>
      <c r="C20" s="6"/>
      <c r="D20" s="2"/>
      <c r="E20" s="2"/>
      <c r="F20" s="2"/>
    </row>
    <row r="21" spans="2:6" x14ac:dyDescent="0.25">
      <c r="B21" s="4" t="s">
        <v>524</v>
      </c>
      <c r="C21" s="6">
        <f>D6/2</f>
        <v>300000</v>
      </c>
      <c r="D21" s="2"/>
      <c r="E21" s="2"/>
      <c r="F21" s="2"/>
    </row>
    <row r="22" spans="2:6" x14ac:dyDescent="0.25">
      <c r="B22" s="4" t="s">
        <v>525</v>
      </c>
      <c r="C22" s="6">
        <f>C6/2</f>
        <v>250000</v>
      </c>
      <c r="D22" s="2"/>
      <c r="E22" s="2"/>
      <c r="F22" s="2"/>
    </row>
    <row r="23" spans="2:6" x14ac:dyDescent="0.25">
      <c r="B23" s="4"/>
      <c r="C23" s="5">
        <f>SUM(C21:C22)</f>
        <v>550000</v>
      </c>
      <c r="D23" s="2"/>
      <c r="E23" s="2"/>
      <c r="F23" s="2"/>
    </row>
    <row r="24" spans="2:6" x14ac:dyDescent="0.25">
      <c r="B24" s="4"/>
      <c r="C24" s="6"/>
      <c r="D24" s="2"/>
      <c r="E24" s="2"/>
      <c r="F24" s="2"/>
    </row>
    <row r="25" spans="2:6" x14ac:dyDescent="0.25">
      <c r="B25" s="18" t="s">
        <v>489</v>
      </c>
      <c r="C25" s="6"/>
      <c r="D25" s="2"/>
      <c r="E25" s="2"/>
      <c r="F25" s="2"/>
    </row>
    <row r="26" spans="2:6" x14ac:dyDescent="0.25">
      <c r="B26" s="4" t="s">
        <v>490</v>
      </c>
      <c r="C26" s="6">
        <f>C14</f>
        <v>332142.8571428571</v>
      </c>
      <c r="D26" s="2"/>
      <c r="E26" s="2"/>
      <c r="F26" s="2"/>
    </row>
    <row r="27" spans="2:6" x14ac:dyDescent="0.25">
      <c r="B27" s="4" t="s">
        <v>475</v>
      </c>
      <c r="C27" s="6">
        <v>48000</v>
      </c>
      <c r="D27" s="2"/>
      <c r="E27" s="2"/>
      <c r="F27" s="2"/>
    </row>
    <row r="28" spans="2:6" x14ac:dyDescent="0.25">
      <c r="B28" s="4" t="s">
        <v>510</v>
      </c>
      <c r="C28" s="6">
        <v>55000</v>
      </c>
      <c r="D28" s="2"/>
      <c r="E28" s="2"/>
      <c r="F28" s="2"/>
    </row>
    <row r="29" spans="2:6" x14ac:dyDescent="0.25">
      <c r="B29" s="4" t="s">
        <v>492</v>
      </c>
      <c r="C29" s="6">
        <v>55000</v>
      </c>
      <c r="D29" s="2"/>
      <c r="E29" s="2"/>
      <c r="F29" s="2"/>
    </row>
    <row r="30" spans="2:6" x14ac:dyDescent="0.25">
      <c r="B30" s="4" t="s">
        <v>491</v>
      </c>
      <c r="C30" s="6">
        <v>25000</v>
      </c>
      <c r="D30" s="2"/>
      <c r="E30" s="2"/>
      <c r="F30" s="2"/>
    </row>
    <row r="31" spans="2:6" x14ac:dyDescent="0.25">
      <c r="B31" s="4"/>
      <c r="C31" s="5">
        <f>SUM(C26:C30)</f>
        <v>515142.8571428571</v>
      </c>
      <c r="D31" s="2"/>
      <c r="E31" s="2"/>
      <c r="F31" s="2"/>
    </row>
    <row r="32" spans="2:6" x14ac:dyDescent="0.25">
      <c r="B32" s="4"/>
      <c r="C32" s="6"/>
      <c r="D32" s="2"/>
      <c r="E32" s="2"/>
      <c r="F32" s="2"/>
    </row>
    <row r="33" spans="2:6" x14ac:dyDescent="0.25">
      <c r="B33" s="4" t="s">
        <v>144</v>
      </c>
      <c r="C33" s="6">
        <f>C23-C31</f>
        <v>34857.142857142899</v>
      </c>
      <c r="D33" s="2"/>
      <c r="E33" s="2"/>
      <c r="F33" s="2"/>
    </row>
    <row r="34" spans="2:6" x14ac:dyDescent="0.25">
      <c r="B34" s="4"/>
      <c r="C34" s="6"/>
      <c r="D34" s="2"/>
      <c r="E34" s="2"/>
      <c r="F34" s="2"/>
    </row>
    <row r="35" spans="2:6" x14ac:dyDescent="0.25">
      <c r="B35" s="4" t="s">
        <v>495</v>
      </c>
      <c r="C35" s="6">
        <f>200000-150000+20000</f>
        <v>70000</v>
      </c>
      <c r="D35" s="2" t="s">
        <v>145</v>
      </c>
      <c r="E35" s="2"/>
      <c r="F35" s="2"/>
    </row>
    <row r="36" spans="2:6" x14ac:dyDescent="0.25">
      <c r="B36" s="15" t="s">
        <v>496</v>
      </c>
      <c r="C36" s="8">
        <f>C35+C33</f>
        <v>104857.1428571429</v>
      </c>
      <c r="D36" s="2"/>
      <c r="E36" s="2"/>
      <c r="F36" s="2"/>
    </row>
    <row r="37" spans="2:6" x14ac:dyDescent="0.25">
      <c r="D37" s="2"/>
    </row>
    <row r="39" spans="2:6" x14ac:dyDescent="0.25">
      <c r="B39" s="19" t="s">
        <v>143</v>
      </c>
    </row>
    <row r="40" spans="2:6" x14ac:dyDescent="0.25">
      <c r="B40" s="17"/>
      <c r="C40" s="12" t="s">
        <v>317</v>
      </c>
      <c r="D40" s="10"/>
      <c r="E40" s="10"/>
      <c r="F40" s="10"/>
    </row>
    <row r="41" spans="2:6" x14ac:dyDescent="0.25">
      <c r="B41" s="39" t="s">
        <v>516</v>
      </c>
      <c r="C41" s="6"/>
      <c r="D41" s="2"/>
      <c r="E41" s="2"/>
      <c r="F41" s="2"/>
    </row>
    <row r="42" spans="2:6" ht="14.4" thickBot="1" x14ac:dyDescent="0.3">
      <c r="B42" s="9" t="s">
        <v>138</v>
      </c>
      <c r="C42" s="34">
        <f>D8</f>
        <v>480000</v>
      </c>
      <c r="D42" s="2"/>
      <c r="E42" s="2"/>
      <c r="F42" s="2"/>
    </row>
    <row r="43" spans="2:6" x14ac:dyDescent="0.25">
      <c r="B43" s="9"/>
      <c r="C43" s="6"/>
      <c r="D43" s="2"/>
      <c r="E43" s="2"/>
      <c r="F43" s="2"/>
    </row>
    <row r="44" spans="2:6" x14ac:dyDescent="0.25">
      <c r="B44" s="39" t="s">
        <v>517</v>
      </c>
      <c r="C44" s="6"/>
      <c r="D44" s="2"/>
      <c r="E44" s="2"/>
      <c r="F44" s="2"/>
    </row>
    <row r="45" spans="2:6" x14ac:dyDescent="0.25">
      <c r="B45" s="9" t="s">
        <v>474</v>
      </c>
      <c r="C45" s="6">
        <f>D10</f>
        <v>342857.14285714284</v>
      </c>
      <c r="D45" s="2"/>
      <c r="E45" s="2"/>
      <c r="F45" s="2"/>
    </row>
    <row r="46" spans="2:6" x14ac:dyDescent="0.25">
      <c r="B46" s="9" t="s">
        <v>475</v>
      </c>
      <c r="C46" s="6">
        <v>50000</v>
      </c>
      <c r="D46" s="2" t="s">
        <v>556</v>
      </c>
      <c r="E46" s="2"/>
      <c r="F46" s="2"/>
    </row>
    <row r="47" spans="2:6" x14ac:dyDescent="0.25">
      <c r="B47" s="9" t="s">
        <v>476</v>
      </c>
      <c r="C47" s="6">
        <f>C46*0.12</f>
        <v>6000</v>
      </c>
      <c r="D47" s="2" t="s">
        <v>318</v>
      </c>
      <c r="E47" s="2"/>
      <c r="F47" s="2"/>
    </row>
    <row r="48" spans="2:6" x14ac:dyDescent="0.25">
      <c r="B48" s="9" t="s">
        <v>477</v>
      </c>
      <c r="C48" s="6">
        <f>(C46+C47)*0.141</f>
        <v>7895.9999999999991</v>
      </c>
      <c r="D48" s="2" t="s">
        <v>319</v>
      </c>
      <c r="E48" s="2"/>
      <c r="F48" s="2"/>
    </row>
    <row r="49" spans="1:6" x14ac:dyDescent="0.25">
      <c r="B49" s="9" t="s">
        <v>479</v>
      </c>
      <c r="C49" s="6">
        <v>45000</v>
      </c>
      <c r="D49" s="2" t="s">
        <v>146</v>
      </c>
      <c r="E49" s="2"/>
      <c r="F49" s="2"/>
    </row>
    <row r="50" spans="1:6" x14ac:dyDescent="0.25">
      <c r="B50" s="9" t="s">
        <v>430</v>
      </c>
      <c r="C50" s="6">
        <v>25000</v>
      </c>
      <c r="D50" s="2"/>
      <c r="E50" s="2"/>
      <c r="F50" s="2"/>
    </row>
    <row r="51" spans="1:6" ht="14.4" thickBot="1" x14ac:dyDescent="0.3">
      <c r="B51" s="9" t="s">
        <v>520</v>
      </c>
      <c r="C51" s="36">
        <f>SUM(C45:C50)</f>
        <v>476753.14285714284</v>
      </c>
      <c r="D51" s="2"/>
      <c r="E51" s="2"/>
      <c r="F51" s="2"/>
    </row>
    <row r="52" spans="1:6" x14ac:dyDescent="0.25">
      <c r="B52" s="9"/>
      <c r="C52" s="6"/>
      <c r="D52" s="2"/>
      <c r="E52" s="2"/>
      <c r="F52" s="2"/>
    </row>
    <row r="53" spans="1:6" x14ac:dyDescent="0.25">
      <c r="B53" s="24" t="s">
        <v>481</v>
      </c>
      <c r="C53" s="8">
        <f>C42-C51</f>
        <v>3246.8571428571595</v>
      </c>
      <c r="D53" s="2"/>
      <c r="E53" s="2"/>
      <c r="F53" s="2"/>
    </row>
    <row r="56" spans="1:6" x14ac:dyDescent="0.25">
      <c r="A56" s="1" t="s">
        <v>394</v>
      </c>
      <c r="B56" s="1" t="s">
        <v>471</v>
      </c>
      <c r="C56" s="2">
        <f>C42</f>
        <v>480000</v>
      </c>
    </row>
    <row r="57" spans="1:6" x14ac:dyDescent="0.25">
      <c r="B57" s="305" t="s">
        <v>148</v>
      </c>
      <c r="C57" s="13">
        <f>C45</f>
        <v>342857.14285714284</v>
      </c>
    </row>
    <row r="58" spans="1:6" x14ac:dyDescent="0.25">
      <c r="B58" s="303" t="s">
        <v>320</v>
      </c>
      <c r="C58" s="2">
        <f>C56-C57</f>
        <v>137142.85714285716</v>
      </c>
    </row>
    <row r="59" spans="1:6" x14ac:dyDescent="0.25">
      <c r="B59" s="305" t="s">
        <v>147</v>
      </c>
      <c r="C59" s="13">
        <f>SUM(C46:C50)</f>
        <v>133896</v>
      </c>
    </row>
    <row r="60" spans="1:6" x14ac:dyDescent="0.25">
      <c r="B60" s="305" t="s">
        <v>149</v>
      </c>
      <c r="C60" s="13">
        <f>C58-C59</f>
        <v>3246.8571428571595</v>
      </c>
    </row>
    <row r="61" spans="1:6" x14ac:dyDescent="0.25">
      <c r="B61" s="303"/>
    </row>
    <row r="62" spans="1:6" x14ac:dyDescent="0.25">
      <c r="B62" s="1" t="s">
        <v>321</v>
      </c>
      <c r="C62" s="304">
        <f>C58/C56</f>
        <v>0.28571428571428575</v>
      </c>
      <c r="D62" s="2" t="s">
        <v>150</v>
      </c>
    </row>
    <row r="64" spans="1:6" x14ac:dyDescent="0.25">
      <c r="B64" s="1" t="s">
        <v>322</v>
      </c>
      <c r="C64" s="2">
        <f>C59/C62</f>
        <v>468635.99999999994</v>
      </c>
      <c r="D64" s="2" t="s">
        <v>151</v>
      </c>
    </row>
  </sheetData>
  <phoneticPr fontId="24" type="noConversion"/>
  <pageMargins left="0.78740157480314965" right="0.78740157480314965" top="0.78740157480314965" bottom="0.98425196850393704" header="0.70866141732283472" footer="0.51181102362204722"/>
  <pageSetup paperSize="9" fitToHeight="3" orientation="portrait" horizontalDpi="300" verticalDpi="300" r:id="rId1"/>
  <headerFooter alignWithMargins="0">
    <oddHeader>&amp;A&amp;RSide &amp;P</oddHeader>
    <oddFooter>&amp;CLøsninger kapittel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3"/>
  <sheetViews>
    <sheetView showGridLines="0" zoomScale="125" workbookViewId="0">
      <selection activeCell="D87" sqref="D87"/>
    </sheetView>
  </sheetViews>
  <sheetFormatPr baseColWidth="10" defaultColWidth="12" defaultRowHeight="13.8" x14ac:dyDescent="0.25"/>
  <cols>
    <col min="1" max="1" width="2.6640625" style="1" customWidth="1"/>
    <col min="2" max="2" width="17.33203125" style="1" customWidth="1"/>
    <col min="3" max="16384" width="12" style="1"/>
  </cols>
  <sheetData>
    <row r="1" spans="1:7" x14ac:dyDescent="0.25">
      <c r="A1" s="1" t="s">
        <v>302</v>
      </c>
    </row>
    <row r="3" spans="1:7" x14ac:dyDescent="0.25">
      <c r="B3" s="1" t="s">
        <v>11</v>
      </c>
      <c r="C3" s="114">
        <v>1.25</v>
      </c>
      <c r="D3" s="114">
        <v>0.25</v>
      </c>
    </row>
    <row r="5" spans="1:7" x14ac:dyDescent="0.25">
      <c r="B5" s="19" t="s">
        <v>152</v>
      </c>
    </row>
    <row r="7" spans="1:7" x14ac:dyDescent="0.25">
      <c r="B7" s="23"/>
      <c r="C7" s="74" t="s">
        <v>536</v>
      </c>
      <c r="D7" s="431" t="s">
        <v>537</v>
      </c>
      <c r="E7" s="430"/>
      <c r="F7" s="432"/>
      <c r="G7" s="7"/>
    </row>
    <row r="8" spans="1:7" x14ac:dyDescent="0.25">
      <c r="B8" s="24" t="s">
        <v>522</v>
      </c>
      <c r="C8" s="16" t="s">
        <v>12</v>
      </c>
      <c r="D8" s="12" t="s">
        <v>472</v>
      </c>
      <c r="E8" s="12" t="s">
        <v>473</v>
      </c>
      <c r="F8" s="12" t="s">
        <v>503</v>
      </c>
      <c r="G8" s="11" t="s">
        <v>508</v>
      </c>
    </row>
    <row r="9" spans="1:7" x14ac:dyDescent="0.25">
      <c r="B9" s="4" t="s">
        <v>538</v>
      </c>
      <c r="C9" s="6">
        <v>300000</v>
      </c>
      <c r="D9" s="6">
        <f>C9*0.5</f>
        <v>150000</v>
      </c>
      <c r="E9" s="6"/>
      <c r="F9" s="6"/>
      <c r="G9" s="6"/>
    </row>
    <row r="10" spans="1:7" x14ac:dyDescent="0.25">
      <c r="B10" s="4" t="s">
        <v>539</v>
      </c>
      <c r="C10" s="6">
        <v>320000</v>
      </c>
      <c r="D10" s="6"/>
      <c r="E10" s="6">
        <f>C10*0.5</f>
        <v>160000</v>
      </c>
      <c r="F10" s="6"/>
      <c r="G10" s="6"/>
    </row>
    <row r="11" spans="1:7" x14ac:dyDescent="0.25">
      <c r="B11" s="4" t="s">
        <v>540</v>
      </c>
      <c r="C11" s="6">
        <f>280000*C3</f>
        <v>350000</v>
      </c>
      <c r="D11" s="6">
        <f>C11*0.5*0.975</f>
        <v>170625</v>
      </c>
      <c r="E11" s="6"/>
      <c r="F11" s="6">
        <f>C11*0.5</f>
        <v>175000</v>
      </c>
      <c r="G11" s="6"/>
    </row>
    <row r="12" spans="1:7" x14ac:dyDescent="0.25">
      <c r="B12" s="4" t="s">
        <v>541</v>
      </c>
      <c r="C12" s="6">
        <f>315000*C3</f>
        <v>393750</v>
      </c>
      <c r="D12" s="6"/>
      <c r="E12" s="6">
        <f>C12*0.5*0.975</f>
        <v>191953.125</v>
      </c>
      <c r="F12" s="6"/>
      <c r="G12" s="6">
        <f>C12*0.5</f>
        <v>196875</v>
      </c>
    </row>
    <row r="13" spans="1:7" x14ac:dyDescent="0.25">
      <c r="B13" s="4" t="s">
        <v>542</v>
      </c>
      <c r="C13" s="6">
        <f>350000*C3</f>
        <v>437500</v>
      </c>
      <c r="D13" s="6"/>
      <c r="E13" s="6"/>
      <c r="F13" s="6">
        <f>C13*0.5*0.975</f>
        <v>213281.25</v>
      </c>
      <c r="G13" s="6">
        <f>C13*0.5</f>
        <v>218750</v>
      </c>
    </row>
    <row r="14" spans="1:7" ht="14.4" thickBot="1" x14ac:dyDescent="0.3">
      <c r="B14" s="75"/>
      <c r="C14" s="27"/>
      <c r="D14" s="27">
        <f>SUM(D9:D13)</f>
        <v>320625</v>
      </c>
      <c r="E14" s="27">
        <f>SUM(E9:E13)</f>
        <v>351953.125</v>
      </c>
      <c r="F14" s="27">
        <f>SUM(F9:F13)</f>
        <v>388281.25</v>
      </c>
      <c r="G14" s="27">
        <f>SUM(G12:G13)</f>
        <v>415625</v>
      </c>
    </row>
    <row r="15" spans="1:7" ht="14.4" thickTop="1" x14ac:dyDescent="0.25"/>
    <row r="17" spans="1:6" x14ac:dyDescent="0.25">
      <c r="B17" s="19" t="s">
        <v>91</v>
      </c>
    </row>
    <row r="18" spans="1:6" x14ac:dyDescent="0.25">
      <c r="B18" s="14"/>
      <c r="C18" s="3"/>
      <c r="D18" s="12" t="str">
        <f>D8</f>
        <v>Januar</v>
      </c>
      <c r="E18" s="12" t="str">
        <f>E8</f>
        <v>Februar</v>
      </c>
      <c r="F18" s="12" t="str">
        <f>F8</f>
        <v>Mars</v>
      </c>
    </row>
    <row r="19" spans="1:6" x14ac:dyDescent="0.25">
      <c r="B19" s="4" t="s">
        <v>108</v>
      </c>
      <c r="C19" s="2"/>
      <c r="D19" s="6">
        <f>C11</f>
        <v>350000</v>
      </c>
      <c r="E19" s="6">
        <f>C12</f>
        <v>393750</v>
      </c>
      <c r="F19" s="6">
        <f>C13</f>
        <v>437500</v>
      </c>
    </row>
    <row r="20" spans="1:6" x14ac:dyDescent="0.25">
      <c r="B20" s="4" t="s">
        <v>492</v>
      </c>
      <c r="C20" s="2"/>
      <c r="D20" s="8">
        <f>D19*D3/C3</f>
        <v>70000</v>
      </c>
      <c r="E20" s="8">
        <f>E19*D3/C3</f>
        <v>78750</v>
      </c>
      <c r="F20" s="8">
        <f>F19*D3/C3</f>
        <v>87500</v>
      </c>
    </row>
    <row r="21" spans="1:6" x14ac:dyDescent="0.25">
      <c r="B21" s="4" t="s">
        <v>13</v>
      </c>
      <c r="C21" s="2"/>
      <c r="D21" s="6">
        <f>D19-D20</f>
        <v>280000</v>
      </c>
      <c r="E21" s="6">
        <f>E19-E20</f>
        <v>315000</v>
      </c>
      <c r="F21" s="6">
        <f>F19-F20</f>
        <v>350000</v>
      </c>
    </row>
    <row r="22" spans="1:6" x14ac:dyDescent="0.25">
      <c r="B22" s="4" t="s">
        <v>505</v>
      </c>
      <c r="C22" s="2"/>
      <c r="D22" s="8">
        <f>D21-D23</f>
        <v>80000</v>
      </c>
      <c r="E22" s="8">
        <f>E21-E23</f>
        <v>90000</v>
      </c>
      <c r="F22" s="8">
        <f>F21-F23</f>
        <v>99999.999999999971</v>
      </c>
    </row>
    <row r="23" spans="1:6" x14ac:dyDescent="0.25">
      <c r="B23" s="4" t="s">
        <v>506</v>
      </c>
      <c r="C23" s="2"/>
      <c r="D23" s="6">
        <f>D21/1.4</f>
        <v>200000</v>
      </c>
      <c r="E23" s="6">
        <f>E21/1.4</f>
        <v>225000</v>
      </c>
      <c r="F23" s="6">
        <f>F21/1.4</f>
        <v>250000.00000000003</v>
      </c>
    </row>
    <row r="24" spans="1:6" x14ac:dyDescent="0.25">
      <c r="B24" s="4" t="s">
        <v>543</v>
      </c>
      <c r="C24" s="2"/>
      <c r="D24" s="8">
        <v>10000</v>
      </c>
      <c r="E24" s="8">
        <v>20000</v>
      </c>
      <c r="F24" s="8">
        <v>-10000</v>
      </c>
    </row>
    <row r="25" spans="1:6" x14ac:dyDescent="0.25">
      <c r="B25" s="4" t="s">
        <v>129</v>
      </c>
      <c r="C25" s="2"/>
      <c r="D25" s="6">
        <f>SUM(D23:D24)</f>
        <v>210000</v>
      </c>
      <c r="E25" s="6">
        <f>SUM(E23:E24)</f>
        <v>245000</v>
      </c>
      <c r="F25" s="6">
        <f>SUM(F23:F24)</f>
        <v>240000.00000000003</v>
      </c>
    </row>
    <row r="26" spans="1:6" x14ac:dyDescent="0.25">
      <c r="B26" s="4" t="s">
        <v>492</v>
      </c>
      <c r="C26" s="2"/>
      <c r="D26" s="6">
        <f>D25*$D$3</f>
        <v>52500</v>
      </c>
      <c r="E26" s="6">
        <f>E25*$D$3</f>
        <v>61250</v>
      </c>
      <c r="F26" s="6">
        <f>F25*$D$3</f>
        <v>60000.000000000007</v>
      </c>
    </row>
    <row r="27" spans="1:6" x14ac:dyDescent="0.25">
      <c r="B27" s="15" t="s">
        <v>130</v>
      </c>
      <c r="C27" s="13"/>
      <c r="D27" s="5">
        <f>SUM(D25:D26)</f>
        <v>262500</v>
      </c>
      <c r="E27" s="5">
        <f>SUM(E25:E26)</f>
        <v>306250</v>
      </c>
      <c r="F27" s="5">
        <f>SUM(F25:F26)</f>
        <v>300000.00000000006</v>
      </c>
    </row>
    <row r="29" spans="1:6" x14ac:dyDescent="0.25">
      <c r="B29" s="1" t="s">
        <v>544</v>
      </c>
      <c r="D29" s="10" t="s">
        <v>473</v>
      </c>
      <c r="E29" s="10" t="s">
        <v>503</v>
      </c>
      <c r="F29" s="10" t="s">
        <v>499</v>
      </c>
    </row>
    <row r="32" spans="1:6" x14ac:dyDescent="0.25">
      <c r="A32" s="1" t="s">
        <v>102</v>
      </c>
      <c r="B32" s="19" t="s">
        <v>92</v>
      </c>
    </row>
    <row r="33" spans="2:6" x14ac:dyDescent="0.25">
      <c r="B33" s="14"/>
      <c r="C33" s="3"/>
      <c r="D33" s="12" t="str">
        <f>D18</f>
        <v>Januar</v>
      </c>
      <c r="E33" s="12" t="str">
        <f>E18</f>
        <v>Februar</v>
      </c>
      <c r="F33" s="12" t="str">
        <f>F18</f>
        <v>Mars</v>
      </c>
    </row>
    <row r="34" spans="2:6" x14ac:dyDescent="0.25">
      <c r="B34" s="4" t="s">
        <v>502</v>
      </c>
      <c r="C34" s="2"/>
      <c r="D34" s="8">
        <f>D14</f>
        <v>320625</v>
      </c>
      <c r="E34" s="8">
        <f>E14</f>
        <v>351953.125</v>
      </c>
      <c r="F34" s="8">
        <f>F14</f>
        <v>388281.25</v>
      </c>
    </row>
    <row r="35" spans="2:6" x14ac:dyDescent="0.25">
      <c r="B35" s="4"/>
      <c r="C35" s="2"/>
      <c r="D35" s="6"/>
      <c r="E35" s="6"/>
      <c r="F35" s="6"/>
    </row>
    <row r="36" spans="2:6" x14ac:dyDescent="0.25">
      <c r="B36" s="18" t="s">
        <v>489</v>
      </c>
      <c r="C36" s="2"/>
      <c r="D36" s="6"/>
      <c r="E36" s="6"/>
      <c r="F36" s="6"/>
    </row>
    <row r="37" spans="2:6" x14ac:dyDescent="0.25">
      <c r="B37" s="4" t="s">
        <v>490</v>
      </c>
      <c r="C37" s="2"/>
      <c r="D37" s="6">
        <f>221400</f>
        <v>221400</v>
      </c>
      <c r="E37" s="6">
        <f>D27</f>
        <v>262500</v>
      </c>
      <c r="F37" s="6">
        <f>E27</f>
        <v>306250</v>
      </c>
    </row>
    <row r="38" spans="2:6" x14ac:dyDescent="0.25">
      <c r="B38" s="4" t="s">
        <v>475</v>
      </c>
      <c r="C38" s="2"/>
      <c r="D38" s="6">
        <v>35000</v>
      </c>
      <c r="E38" s="6">
        <v>35000</v>
      </c>
      <c r="F38" s="6">
        <v>35000</v>
      </c>
    </row>
    <row r="39" spans="2:6" x14ac:dyDescent="0.25">
      <c r="B39" s="4" t="s">
        <v>477</v>
      </c>
      <c r="C39" s="2"/>
      <c r="D39" s="6">
        <v>8000</v>
      </c>
      <c r="E39" s="6"/>
      <c r="F39" s="6">
        <f>(D38+E38)*0.141</f>
        <v>9869.9999999999982</v>
      </c>
    </row>
    <row r="40" spans="2:6" x14ac:dyDescent="0.25">
      <c r="B40" s="4" t="s">
        <v>478</v>
      </c>
      <c r="C40" s="2"/>
      <c r="D40" s="6"/>
      <c r="E40" s="6">
        <v>42000</v>
      </c>
      <c r="F40" s="6"/>
    </row>
    <row r="41" spans="2:6" x14ac:dyDescent="0.25">
      <c r="B41" s="4" t="s">
        <v>533</v>
      </c>
      <c r="C41" s="2"/>
      <c r="D41" s="6">
        <f>D61*$C$3</f>
        <v>15000</v>
      </c>
      <c r="E41" s="6">
        <f>E61*$C$3</f>
        <v>16250</v>
      </c>
      <c r="F41" s="6">
        <f>F61*$C$3</f>
        <v>17500</v>
      </c>
    </row>
    <row r="42" spans="2:6" x14ac:dyDescent="0.25">
      <c r="B42" s="4" t="s">
        <v>491</v>
      </c>
      <c r="C42" s="2"/>
      <c r="D42" s="6"/>
      <c r="E42" s="6"/>
      <c r="F42" s="6">
        <v>14000</v>
      </c>
    </row>
    <row r="43" spans="2:6" x14ac:dyDescent="0.25">
      <c r="B43" s="4" t="s">
        <v>545</v>
      </c>
      <c r="C43" s="2"/>
      <c r="D43" s="6">
        <v>12000</v>
      </c>
      <c r="E43" s="6"/>
      <c r="F43" s="6"/>
    </row>
    <row r="44" spans="2:6" x14ac:dyDescent="0.25">
      <c r="B44" s="4" t="s">
        <v>492</v>
      </c>
      <c r="C44" s="2"/>
      <c r="D44" s="6"/>
      <c r="E44" s="6">
        <v>35000</v>
      </c>
      <c r="F44" s="6"/>
    </row>
    <row r="45" spans="2:6" x14ac:dyDescent="0.25">
      <c r="B45" s="4"/>
      <c r="C45" s="2"/>
      <c r="D45" s="5">
        <f>SUM(D37:D44)</f>
        <v>291400</v>
      </c>
      <c r="E45" s="5">
        <f>SUM(E37:E44)</f>
        <v>390750</v>
      </c>
      <c r="F45" s="5">
        <f>SUM(F37:F44)</f>
        <v>382620</v>
      </c>
    </row>
    <row r="46" spans="2:6" x14ac:dyDescent="0.25">
      <c r="B46" s="4"/>
      <c r="C46" s="2"/>
      <c r="D46" s="6"/>
      <c r="E46" s="6"/>
      <c r="F46" s="6"/>
    </row>
    <row r="47" spans="2:6" x14ac:dyDescent="0.25">
      <c r="B47" s="4" t="s">
        <v>94</v>
      </c>
      <c r="C47" s="2"/>
      <c r="D47" s="6">
        <f>D34-D45</f>
        <v>29225</v>
      </c>
      <c r="E47" s="6">
        <f>E34-E45</f>
        <v>-38796.875</v>
      </c>
      <c r="F47" s="6">
        <f>F34-F45</f>
        <v>5661.25</v>
      </c>
    </row>
    <row r="48" spans="2:6" x14ac:dyDescent="0.25">
      <c r="B48" s="4"/>
      <c r="C48" s="2"/>
      <c r="D48" s="6"/>
      <c r="E48" s="6"/>
      <c r="F48" s="6"/>
    </row>
    <row r="49" spans="1:7" x14ac:dyDescent="0.25">
      <c r="B49" s="4" t="s">
        <v>495</v>
      </c>
      <c r="C49" s="2"/>
      <c r="D49" s="6">
        <v>33000</v>
      </c>
      <c r="E49" s="6">
        <f>D50</f>
        <v>62225</v>
      </c>
      <c r="F49" s="6">
        <f>E50</f>
        <v>23428.125</v>
      </c>
    </row>
    <row r="50" spans="1:7" x14ac:dyDescent="0.25">
      <c r="B50" s="15" t="s">
        <v>496</v>
      </c>
      <c r="C50" s="13"/>
      <c r="D50" s="8">
        <f>D49+D47</f>
        <v>62225</v>
      </c>
      <c r="E50" s="8">
        <f>E49+E47</f>
        <v>23428.125</v>
      </c>
      <c r="F50" s="8">
        <f>F49+F47</f>
        <v>29089.375</v>
      </c>
    </row>
    <row r="52" spans="1:7" x14ac:dyDescent="0.25">
      <c r="A52" s="1" t="s">
        <v>101</v>
      </c>
      <c r="B52" s="19" t="s">
        <v>93</v>
      </c>
    </row>
    <row r="53" spans="1:7" x14ac:dyDescent="0.25">
      <c r="B53" s="14"/>
      <c r="C53" s="3"/>
      <c r="D53" s="12" t="str">
        <f>D33</f>
        <v>Januar</v>
      </c>
      <c r="E53" s="12" t="str">
        <f>E33</f>
        <v>Februar</v>
      </c>
      <c r="F53" s="12" t="str">
        <f>F33</f>
        <v>Mars</v>
      </c>
      <c r="G53" s="76" t="s">
        <v>128</v>
      </c>
    </row>
    <row r="54" spans="1:7" x14ac:dyDescent="0.25">
      <c r="B54" s="4" t="s">
        <v>95</v>
      </c>
      <c r="C54" s="2"/>
      <c r="D54" s="8">
        <f>D21</f>
        <v>280000</v>
      </c>
      <c r="E54" s="8">
        <f>E21</f>
        <v>315000</v>
      </c>
      <c r="F54" s="8">
        <f>F21</f>
        <v>350000</v>
      </c>
      <c r="G54" s="5">
        <f>SUM(D54:F54)</f>
        <v>945000</v>
      </c>
    </row>
    <row r="55" spans="1:7" x14ac:dyDescent="0.25">
      <c r="B55" s="4"/>
      <c r="C55" s="2"/>
      <c r="D55" s="6"/>
      <c r="E55" s="6"/>
      <c r="F55" s="6"/>
      <c r="G55" s="6"/>
    </row>
    <row r="56" spans="1:7" x14ac:dyDescent="0.25">
      <c r="B56" s="4" t="s">
        <v>474</v>
      </c>
      <c r="C56" s="2"/>
      <c r="D56" s="6">
        <f>D23</f>
        <v>200000</v>
      </c>
      <c r="E56" s="6">
        <f>E23</f>
        <v>225000</v>
      </c>
      <c r="F56" s="6">
        <f>F23</f>
        <v>250000.00000000003</v>
      </c>
      <c r="G56" s="6">
        <f t="shared" ref="G56:G62" si="0">SUM(D56:F56)</f>
        <v>675000</v>
      </c>
    </row>
    <row r="57" spans="1:7" x14ac:dyDescent="0.25">
      <c r="B57" s="4" t="s">
        <v>475</v>
      </c>
      <c r="C57" s="2"/>
      <c r="D57" s="6">
        <f>D38</f>
        <v>35000</v>
      </c>
      <c r="E57" s="6">
        <f>E38</f>
        <v>35000</v>
      </c>
      <c r="F57" s="6">
        <f>F38</f>
        <v>35000</v>
      </c>
      <c r="G57" s="6">
        <f t="shared" si="0"/>
        <v>105000</v>
      </c>
    </row>
    <row r="58" spans="1:7" x14ac:dyDescent="0.25">
      <c r="B58" s="4" t="s">
        <v>476</v>
      </c>
      <c r="C58" s="2"/>
      <c r="D58" s="6">
        <f>D57*0.12</f>
        <v>4200</v>
      </c>
      <c r="E58" s="6">
        <f>E57*0.12</f>
        <v>4200</v>
      </c>
      <c r="F58" s="6">
        <f>F57*0.12</f>
        <v>4200</v>
      </c>
      <c r="G58" s="6">
        <f t="shared" si="0"/>
        <v>12600</v>
      </c>
    </row>
    <row r="59" spans="1:7" x14ac:dyDescent="0.25">
      <c r="B59" s="4" t="s">
        <v>477</v>
      </c>
      <c r="C59" s="2"/>
      <c r="D59" s="6">
        <f>ROUND((D57+D58)*0.141,-2)</f>
        <v>5500</v>
      </c>
      <c r="E59" s="6">
        <f>ROUND((E57+E58)*0.141,-2)</f>
        <v>5500</v>
      </c>
      <c r="F59" s="6">
        <f>ROUND((F57+F58)*0.141,-2)</f>
        <v>5500</v>
      </c>
      <c r="G59" s="6">
        <f t="shared" si="0"/>
        <v>16500</v>
      </c>
    </row>
    <row r="60" spans="1:7" x14ac:dyDescent="0.25">
      <c r="B60" s="4" t="s">
        <v>478</v>
      </c>
      <c r="C60" s="2"/>
      <c r="D60" s="6">
        <f>$E$40/6</f>
        <v>7000</v>
      </c>
      <c r="E60" s="6">
        <f>$E$40/6</f>
        <v>7000</v>
      </c>
      <c r="F60" s="6">
        <f>$E$40/6</f>
        <v>7000</v>
      </c>
      <c r="G60" s="6">
        <f t="shared" si="0"/>
        <v>21000</v>
      </c>
    </row>
    <row r="61" spans="1:7" x14ac:dyDescent="0.25">
      <c r="B61" s="4" t="s">
        <v>533</v>
      </c>
      <c r="C61" s="2"/>
      <c r="D61" s="6">
        <v>12000</v>
      </c>
      <c r="E61" s="6">
        <v>13000</v>
      </c>
      <c r="F61" s="6">
        <v>14000</v>
      </c>
      <c r="G61" s="6">
        <f t="shared" si="0"/>
        <v>39000</v>
      </c>
    </row>
    <row r="62" spans="1:7" x14ac:dyDescent="0.25">
      <c r="B62" s="4" t="s">
        <v>430</v>
      </c>
      <c r="C62" s="2"/>
      <c r="D62" s="6">
        <v>15000</v>
      </c>
      <c r="E62" s="6">
        <v>15000</v>
      </c>
      <c r="F62" s="6">
        <v>15000</v>
      </c>
      <c r="G62" s="6">
        <f t="shared" si="0"/>
        <v>45000</v>
      </c>
    </row>
    <row r="63" spans="1:7" x14ac:dyDescent="0.25">
      <c r="B63" s="4" t="s">
        <v>520</v>
      </c>
      <c r="C63" s="2"/>
      <c r="D63" s="5">
        <f>SUM(D56:D62)</f>
        <v>278700</v>
      </c>
      <c r="E63" s="5">
        <f>SUM(E56:E62)</f>
        <v>304700</v>
      </c>
      <c r="F63" s="5">
        <f>SUM(F56:F62)</f>
        <v>330700</v>
      </c>
      <c r="G63" s="5">
        <f>SUM(G56:G62)</f>
        <v>914100</v>
      </c>
    </row>
    <row r="64" spans="1:7" x14ac:dyDescent="0.25">
      <c r="B64" s="4"/>
      <c r="C64" s="2"/>
      <c r="D64" s="6"/>
      <c r="E64" s="6"/>
      <c r="F64" s="6"/>
      <c r="G64" s="6"/>
    </row>
    <row r="65" spans="1:8" x14ac:dyDescent="0.25">
      <c r="B65" s="15" t="s">
        <v>481</v>
      </c>
      <c r="C65" s="13"/>
      <c r="D65" s="8">
        <f>D54-D63</f>
        <v>1300</v>
      </c>
      <c r="E65" s="8">
        <f>E54-E63</f>
        <v>10300</v>
      </c>
      <c r="F65" s="8">
        <f>F54-F63</f>
        <v>19300</v>
      </c>
      <c r="G65" s="8">
        <f>G54-G63</f>
        <v>30900</v>
      </c>
    </row>
    <row r="67" spans="1:8" x14ac:dyDescent="0.25">
      <c r="B67" s="1" t="s">
        <v>431</v>
      </c>
    </row>
    <row r="69" spans="1:8" x14ac:dyDescent="0.25">
      <c r="A69" s="1" t="s">
        <v>100</v>
      </c>
      <c r="B69" s="1" t="s">
        <v>96</v>
      </c>
      <c r="E69" s="2">
        <f>221400/C3</f>
        <v>177120</v>
      </c>
    </row>
    <row r="70" spans="1:8" x14ac:dyDescent="0.25">
      <c r="B70" s="1" t="s">
        <v>97</v>
      </c>
      <c r="E70" s="2">
        <f>320000/C3</f>
        <v>256000</v>
      </c>
      <c r="G70" s="2" t="s">
        <v>383</v>
      </c>
      <c r="H70" s="2">
        <f>E71-E69</f>
        <v>5737.1428571428696</v>
      </c>
    </row>
    <row r="71" spans="1:8" x14ac:dyDescent="0.25">
      <c r="B71" s="1" t="s">
        <v>432</v>
      </c>
      <c r="E71" s="2">
        <f>E70/1.4</f>
        <v>182857.14285714287</v>
      </c>
    </row>
    <row r="73" spans="1:8" x14ac:dyDescent="0.25">
      <c r="B73" s="1" t="s">
        <v>433</v>
      </c>
    </row>
    <row r="74" spans="1:8" x14ac:dyDescent="0.25">
      <c r="B74" s="1" t="s">
        <v>98</v>
      </c>
    </row>
    <row r="76" spans="1:8" x14ac:dyDescent="0.25">
      <c r="A76" s="1" t="s">
        <v>99</v>
      </c>
      <c r="B76" s="1" t="s">
        <v>384</v>
      </c>
    </row>
    <row r="78" spans="1:8" x14ac:dyDescent="0.25">
      <c r="B78" s="1" t="s">
        <v>103</v>
      </c>
      <c r="E78" s="2">
        <f>D20+E20</f>
        <v>148750</v>
      </c>
    </row>
    <row r="79" spans="1:8" x14ac:dyDescent="0.25">
      <c r="A79" s="1" t="s">
        <v>106</v>
      </c>
      <c r="B79" s="1" t="s">
        <v>104</v>
      </c>
      <c r="E79" s="2">
        <f>D26+E26</f>
        <v>113750</v>
      </c>
    </row>
    <row r="80" spans="1:8" x14ac:dyDescent="0.25">
      <c r="A80" s="1" t="s">
        <v>107</v>
      </c>
      <c r="B80" s="1" t="s">
        <v>105</v>
      </c>
      <c r="E80" s="2">
        <f>(D61+E61)*D3</f>
        <v>6250</v>
      </c>
    </row>
    <row r="81" spans="1:5" x14ac:dyDescent="0.25">
      <c r="A81" s="1" t="str">
        <f>A80</f>
        <v>–</v>
      </c>
      <c r="B81" s="1" t="s">
        <v>557</v>
      </c>
      <c r="E81" s="2">
        <f>D43*D3/C3</f>
        <v>2400</v>
      </c>
    </row>
    <row r="82" spans="1:5" ht="14.4" thickBot="1" x14ac:dyDescent="0.3">
      <c r="A82" s="1" t="s">
        <v>385</v>
      </c>
      <c r="B82" s="115" t="s">
        <v>386</v>
      </c>
      <c r="C82" s="21"/>
      <c r="D82" s="21"/>
      <c r="E82" s="21">
        <f>E78-E79-E80-E81</f>
        <v>26350</v>
      </c>
    </row>
    <row r="83" spans="1:5" ht="14.4" thickTop="1" x14ac:dyDescent="0.25"/>
  </sheetData>
  <mergeCells count="1">
    <mergeCell ref="D7:F7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&amp;A&amp;RSide &amp;P</oddHeader>
    <oddFooter>&amp;CLøsninger kapittel 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7"/>
  <sheetViews>
    <sheetView showGridLines="0" workbookViewId="0">
      <selection activeCell="D71" sqref="D71"/>
    </sheetView>
  </sheetViews>
  <sheetFormatPr baseColWidth="10" defaultColWidth="12" defaultRowHeight="13.8" x14ac:dyDescent="0.25"/>
  <cols>
    <col min="1" max="1" width="7.6640625" style="1" customWidth="1"/>
    <col min="2" max="2" width="29.33203125" style="1" customWidth="1"/>
    <col min="3" max="16384" width="12" style="1"/>
  </cols>
  <sheetData>
    <row r="1" spans="2:7" x14ac:dyDescent="0.25">
      <c r="B1" s="1" t="s">
        <v>125</v>
      </c>
      <c r="C1" s="114">
        <v>1.25</v>
      </c>
      <c r="D1" s="114">
        <v>0.25</v>
      </c>
    </row>
    <row r="3" spans="2:7" x14ac:dyDescent="0.25">
      <c r="B3" s="19" t="s">
        <v>91</v>
      </c>
    </row>
    <row r="4" spans="2:7" x14ac:dyDescent="0.25">
      <c r="C4" s="20" t="s">
        <v>499</v>
      </c>
      <c r="D4" s="20" t="s">
        <v>500</v>
      </c>
      <c r="E4" s="20" t="s">
        <v>501</v>
      </c>
      <c r="F4" s="20" t="s">
        <v>128</v>
      </c>
    </row>
    <row r="5" spans="2:7" x14ac:dyDescent="0.25">
      <c r="B5" s="1" t="s">
        <v>108</v>
      </c>
      <c r="C5" s="2">
        <v>1488000</v>
      </c>
      <c r="D5" s="2">
        <v>1711200</v>
      </c>
      <c r="E5" s="2">
        <v>1674000</v>
      </c>
      <c r="F5" s="2">
        <f t="shared" ref="F5:F10" si="0">SUM(C5:E5)</f>
        <v>4873200</v>
      </c>
    </row>
    <row r="6" spans="2:7" x14ac:dyDescent="0.25">
      <c r="B6" s="1" t="s">
        <v>492</v>
      </c>
      <c r="C6" s="13">
        <f>C5-C7</f>
        <v>297600</v>
      </c>
      <c r="D6" s="13">
        <f>D5-D7</f>
        <v>342240</v>
      </c>
      <c r="E6" s="13">
        <f>E5-E7</f>
        <v>334800</v>
      </c>
      <c r="F6" s="13">
        <f t="shared" si="0"/>
        <v>974640</v>
      </c>
    </row>
    <row r="7" spans="2:7" x14ac:dyDescent="0.25">
      <c r="B7" s="1" t="s">
        <v>201</v>
      </c>
      <c r="C7" s="2">
        <f>C5/$C$1</f>
        <v>1190400</v>
      </c>
      <c r="D7" s="2">
        <f>D5/$C$1</f>
        <v>1368960</v>
      </c>
      <c r="E7" s="2">
        <f>E5/$C$1</f>
        <v>1339200</v>
      </c>
      <c r="F7" s="2">
        <f t="shared" si="0"/>
        <v>3898560</v>
      </c>
    </row>
    <row r="8" spans="2:7" x14ac:dyDescent="0.25">
      <c r="B8" s="1" t="s">
        <v>505</v>
      </c>
      <c r="C8" s="13">
        <f>C9*0.5</f>
        <v>396800</v>
      </c>
      <c r="D8" s="13">
        <f>D9*0.5</f>
        <v>456320</v>
      </c>
      <c r="E8" s="13">
        <f>E9*0.5</f>
        <v>446400</v>
      </c>
      <c r="F8" s="13">
        <f t="shared" si="0"/>
        <v>1299520</v>
      </c>
    </row>
    <row r="9" spans="2:7" x14ac:dyDescent="0.25">
      <c r="B9" s="1" t="s">
        <v>506</v>
      </c>
      <c r="C9" s="2">
        <f>C7/1.5</f>
        <v>793600</v>
      </c>
      <c r="D9" s="2">
        <f>D7/1.5</f>
        <v>912640</v>
      </c>
      <c r="E9" s="2">
        <f>E7/1.5</f>
        <v>892800</v>
      </c>
      <c r="F9" s="2">
        <f t="shared" si="0"/>
        <v>2599040</v>
      </c>
    </row>
    <row r="10" spans="2:7" x14ac:dyDescent="0.25">
      <c r="B10" s="1" t="s">
        <v>484</v>
      </c>
      <c r="C10" s="13">
        <v>100000</v>
      </c>
      <c r="D10" s="13">
        <v>0</v>
      </c>
      <c r="E10" s="13">
        <v>0</v>
      </c>
      <c r="F10" s="13">
        <f t="shared" si="0"/>
        <v>100000</v>
      </c>
    </row>
    <row r="11" spans="2:7" x14ac:dyDescent="0.25">
      <c r="B11" s="1" t="s">
        <v>129</v>
      </c>
      <c r="C11" s="2">
        <f>SUM(C9:C10)</f>
        <v>893600</v>
      </c>
      <c r="D11" s="2">
        <f>SUM(D9:D10)</f>
        <v>912640</v>
      </c>
      <c r="E11" s="2">
        <f>SUM(E9:E10)</f>
        <v>892800</v>
      </c>
      <c r="F11" s="2">
        <f>SUM(F9:F10)</f>
        <v>2699040</v>
      </c>
    </row>
    <row r="12" spans="2:7" x14ac:dyDescent="0.25">
      <c r="B12" s="1" t="s">
        <v>492</v>
      </c>
      <c r="C12" s="2">
        <f>C11*$D$1</f>
        <v>223400</v>
      </c>
      <c r="D12" s="2">
        <f>D11*$D$1</f>
        <v>228160</v>
      </c>
      <c r="E12" s="2">
        <f>E11*$D$1</f>
        <v>223200</v>
      </c>
      <c r="F12" s="2">
        <f>SUM(C12:E12)</f>
        <v>674760</v>
      </c>
    </row>
    <row r="13" spans="2:7" ht="14.4" thickBot="1" x14ac:dyDescent="0.3">
      <c r="B13" s="1" t="s">
        <v>130</v>
      </c>
      <c r="C13" s="21">
        <f>SUM(C11:C12)</f>
        <v>1117000</v>
      </c>
      <c r="D13" s="21">
        <f>SUM(D11:D12)</f>
        <v>1140800</v>
      </c>
      <c r="E13" s="21">
        <f>SUM(E11:E12)</f>
        <v>1116000</v>
      </c>
      <c r="F13" s="21">
        <f>SUM(F11:F12)</f>
        <v>3373800</v>
      </c>
    </row>
    <row r="14" spans="2:7" ht="14.4" thickTop="1" x14ac:dyDescent="0.25"/>
    <row r="15" spans="2:7" x14ac:dyDescent="0.25">
      <c r="B15" s="362" t="s">
        <v>109</v>
      </c>
    </row>
    <row r="16" spans="2:7" x14ac:dyDescent="0.25">
      <c r="B16" s="22"/>
      <c r="C16" s="7"/>
      <c r="D16" s="430" t="s">
        <v>485</v>
      </c>
      <c r="E16" s="430"/>
      <c r="F16" s="430"/>
      <c r="G16" s="7"/>
    </row>
    <row r="17" spans="2:7" x14ac:dyDescent="0.25">
      <c r="B17" s="24"/>
      <c r="C17" s="11" t="s">
        <v>133</v>
      </c>
      <c r="D17" s="12" t="str">
        <f>C4</f>
        <v>April</v>
      </c>
      <c r="E17" s="12" t="str">
        <f>D4</f>
        <v>Mai</v>
      </c>
      <c r="F17" s="12" t="str">
        <f>E4</f>
        <v>Juni</v>
      </c>
      <c r="G17" s="11" t="s">
        <v>508</v>
      </c>
    </row>
    <row r="18" spans="2:7" x14ac:dyDescent="0.25">
      <c r="B18" s="9" t="s">
        <v>110</v>
      </c>
      <c r="C18" s="6">
        <f>1156200*0.8</f>
        <v>924960</v>
      </c>
      <c r="D18" s="6">
        <f>C18/3</f>
        <v>308320</v>
      </c>
      <c r="E18" s="6"/>
      <c r="F18" s="6"/>
      <c r="G18" s="6"/>
    </row>
    <row r="19" spans="2:7" x14ac:dyDescent="0.25">
      <c r="B19" s="9" t="s">
        <v>111</v>
      </c>
      <c r="C19" s="6">
        <f>1156200*0.2</f>
        <v>231240</v>
      </c>
      <c r="D19" s="6">
        <f>SUM(C19)</f>
        <v>231240</v>
      </c>
      <c r="E19" s="6"/>
      <c r="F19" s="6"/>
      <c r="G19" s="6"/>
    </row>
    <row r="20" spans="2:7" x14ac:dyDescent="0.25">
      <c r="B20" s="9" t="s">
        <v>112</v>
      </c>
      <c r="C20" s="6">
        <f>C13*0.8</f>
        <v>893600</v>
      </c>
      <c r="D20" s="6">
        <f>C20*2/3</f>
        <v>595733.33333333337</v>
      </c>
      <c r="E20" s="6">
        <f>C20/3</f>
        <v>297866.66666666669</v>
      </c>
      <c r="F20" s="6"/>
      <c r="G20" s="6"/>
    </row>
    <row r="21" spans="2:7" x14ac:dyDescent="0.25">
      <c r="B21" s="9" t="s">
        <v>113</v>
      </c>
      <c r="C21" s="6">
        <f>C13*0.2</f>
        <v>223400</v>
      </c>
      <c r="D21" s="6"/>
      <c r="E21" s="6">
        <f>SUM(C21:D21)</f>
        <v>223400</v>
      </c>
      <c r="F21" s="6"/>
      <c r="G21" s="6"/>
    </row>
    <row r="22" spans="2:7" x14ac:dyDescent="0.25">
      <c r="B22" s="9" t="s">
        <v>114</v>
      </c>
      <c r="C22" s="6">
        <f>D13*0.8</f>
        <v>912640</v>
      </c>
      <c r="D22" s="6"/>
      <c r="E22" s="6">
        <f>C22*2/3</f>
        <v>608426.66666666663</v>
      </c>
      <c r="F22" s="6">
        <f>C22/3</f>
        <v>304213.33333333331</v>
      </c>
      <c r="G22" s="6"/>
    </row>
    <row r="23" spans="2:7" x14ac:dyDescent="0.25">
      <c r="B23" s="9" t="s">
        <v>115</v>
      </c>
      <c r="C23" s="6">
        <f>D13*0.2</f>
        <v>228160</v>
      </c>
      <c r="D23" s="6"/>
      <c r="E23" s="6"/>
      <c r="F23" s="6">
        <f>SUM(C23:E23)</f>
        <v>228160</v>
      </c>
      <c r="G23" s="6"/>
    </row>
    <row r="24" spans="2:7" x14ac:dyDescent="0.25">
      <c r="B24" s="9" t="s">
        <v>116</v>
      </c>
      <c r="C24" s="6">
        <f>E13*0.8</f>
        <v>892800</v>
      </c>
      <c r="D24" s="6"/>
      <c r="E24" s="6"/>
      <c r="F24" s="6">
        <f>C24*2/3</f>
        <v>595200</v>
      </c>
      <c r="G24" s="6">
        <f>C24/3</f>
        <v>297600</v>
      </c>
    </row>
    <row r="25" spans="2:7" x14ac:dyDescent="0.25">
      <c r="B25" s="9" t="s">
        <v>117</v>
      </c>
      <c r="C25" s="6">
        <f>E13*0.2</f>
        <v>223200</v>
      </c>
      <c r="D25" s="6"/>
      <c r="E25" s="6"/>
      <c r="F25" s="6"/>
      <c r="G25" s="6">
        <f>SUM(C25:F25)</f>
        <v>223200</v>
      </c>
    </row>
    <row r="26" spans="2:7" ht="14.4" thickBot="1" x14ac:dyDescent="0.3">
      <c r="B26" s="26"/>
      <c r="C26" s="27"/>
      <c r="D26" s="27">
        <f>SUM(D18:D25)</f>
        <v>1135293.3333333335</v>
      </c>
      <c r="E26" s="27">
        <f>SUM(E18:E25)</f>
        <v>1129693.3333333333</v>
      </c>
      <c r="F26" s="27">
        <f>SUM(F18:F25)</f>
        <v>1127573.3333333333</v>
      </c>
      <c r="G26" s="27">
        <f>SUM(G18:G25)</f>
        <v>520800</v>
      </c>
    </row>
    <row r="27" spans="2:7" ht="14.4" thickTop="1" x14ac:dyDescent="0.25"/>
    <row r="28" spans="2:7" x14ac:dyDescent="0.25">
      <c r="B28" s="19" t="s">
        <v>131</v>
      </c>
    </row>
    <row r="29" spans="2:7" x14ac:dyDescent="0.25">
      <c r="B29" s="22"/>
      <c r="C29" s="7"/>
      <c r="D29" s="430" t="s">
        <v>482</v>
      </c>
      <c r="E29" s="430"/>
      <c r="F29" s="430"/>
      <c r="G29" s="7"/>
    </row>
    <row r="30" spans="2:7" x14ac:dyDescent="0.25">
      <c r="B30" s="24"/>
      <c r="C30" s="11" t="s">
        <v>133</v>
      </c>
      <c r="D30" s="12" t="str">
        <f>D17</f>
        <v>April</v>
      </c>
      <c r="E30" s="12" t="str">
        <f>E17</f>
        <v>Mai</v>
      </c>
      <c r="F30" s="12" t="str">
        <f>F17</f>
        <v>Juni</v>
      </c>
      <c r="G30" s="11" t="s">
        <v>508</v>
      </c>
    </row>
    <row r="31" spans="2:7" x14ac:dyDescent="0.25">
      <c r="B31" s="9" t="s">
        <v>483</v>
      </c>
      <c r="C31" s="6">
        <v>922500</v>
      </c>
      <c r="D31" s="6">
        <f>SUM(C31)</f>
        <v>922500</v>
      </c>
      <c r="E31" s="6"/>
      <c r="F31" s="6"/>
      <c r="G31" s="6"/>
    </row>
    <row r="32" spans="2:7" x14ac:dyDescent="0.25">
      <c r="B32" s="9" t="s">
        <v>499</v>
      </c>
      <c r="C32" s="6">
        <f>C5</f>
        <v>1488000</v>
      </c>
      <c r="D32" s="6">
        <f>C32*0.4</f>
        <v>595200</v>
      </c>
      <c r="E32" s="6">
        <f>C32*0.6</f>
        <v>892800</v>
      </c>
      <c r="F32" s="6"/>
      <c r="G32" s="6"/>
    </row>
    <row r="33" spans="2:7" x14ac:dyDescent="0.25">
      <c r="B33" s="9" t="s">
        <v>500</v>
      </c>
      <c r="C33" s="6">
        <f>D5</f>
        <v>1711200</v>
      </c>
      <c r="D33" s="6"/>
      <c r="E33" s="6">
        <f>C33*0.4</f>
        <v>684480</v>
      </c>
      <c r="F33" s="6">
        <f>C33*0.6</f>
        <v>1026720</v>
      </c>
      <c r="G33" s="6"/>
    </row>
    <row r="34" spans="2:7" x14ac:dyDescent="0.25">
      <c r="B34" s="9" t="s">
        <v>501</v>
      </c>
      <c r="C34" s="6">
        <f>E5</f>
        <v>1674000</v>
      </c>
      <c r="D34" s="6"/>
      <c r="E34" s="6"/>
      <c r="F34" s="6">
        <f>C34*0.4</f>
        <v>669600</v>
      </c>
      <c r="G34" s="6">
        <f>C34-F34</f>
        <v>1004400</v>
      </c>
    </row>
    <row r="35" spans="2:7" ht="14.4" thickBot="1" x14ac:dyDescent="0.3">
      <c r="B35" s="26"/>
      <c r="C35" s="27"/>
      <c r="D35" s="27">
        <f>SUM(D31:D34)</f>
        <v>1517700</v>
      </c>
      <c r="E35" s="27">
        <f>SUM(E31:E34)</f>
        <v>1577280</v>
      </c>
      <c r="F35" s="27">
        <f>SUM(F31:F34)</f>
        <v>1696320</v>
      </c>
      <c r="G35" s="27">
        <f>SUM(G31:G34)</f>
        <v>1004400</v>
      </c>
    </row>
    <row r="36" spans="2:7" ht="14.4" thickTop="1" x14ac:dyDescent="0.25"/>
    <row r="37" spans="2:7" ht="14.4" thickBot="1" x14ac:dyDescent="0.3">
      <c r="B37" s="19" t="s">
        <v>486</v>
      </c>
    </row>
    <row r="38" spans="2:7" ht="14.4" thickBot="1" x14ac:dyDescent="0.3">
      <c r="B38" s="28"/>
      <c r="C38" s="29" t="str">
        <f>D30</f>
        <v>April</v>
      </c>
      <c r="D38" s="29" t="str">
        <f>E30</f>
        <v>Mai</v>
      </c>
      <c r="E38" s="29" t="str">
        <f>F30</f>
        <v>Juni</v>
      </c>
      <c r="F38" s="30" t="s">
        <v>470</v>
      </c>
    </row>
    <row r="39" spans="2:7" x14ac:dyDescent="0.25">
      <c r="B39" s="31" t="s">
        <v>509</v>
      </c>
      <c r="C39" s="6"/>
      <c r="D39" s="6"/>
      <c r="E39" s="6"/>
      <c r="F39" s="32"/>
    </row>
    <row r="40" spans="2:7" ht="14.4" thickBot="1" x14ac:dyDescent="0.3">
      <c r="B40" s="33" t="s">
        <v>488</v>
      </c>
      <c r="C40" s="34">
        <f>D35</f>
        <v>1517700</v>
      </c>
      <c r="D40" s="34">
        <f>E35</f>
        <v>1577280</v>
      </c>
      <c r="E40" s="34">
        <f>F35</f>
        <v>1696320</v>
      </c>
      <c r="F40" s="35">
        <f>SUM(C40:E40)</f>
        <v>4791300</v>
      </c>
    </row>
    <row r="41" spans="2:7" x14ac:dyDescent="0.25">
      <c r="B41" s="33"/>
      <c r="C41" s="6"/>
      <c r="D41" s="6"/>
      <c r="E41" s="6"/>
      <c r="F41" s="32"/>
    </row>
    <row r="42" spans="2:7" x14ac:dyDescent="0.25">
      <c r="B42" s="31" t="s">
        <v>489</v>
      </c>
      <c r="C42" s="6"/>
      <c r="D42" s="6"/>
      <c r="E42" s="6"/>
      <c r="F42" s="32"/>
    </row>
    <row r="43" spans="2:7" x14ac:dyDescent="0.25">
      <c r="B43" s="33" t="s">
        <v>490</v>
      </c>
      <c r="C43" s="6">
        <f>D26</f>
        <v>1135293.3333333335</v>
      </c>
      <c r="D43" s="6">
        <f>E26</f>
        <v>1129693.3333333333</v>
      </c>
      <c r="E43" s="6">
        <f>F26</f>
        <v>1127573.3333333333</v>
      </c>
      <c r="F43" s="32">
        <f t="shared" ref="F43:F52" si="1">SUM(C43:E43)</f>
        <v>3392560</v>
      </c>
    </row>
    <row r="44" spans="2:7" x14ac:dyDescent="0.25">
      <c r="B44" s="33" t="s">
        <v>475</v>
      </c>
      <c r="C44" s="6">
        <v>180000</v>
      </c>
      <c r="D44" s="6">
        <f>C44</f>
        <v>180000</v>
      </c>
      <c r="E44" s="6">
        <f>C44</f>
        <v>180000</v>
      </c>
      <c r="F44" s="32">
        <f t="shared" si="1"/>
        <v>540000</v>
      </c>
    </row>
    <row r="45" spans="2:7" x14ac:dyDescent="0.25">
      <c r="B45" s="33" t="s">
        <v>476</v>
      </c>
      <c r="C45" s="6"/>
      <c r="D45" s="6"/>
      <c r="E45" s="6">
        <v>192000</v>
      </c>
      <c r="F45" s="32">
        <f t="shared" si="1"/>
        <v>192000</v>
      </c>
    </row>
    <row r="46" spans="2:7" x14ac:dyDescent="0.25">
      <c r="B46" s="33" t="s">
        <v>532</v>
      </c>
      <c r="C46" s="6">
        <v>25120</v>
      </c>
      <c r="D46" s="6">
        <f>C7*0.02</f>
        <v>23808</v>
      </c>
      <c r="E46" s="6">
        <f>D7*0.02</f>
        <v>27379.200000000001</v>
      </c>
      <c r="F46" s="32">
        <f t="shared" si="1"/>
        <v>76307.199999999997</v>
      </c>
    </row>
    <row r="47" spans="2:7" ht="16.8" x14ac:dyDescent="0.25">
      <c r="B47" s="33" t="s">
        <v>387</v>
      </c>
      <c r="C47" s="6"/>
      <c r="D47" s="6">
        <f>D87</f>
        <v>57756.419999999991</v>
      </c>
      <c r="E47" s="6"/>
      <c r="F47" s="32">
        <f t="shared" si="1"/>
        <v>57756.419999999991</v>
      </c>
    </row>
    <row r="48" spans="2:7" x14ac:dyDescent="0.25">
      <c r="B48" s="33" t="s">
        <v>510</v>
      </c>
      <c r="C48" s="6">
        <v>70000</v>
      </c>
      <c r="D48" s="6">
        <v>80000</v>
      </c>
      <c r="E48" s="6">
        <v>74000</v>
      </c>
      <c r="F48" s="32">
        <f t="shared" si="1"/>
        <v>224000</v>
      </c>
    </row>
    <row r="49" spans="2:6" x14ac:dyDescent="0.25">
      <c r="B49" s="33" t="s">
        <v>512</v>
      </c>
      <c r="C49" s="6">
        <v>137500</v>
      </c>
      <c r="D49" s="6"/>
      <c r="E49" s="6">
        <v>160000</v>
      </c>
      <c r="F49" s="32">
        <f t="shared" si="1"/>
        <v>297500</v>
      </c>
    </row>
    <row r="50" spans="2:6" x14ac:dyDescent="0.25">
      <c r="B50" s="33" t="s">
        <v>491</v>
      </c>
      <c r="C50" s="6">
        <v>12500</v>
      </c>
      <c r="D50" s="6">
        <v>12500</v>
      </c>
      <c r="E50" s="6">
        <v>12500</v>
      </c>
      <c r="F50" s="32">
        <f t="shared" si="1"/>
        <v>37500</v>
      </c>
    </row>
    <row r="51" spans="2:6" x14ac:dyDescent="0.25">
      <c r="B51" s="33" t="s">
        <v>513</v>
      </c>
      <c r="C51" s="6">
        <v>100000</v>
      </c>
      <c r="D51" s="6"/>
      <c r="E51" s="6"/>
      <c r="F51" s="32">
        <f t="shared" si="1"/>
        <v>100000</v>
      </c>
    </row>
    <row r="52" spans="2:6" x14ac:dyDescent="0.25">
      <c r="B52" s="33" t="s">
        <v>493</v>
      </c>
      <c r="C52" s="8">
        <v>20000</v>
      </c>
      <c r="D52" s="8"/>
      <c r="E52" s="8"/>
      <c r="F52" s="32">
        <f t="shared" si="1"/>
        <v>20000</v>
      </c>
    </row>
    <row r="53" spans="2:6" ht="14.4" thickBot="1" x14ac:dyDescent="0.3">
      <c r="B53" s="33"/>
      <c r="C53" s="36">
        <f>SUM(C43:C52)</f>
        <v>1680413.3333333335</v>
      </c>
      <c r="D53" s="36">
        <f>SUM(D43:D52)</f>
        <v>1483757.7533333332</v>
      </c>
      <c r="E53" s="36">
        <f>SUM(E43:E52)</f>
        <v>1773452.5333333332</v>
      </c>
      <c r="F53" s="37">
        <f>SUM(F43:F52)</f>
        <v>4937623.62</v>
      </c>
    </row>
    <row r="54" spans="2:6" x14ac:dyDescent="0.25">
      <c r="B54" s="33"/>
      <c r="C54" s="6"/>
      <c r="D54" s="6"/>
      <c r="E54" s="6"/>
      <c r="F54" s="32"/>
    </row>
    <row r="55" spans="2:6" x14ac:dyDescent="0.25">
      <c r="B55" s="33" t="s">
        <v>515</v>
      </c>
      <c r="C55" s="6">
        <f>C40-C53</f>
        <v>-162713.33333333349</v>
      </c>
      <c r="D55" s="6">
        <f>D40-D53</f>
        <v>93522.246666666819</v>
      </c>
      <c r="E55" s="6">
        <f>E40-E53</f>
        <v>-77132.533333333209</v>
      </c>
      <c r="F55" s="32">
        <f>F40-F53</f>
        <v>-146323.62000000011</v>
      </c>
    </row>
    <row r="56" spans="2:6" x14ac:dyDescent="0.25">
      <c r="B56" s="33"/>
      <c r="C56" s="6"/>
      <c r="D56" s="6"/>
      <c r="E56" s="6"/>
      <c r="F56" s="32"/>
    </row>
    <row r="57" spans="2:6" x14ac:dyDescent="0.25">
      <c r="B57" s="33" t="s">
        <v>495</v>
      </c>
      <c r="C57" s="6">
        <v>440000</v>
      </c>
      <c r="D57" s="6">
        <f>C58</f>
        <v>277286.66666666651</v>
      </c>
      <c r="E57" s="6">
        <f>D58</f>
        <v>370808.91333333333</v>
      </c>
      <c r="F57" s="32"/>
    </row>
    <row r="58" spans="2:6" ht="14.4" thickBot="1" x14ac:dyDescent="0.3">
      <c r="B58" s="38" t="s">
        <v>496</v>
      </c>
      <c r="C58" s="34">
        <f>C57+C55</f>
        <v>277286.66666666651</v>
      </c>
      <c r="D58" s="34">
        <f>D57+D55</f>
        <v>370808.91333333333</v>
      </c>
      <c r="E58" s="34">
        <f>E57+E55</f>
        <v>293676.38000000012</v>
      </c>
      <c r="F58" s="35"/>
    </row>
    <row r="61" spans="2:6" x14ac:dyDescent="0.25">
      <c r="B61" s="19" t="s">
        <v>315</v>
      </c>
    </row>
    <row r="62" spans="2:6" x14ac:dyDescent="0.25">
      <c r="B62" s="17"/>
      <c r="C62" s="12" t="s">
        <v>499</v>
      </c>
      <c r="D62" s="12" t="s">
        <v>500</v>
      </c>
      <c r="E62" s="12" t="s">
        <v>501</v>
      </c>
      <c r="F62" s="12" t="s">
        <v>470</v>
      </c>
    </row>
    <row r="63" spans="2:6" x14ac:dyDescent="0.25">
      <c r="B63" s="39" t="s">
        <v>516</v>
      </c>
      <c r="C63" s="6"/>
      <c r="D63" s="6"/>
      <c r="E63" s="6"/>
      <c r="F63" s="6"/>
    </row>
    <row r="64" spans="2:6" ht="14.4" thickBot="1" x14ac:dyDescent="0.3">
      <c r="B64" s="9" t="s">
        <v>504</v>
      </c>
      <c r="C64" s="34">
        <f>C7</f>
        <v>1190400</v>
      </c>
      <c r="D64" s="34">
        <f>D7</f>
        <v>1368960</v>
      </c>
      <c r="E64" s="34">
        <f>E7</f>
        <v>1339200</v>
      </c>
      <c r="F64" s="34">
        <f>SUM(C64:E64)</f>
        <v>3898560</v>
      </c>
    </row>
    <row r="65" spans="2:6" x14ac:dyDescent="0.25">
      <c r="B65" s="9"/>
      <c r="C65" s="6"/>
      <c r="D65" s="6"/>
      <c r="E65" s="6"/>
      <c r="F65" s="6"/>
    </row>
    <row r="66" spans="2:6" x14ac:dyDescent="0.25">
      <c r="B66" s="39" t="s">
        <v>517</v>
      </c>
      <c r="C66" s="6"/>
      <c r="D66" s="6"/>
      <c r="E66" s="6"/>
      <c r="F66" s="6"/>
    </row>
    <row r="67" spans="2:6" x14ac:dyDescent="0.25">
      <c r="B67" s="9" t="s">
        <v>474</v>
      </c>
      <c r="C67" s="6">
        <f>C9</f>
        <v>793600</v>
      </c>
      <c r="D67" s="6">
        <f>D9</f>
        <v>912640</v>
      </c>
      <c r="E67" s="6">
        <f>E9</f>
        <v>892800</v>
      </c>
      <c r="F67" s="6">
        <f t="shared" ref="F67:F74" si="2">SUM(C67:E67)</f>
        <v>2599040</v>
      </c>
    </row>
    <row r="68" spans="2:6" x14ac:dyDescent="0.25">
      <c r="B68" s="9" t="s">
        <v>475</v>
      </c>
      <c r="C68" s="6">
        <v>180000</v>
      </c>
      <c r="D68" s="6">
        <f>C68</f>
        <v>180000</v>
      </c>
      <c r="E68" s="6">
        <f>C68</f>
        <v>180000</v>
      </c>
      <c r="F68" s="6">
        <f t="shared" si="2"/>
        <v>540000</v>
      </c>
    </row>
    <row r="69" spans="2:6" x14ac:dyDescent="0.25">
      <c r="B69" s="9" t="s">
        <v>532</v>
      </c>
      <c r="C69" s="6">
        <f>C64*0.02</f>
        <v>23808</v>
      </c>
      <c r="D69" s="6">
        <f>D64*0.02</f>
        <v>27379.200000000001</v>
      </c>
      <c r="E69" s="6">
        <f>E64*0.02</f>
        <v>26784</v>
      </c>
      <c r="F69" s="6">
        <f t="shared" si="2"/>
        <v>77971.199999999997</v>
      </c>
    </row>
    <row r="70" spans="2:6" x14ac:dyDescent="0.25">
      <c r="B70" s="9" t="s">
        <v>476</v>
      </c>
      <c r="C70" s="6">
        <f>(C68+C69)*0.12</f>
        <v>24456.959999999999</v>
      </c>
      <c r="D70" s="6">
        <f>(D68+D69)*0.12</f>
        <v>24885.504000000001</v>
      </c>
      <c r="E70" s="6">
        <f>(E68+E69)*0.12</f>
        <v>24814.079999999998</v>
      </c>
      <c r="F70" s="6">
        <f t="shared" si="2"/>
        <v>74156.543999999994</v>
      </c>
    </row>
    <row r="71" spans="2:6" x14ac:dyDescent="0.25">
      <c r="B71" s="9" t="s">
        <v>477</v>
      </c>
      <c r="C71" s="6">
        <f>(C68+C69+C70)*0.141</f>
        <v>32185.359359999995</v>
      </c>
      <c r="D71" s="6">
        <f>(D68+D69+D70)*0.141</f>
        <v>32749.323264000002</v>
      </c>
      <c r="E71" s="6">
        <f>(E68+E69+E70)*0.141</f>
        <v>32655.329279999994</v>
      </c>
      <c r="F71" s="6">
        <f t="shared" si="2"/>
        <v>97590.011903999984</v>
      </c>
    </row>
    <row r="72" spans="2:6" x14ac:dyDescent="0.25">
      <c r="B72" s="9" t="s">
        <v>479</v>
      </c>
      <c r="C72" s="6">
        <f>C48/$C$1</f>
        <v>56000</v>
      </c>
      <c r="D72" s="6">
        <f>D48/$C$1</f>
        <v>64000</v>
      </c>
      <c r="E72" s="6">
        <f>E48/$C$1</f>
        <v>59200</v>
      </c>
      <c r="F72" s="6">
        <f t="shared" si="2"/>
        <v>179200</v>
      </c>
    </row>
    <row r="73" spans="2:6" x14ac:dyDescent="0.25">
      <c r="B73" s="9" t="s">
        <v>518</v>
      </c>
      <c r="C73" s="6">
        <v>11000</v>
      </c>
      <c r="D73" s="6">
        <v>11000</v>
      </c>
      <c r="E73" s="6">
        <v>11000</v>
      </c>
      <c r="F73" s="6">
        <f t="shared" si="2"/>
        <v>33000</v>
      </c>
    </row>
    <row r="74" spans="2:6" x14ac:dyDescent="0.25">
      <c r="B74" s="9" t="s">
        <v>519</v>
      </c>
      <c r="C74" s="6">
        <v>18000</v>
      </c>
      <c r="D74" s="6">
        <v>18000</v>
      </c>
      <c r="E74" s="6">
        <v>18000</v>
      </c>
      <c r="F74" s="6">
        <f t="shared" si="2"/>
        <v>54000</v>
      </c>
    </row>
    <row r="75" spans="2:6" ht="14.4" thickBot="1" x14ac:dyDescent="0.3">
      <c r="B75" s="9" t="s">
        <v>520</v>
      </c>
      <c r="C75" s="36">
        <f>SUM(C67:C74)</f>
        <v>1139050.3193599998</v>
      </c>
      <c r="D75" s="36">
        <f>SUM(D67:D74)</f>
        <v>1270654.0272639999</v>
      </c>
      <c r="E75" s="36">
        <f>SUM(E67:E74)</f>
        <v>1245253.40928</v>
      </c>
      <c r="F75" s="36">
        <f>SUM(F67:F74)</f>
        <v>3654957.7559039998</v>
      </c>
    </row>
    <row r="76" spans="2:6" x14ac:dyDescent="0.25">
      <c r="B76" s="9"/>
      <c r="C76" s="6"/>
      <c r="D76" s="6"/>
      <c r="E76" s="6"/>
      <c r="F76" s="6"/>
    </row>
    <row r="77" spans="2:6" x14ac:dyDescent="0.25">
      <c r="B77" s="9" t="s">
        <v>481</v>
      </c>
      <c r="C77" s="6">
        <f>C64-C75</f>
        <v>51349.680640000151</v>
      </c>
      <c r="D77" s="6">
        <f>D64-D75</f>
        <v>98305.972736000083</v>
      </c>
      <c r="E77" s="6">
        <f>E64-E75</f>
        <v>93946.590719999978</v>
      </c>
      <c r="F77" s="6">
        <f>SUM(C77:E77)</f>
        <v>243602.24409600021</v>
      </c>
    </row>
    <row r="78" spans="2:6" x14ac:dyDescent="0.25">
      <c r="B78" s="9" t="s">
        <v>434</v>
      </c>
      <c r="C78" s="6">
        <f>C77</f>
        <v>51349.680640000151</v>
      </c>
      <c r="D78" s="6">
        <f>D77+C78</f>
        <v>149655.65337600023</v>
      </c>
      <c r="E78" s="6">
        <f>E77+D78</f>
        <v>243602.24409600021</v>
      </c>
      <c r="F78" s="6"/>
    </row>
    <row r="79" spans="2:6" x14ac:dyDescent="0.25">
      <c r="B79" s="24"/>
      <c r="C79" s="8"/>
      <c r="D79" s="8"/>
      <c r="E79" s="8"/>
      <c r="F79" s="8"/>
    </row>
    <row r="81" spans="1:4" x14ac:dyDescent="0.25">
      <c r="B81" s="1" t="s">
        <v>390</v>
      </c>
      <c r="D81" s="2">
        <f>(922500*100/60)/D1</f>
        <v>6150000</v>
      </c>
    </row>
    <row r="83" spans="1:4" ht="16.8" x14ac:dyDescent="0.25">
      <c r="A83" s="116" t="s">
        <v>388</v>
      </c>
      <c r="B83" s="1" t="s">
        <v>435</v>
      </c>
      <c r="D83" s="2">
        <v>360000</v>
      </c>
    </row>
    <row r="84" spans="1:4" x14ac:dyDescent="0.25">
      <c r="B84" s="1" t="s">
        <v>436</v>
      </c>
      <c r="D84" s="2">
        <f>24500+25120</f>
        <v>49620</v>
      </c>
    </row>
    <row r="85" spans="1:4" x14ac:dyDescent="0.25">
      <c r="D85" s="3">
        <f>SUM(D83:D84)</f>
        <v>409620</v>
      </c>
    </row>
    <row r="87" spans="1:4" x14ac:dyDescent="0.25">
      <c r="B87" s="1" t="s">
        <v>389</v>
      </c>
      <c r="D87" s="3">
        <f>D85*0.141</f>
        <v>57756.419999999991</v>
      </c>
    </row>
  </sheetData>
  <mergeCells count="2">
    <mergeCell ref="D16:F16"/>
    <mergeCell ref="D29:F29"/>
  </mergeCells>
  <phoneticPr fontId="6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Header>&amp;A&amp;RSide &amp;P</oddHeader>
    <oddFooter>&amp;CLøsninger kapittel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03"/>
  <sheetViews>
    <sheetView showGridLines="0" workbookViewId="0">
      <selection activeCell="D102" sqref="D102"/>
    </sheetView>
  </sheetViews>
  <sheetFormatPr baseColWidth="10" defaultColWidth="13.44140625" defaultRowHeight="13.8" x14ac:dyDescent="0.25"/>
  <cols>
    <col min="1" max="1" width="32.44140625" style="79" customWidth="1"/>
    <col min="2" max="6" width="13.44140625" style="79" customWidth="1"/>
    <col min="7" max="16384" width="13.44140625" style="79"/>
  </cols>
  <sheetData>
    <row r="1" spans="1:4" x14ac:dyDescent="0.25">
      <c r="A1" s="77" t="s">
        <v>439</v>
      </c>
    </row>
    <row r="3" spans="1:4" x14ac:dyDescent="0.25">
      <c r="A3" s="77" t="s">
        <v>119</v>
      </c>
    </row>
    <row r="5" spans="1:4" x14ac:dyDescent="0.25">
      <c r="A5" s="79" t="s">
        <v>440</v>
      </c>
      <c r="B5" s="78">
        <v>500</v>
      </c>
      <c r="C5" s="78">
        <v>450</v>
      </c>
      <c r="D5" s="78">
        <v>600</v>
      </c>
    </row>
    <row r="6" spans="1:4" x14ac:dyDescent="0.25">
      <c r="A6" s="79" t="s">
        <v>441</v>
      </c>
      <c r="B6" s="78">
        <v>500</v>
      </c>
      <c r="C6" s="78">
        <v>450</v>
      </c>
      <c r="D6" s="78">
        <v>550</v>
      </c>
    </row>
    <row r="8" spans="1:4" x14ac:dyDescent="0.25">
      <c r="B8" s="80" t="s">
        <v>472</v>
      </c>
      <c r="C8" s="80" t="s">
        <v>473</v>
      </c>
      <c r="D8" s="80" t="s">
        <v>503</v>
      </c>
    </row>
    <row r="9" spans="1:4" x14ac:dyDescent="0.25">
      <c r="A9" s="79" t="s">
        <v>442</v>
      </c>
      <c r="B9" s="78">
        <f>100*B5</f>
        <v>50000</v>
      </c>
      <c r="C9" s="78">
        <f>100*C5</f>
        <v>45000</v>
      </c>
      <c r="D9" s="78">
        <f>100*D5</f>
        <v>60000</v>
      </c>
    </row>
    <row r="10" spans="1:4" x14ac:dyDescent="0.25">
      <c r="A10" s="79" t="s">
        <v>469</v>
      </c>
      <c r="B10" s="78">
        <f>B5*80</f>
        <v>40000</v>
      </c>
      <c r="C10" s="78">
        <f>C5*80</f>
        <v>36000</v>
      </c>
      <c r="D10" s="78">
        <f>D5*80</f>
        <v>48000</v>
      </c>
    </row>
    <row r="11" spans="1:4" x14ac:dyDescent="0.25">
      <c r="A11" s="79" t="s">
        <v>443</v>
      </c>
      <c r="B11" s="81">
        <f>20*B5</f>
        <v>10000</v>
      </c>
      <c r="C11" s="81">
        <f>20*C5</f>
        <v>9000</v>
      </c>
      <c r="D11" s="81">
        <f>20*D5</f>
        <v>12000</v>
      </c>
    </row>
    <row r="12" spans="1:4" x14ac:dyDescent="0.25">
      <c r="A12" s="79" t="s">
        <v>444</v>
      </c>
      <c r="B12" s="78">
        <f>SUM(B9:B11)</f>
        <v>100000</v>
      </c>
      <c r="C12" s="78">
        <f>SUM(C9:C11)</f>
        <v>90000</v>
      </c>
      <c r="D12" s="78">
        <f>SUM(D9:D11)</f>
        <v>120000</v>
      </c>
    </row>
    <row r="13" spans="1:4" x14ac:dyDescent="0.25">
      <c r="A13" s="79" t="s">
        <v>445</v>
      </c>
      <c r="B13" s="81"/>
      <c r="C13" s="81"/>
      <c r="D13" s="81">
        <f>-50*200</f>
        <v>-10000</v>
      </c>
    </row>
    <row r="14" spans="1:4" x14ac:dyDescent="0.25">
      <c r="A14" s="79" t="s">
        <v>446</v>
      </c>
      <c r="B14" s="78">
        <f>SUM(B12:B13)</f>
        <v>100000</v>
      </c>
      <c r="C14" s="78">
        <f>SUM(C12:C13)</f>
        <v>90000</v>
      </c>
      <c r="D14" s="78">
        <f>SUM(D12:D13)</f>
        <v>110000</v>
      </c>
    </row>
    <row r="15" spans="1:4" x14ac:dyDescent="0.25">
      <c r="A15" s="79" t="s">
        <v>447</v>
      </c>
      <c r="B15" s="81">
        <f>500*B6</f>
        <v>250000</v>
      </c>
      <c r="C15" s="81">
        <f>500*C6</f>
        <v>225000</v>
      </c>
      <c r="D15" s="81">
        <f>500*D6</f>
        <v>275000</v>
      </c>
    </row>
    <row r="16" spans="1:4" x14ac:dyDescent="0.25">
      <c r="A16" s="79" t="s">
        <v>448</v>
      </c>
      <c r="B16" s="78">
        <f>B15-B14</f>
        <v>150000</v>
      </c>
      <c r="C16" s="78">
        <f>C15-C14</f>
        <v>135000</v>
      </c>
      <c r="D16" s="78">
        <f>D15-D14</f>
        <v>165000</v>
      </c>
    </row>
    <row r="17" spans="1:6" x14ac:dyDescent="0.25">
      <c r="A17" s="82" t="s">
        <v>449</v>
      </c>
    </row>
    <row r="18" spans="1:6" x14ac:dyDescent="0.25">
      <c r="A18" s="79" t="s">
        <v>450</v>
      </c>
      <c r="B18" s="78">
        <v>60000</v>
      </c>
      <c r="C18" s="78">
        <v>60000</v>
      </c>
      <c r="D18" s="78">
        <v>60000</v>
      </c>
    </row>
    <row r="19" spans="1:6" x14ac:dyDescent="0.25">
      <c r="A19" s="79" t="s">
        <v>451</v>
      </c>
      <c r="B19" s="78">
        <v>40000</v>
      </c>
      <c r="C19" s="78">
        <v>40000</v>
      </c>
      <c r="D19" s="78">
        <v>40000</v>
      </c>
    </row>
    <row r="20" spans="1:6" x14ac:dyDescent="0.25">
      <c r="A20" s="79" t="s">
        <v>452</v>
      </c>
      <c r="B20" s="78">
        <f>B18*0.12</f>
        <v>7200</v>
      </c>
      <c r="C20" s="78">
        <f>C18*0.12</f>
        <v>7200</v>
      </c>
      <c r="D20" s="78">
        <f>D18*0.12</f>
        <v>7200</v>
      </c>
    </row>
    <row r="21" spans="1:6" x14ac:dyDescent="0.25">
      <c r="A21" s="79" t="s">
        <v>477</v>
      </c>
      <c r="B21" s="78">
        <v>9500</v>
      </c>
      <c r="C21" s="78">
        <v>9500</v>
      </c>
      <c r="D21" s="78">
        <v>9500</v>
      </c>
      <c r="E21" s="83" t="s">
        <v>453</v>
      </c>
      <c r="F21" s="84">
        <f>(B18+B20)*0.141</f>
        <v>9475.1999999999989</v>
      </c>
    </row>
    <row r="22" spans="1:6" x14ac:dyDescent="0.25">
      <c r="A22" s="79" t="s">
        <v>480</v>
      </c>
      <c r="B22" s="78">
        <v>10000</v>
      </c>
      <c r="C22" s="78">
        <v>10000</v>
      </c>
      <c r="D22" s="78">
        <v>10000</v>
      </c>
    </row>
    <row r="23" spans="1:6" x14ac:dyDescent="0.25">
      <c r="A23" s="79" t="s">
        <v>454</v>
      </c>
      <c r="B23" s="78">
        <v>6000</v>
      </c>
      <c r="C23" s="78">
        <v>6000</v>
      </c>
      <c r="D23" s="78">
        <v>6000</v>
      </c>
    </row>
    <row r="24" spans="1:6" x14ac:dyDescent="0.25">
      <c r="B24" s="85">
        <f>SUM(B18:B23)</f>
        <v>132700</v>
      </c>
      <c r="C24" s="85">
        <f>SUM(C18:C23)</f>
        <v>132700</v>
      </c>
      <c r="D24" s="85">
        <f>SUM(D18:D23)</f>
        <v>132700</v>
      </c>
    </row>
    <row r="26" spans="1:6" ht="14.4" thickBot="1" x14ac:dyDescent="0.3">
      <c r="A26" s="79" t="s">
        <v>481</v>
      </c>
      <c r="B26" s="86">
        <f>B16-B24</f>
        <v>17300</v>
      </c>
      <c r="C26" s="86">
        <f>C16-C24</f>
        <v>2300</v>
      </c>
      <c r="D26" s="86">
        <f>D16-D24</f>
        <v>32300</v>
      </c>
    </row>
    <row r="27" spans="1:6" ht="14.4" thickTop="1" x14ac:dyDescent="0.25"/>
    <row r="28" spans="1:6" x14ac:dyDescent="0.25">
      <c r="A28" s="79" t="s">
        <v>492</v>
      </c>
      <c r="B28" s="126">
        <v>1.25</v>
      </c>
      <c r="C28" s="126">
        <v>0.25</v>
      </c>
    </row>
    <row r="30" spans="1:6" x14ac:dyDescent="0.25">
      <c r="A30" s="77" t="s">
        <v>118</v>
      </c>
    </row>
    <row r="31" spans="1:6" x14ac:dyDescent="0.25">
      <c r="B31" s="83" t="str">
        <f>B8</f>
        <v>Januar</v>
      </c>
      <c r="C31" s="83" t="str">
        <f>C8</f>
        <v>Februar</v>
      </c>
      <c r="D31" s="83" t="str">
        <f>D8</f>
        <v>Mars</v>
      </c>
    </row>
    <row r="32" spans="1:6" x14ac:dyDescent="0.25">
      <c r="A32" s="79" t="s">
        <v>527</v>
      </c>
      <c r="B32" s="78">
        <f>B15*$B$28</f>
        <v>312500</v>
      </c>
      <c r="C32" s="78">
        <f>C15*$B$28</f>
        <v>281250</v>
      </c>
      <c r="D32" s="78">
        <f>D15*$B$28</f>
        <v>343750</v>
      </c>
    </row>
    <row r="35" spans="1:6" x14ac:dyDescent="0.25">
      <c r="A35" s="77" t="s">
        <v>455</v>
      </c>
    </row>
    <row r="37" spans="1:6" x14ac:dyDescent="0.25">
      <c r="A37" s="77" t="s">
        <v>120</v>
      </c>
    </row>
    <row r="38" spans="1:6" x14ac:dyDescent="0.25">
      <c r="B38" s="83" t="str">
        <f>B31</f>
        <v>Januar</v>
      </c>
      <c r="C38" s="83" t="str">
        <f>C31</f>
        <v>Februar</v>
      </c>
      <c r="D38" s="83" t="str">
        <f>D31</f>
        <v>Mars</v>
      </c>
    </row>
    <row r="39" spans="1:6" x14ac:dyDescent="0.25">
      <c r="A39" s="79" t="s">
        <v>121</v>
      </c>
      <c r="B39" s="78">
        <f>B9</f>
        <v>50000</v>
      </c>
      <c r="C39" s="78">
        <f>C9</f>
        <v>45000</v>
      </c>
      <c r="D39" s="78">
        <f>D9</f>
        <v>60000</v>
      </c>
    </row>
    <row r="40" spans="1:6" x14ac:dyDescent="0.25">
      <c r="A40" s="79" t="s">
        <v>543</v>
      </c>
      <c r="B40" s="81">
        <v>10000</v>
      </c>
      <c r="C40" s="81"/>
      <c r="D40" s="81"/>
    </row>
    <row r="41" spans="1:6" x14ac:dyDescent="0.25">
      <c r="A41" s="79" t="s">
        <v>457</v>
      </c>
      <c r="B41" s="78">
        <f>SUM(B39:B40)</f>
        <v>60000</v>
      </c>
      <c r="C41" s="78">
        <f>SUM(C39:C40)</f>
        <v>45000</v>
      </c>
      <c r="D41" s="78">
        <f>SUM(D39:D40)</f>
        <v>60000</v>
      </c>
    </row>
    <row r="42" spans="1:6" x14ac:dyDescent="0.25">
      <c r="A42" s="79" t="s">
        <v>492</v>
      </c>
      <c r="B42" s="78">
        <f>B41*$C$28</f>
        <v>15000</v>
      </c>
      <c r="C42" s="78">
        <f>C41*$C$28</f>
        <v>11250</v>
      </c>
      <c r="D42" s="78">
        <f>D41*$C$28</f>
        <v>15000</v>
      </c>
    </row>
    <row r="43" spans="1:6" x14ac:dyDescent="0.25">
      <c r="A43" s="79" t="s">
        <v>122</v>
      </c>
      <c r="B43" s="85">
        <f>SUM(B41:B42)</f>
        <v>75000</v>
      </c>
      <c r="C43" s="85">
        <f>SUM(C41:C42)</f>
        <v>56250</v>
      </c>
      <c r="D43" s="85">
        <f>SUM(D41:D42)</f>
        <v>75000</v>
      </c>
    </row>
    <row r="46" spans="1:6" x14ac:dyDescent="0.25">
      <c r="A46" s="77" t="s">
        <v>63</v>
      </c>
    </row>
    <row r="47" spans="1:6" x14ac:dyDescent="0.25">
      <c r="A47" s="87"/>
      <c r="B47" s="88"/>
      <c r="C47" s="433" t="s">
        <v>482</v>
      </c>
      <c r="D47" s="433"/>
      <c r="E47" s="433"/>
      <c r="F47" s="88"/>
    </row>
    <row r="48" spans="1:6" x14ac:dyDescent="0.25">
      <c r="A48" s="90"/>
      <c r="B48" s="91"/>
      <c r="C48" s="89" t="s">
        <v>472</v>
      </c>
      <c r="D48" s="92" t="s">
        <v>473</v>
      </c>
      <c r="E48" s="89" t="s">
        <v>503</v>
      </c>
      <c r="F48" s="92" t="s">
        <v>59</v>
      </c>
    </row>
    <row r="49" spans="1:6" x14ac:dyDescent="0.25">
      <c r="A49" s="93" t="s">
        <v>123</v>
      </c>
      <c r="B49" s="94">
        <v>320000</v>
      </c>
      <c r="C49" s="94">
        <f>SUM(B49)</f>
        <v>320000</v>
      </c>
      <c r="D49" s="94"/>
      <c r="E49" s="94"/>
      <c r="F49" s="94"/>
    </row>
    <row r="50" spans="1:6" x14ac:dyDescent="0.25">
      <c r="A50" s="93" t="s">
        <v>472</v>
      </c>
      <c r="B50" s="94">
        <f>B32</f>
        <v>312500</v>
      </c>
      <c r="C50" s="94"/>
      <c r="D50" s="94">
        <f>SUM(B50:C50)</f>
        <v>312500</v>
      </c>
      <c r="E50" s="94"/>
      <c r="F50" s="94"/>
    </row>
    <row r="51" spans="1:6" x14ac:dyDescent="0.25">
      <c r="A51" s="93" t="s">
        <v>473</v>
      </c>
      <c r="B51" s="94">
        <f>C32</f>
        <v>281250</v>
      </c>
      <c r="C51" s="94"/>
      <c r="D51" s="94"/>
      <c r="E51" s="94">
        <f>SUM(B51:D51)</f>
        <v>281250</v>
      </c>
      <c r="F51" s="94"/>
    </row>
    <row r="52" spans="1:6" x14ac:dyDescent="0.25">
      <c r="A52" s="93" t="s">
        <v>503</v>
      </c>
      <c r="B52" s="94">
        <f>D32</f>
        <v>343750</v>
      </c>
      <c r="C52" s="94"/>
      <c r="D52" s="94"/>
      <c r="E52" s="94"/>
      <c r="F52" s="94">
        <f>SUM(B52:E52)</f>
        <v>343750</v>
      </c>
    </row>
    <row r="53" spans="1:6" ht="14.4" thickBot="1" x14ac:dyDescent="0.3">
      <c r="A53" s="95"/>
      <c r="B53" s="96"/>
      <c r="C53" s="96">
        <f>SUM(C49:C52)</f>
        <v>320000</v>
      </c>
      <c r="D53" s="96">
        <f>SUM(D49:D52)</f>
        <v>312500</v>
      </c>
      <c r="E53" s="96">
        <f>SUM(E49:E52)</f>
        <v>281250</v>
      </c>
      <c r="F53" s="96">
        <f>SUM(F49:F52)</f>
        <v>343750</v>
      </c>
    </row>
    <row r="54" spans="1:6" ht="14.4" thickTop="1" x14ac:dyDescent="0.25"/>
    <row r="55" spans="1:6" x14ac:dyDescent="0.25">
      <c r="A55" s="77" t="s">
        <v>62</v>
      </c>
    </row>
    <row r="56" spans="1:6" x14ac:dyDescent="0.25">
      <c r="A56" s="87"/>
      <c r="B56" s="88"/>
      <c r="C56" s="433" t="s">
        <v>485</v>
      </c>
      <c r="D56" s="433"/>
      <c r="E56" s="433"/>
      <c r="F56" s="88"/>
    </row>
    <row r="57" spans="1:6" x14ac:dyDescent="0.25">
      <c r="A57" s="90"/>
      <c r="B57" s="91"/>
      <c r="C57" s="89" t="str">
        <f>C48</f>
        <v>Januar</v>
      </c>
      <c r="D57" s="89" t="str">
        <f>D48</f>
        <v>Februar</v>
      </c>
      <c r="E57" s="89" t="str">
        <f>E48</f>
        <v>Mars</v>
      </c>
      <c r="F57" s="91" t="s">
        <v>60</v>
      </c>
    </row>
    <row r="58" spans="1:6" x14ac:dyDescent="0.25">
      <c r="A58" s="93" t="s">
        <v>61</v>
      </c>
      <c r="B58" s="94">
        <v>40000</v>
      </c>
      <c r="C58" s="94">
        <f>SUM(B58)</f>
        <v>40000</v>
      </c>
      <c r="D58" s="94"/>
      <c r="E58" s="94"/>
      <c r="F58" s="94"/>
    </row>
    <row r="59" spans="1:6" x14ac:dyDescent="0.25">
      <c r="A59" s="93" t="s">
        <v>472</v>
      </c>
      <c r="B59" s="94">
        <f>B43</f>
        <v>75000</v>
      </c>
      <c r="C59" s="94">
        <f>B59/2</f>
        <v>37500</v>
      </c>
      <c r="D59" s="94">
        <f>B59/2</f>
        <v>37500</v>
      </c>
      <c r="E59" s="94"/>
      <c r="F59" s="94"/>
    </row>
    <row r="60" spans="1:6" x14ac:dyDescent="0.25">
      <c r="A60" s="93" t="s">
        <v>473</v>
      </c>
      <c r="B60" s="94">
        <f>C43</f>
        <v>56250</v>
      </c>
      <c r="C60" s="94"/>
      <c r="D60" s="94">
        <f>B60/2</f>
        <v>28125</v>
      </c>
      <c r="E60" s="94">
        <f>B60/2</f>
        <v>28125</v>
      </c>
      <c r="F60" s="94"/>
    </row>
    <row r="61" spans="1:6" x14ac:dyDescent="0.25">
      <c r="A61" s="93" t="s">
        <v>503</v>
      </c>
      <c r="B61" s="94">
        <f>D43</f>
        <v>75000</v>
      </c>
      <c r="C61" s="94"/>
      <c r="D61" s="94"/>
      <c r="E61" s="94">
        <f>B61/2</f>
        <v>37500</v>
      </c>
      <c r="F61" s="94">
        <f>B61/2</f>
        <v>37500</v>
      </c>
    </row>
    <row r="62" spans="1:6" ht="14.4" thickBot="1" x14ac:dyDescent="0.3">
      <c r="A62" s="95"/>
      <c r="B62" s="96"/>
      <c r="C62" s="96">
        <f>SUM(C58:C61)</f>
        <v>77500</v>
      </c>
      <c r="D62" s="96">
        <f>SUM(D58:D61)</f>
        <v>65625</v>
      </c>
      <c r="E62" s="96">
        <f>SUM(E58:E61)</f>
        <v>65625</v>
      </c>
      <c r="F62" s="96">
        <f>SUM(F58:F61)</f>
        <v>37500</v>
      </c>
    </row>
    <row r="63" spans="1:6" ht="14.4" thickTop="1" x14ac:dyDescent="0.25"/>
    <row r="65" spans="1:4" x14ac:dyDescent="0.25">
      <c r="A65" s="77" t="s">
        <v>458</v>
      </c>
    </row>
    <row r="67" spans="1:4" x14ac:dyDescent="0.25">
      <c r="A67" s="77" t="s">
        <v>64</v>
      </c>
    </row>
    <row r="68" spans="1:4" x14ac:dyDescent="0.25">
      <c r="A68" s="97"/>
      <c r="B68" s="89" t="str">
        <f>B8</f>
        <v>Januar</v>
      </c>
      <c r="C68" s="89" t="str">
        <f>C8</f>
        <v>Februar</v>
      </c>
      <c r="D68" s="89" t="str">
        <f>D8</f>
        <v>Mars</v>
      </c>
    </row>
    <row r="69" spans="1:4" ht="14.4" x14ac:dyDescent="0.3">
      <c r="A69" s="98" t="s">
        <v>487</v>
      </c>
      <c r="B69" s="94"/>
      <c r="C69" s="94"/>
      <c r="D69" s="94"/>
    </row>
    <row r="70" spans="1:4" ht="14.4" thickBot="1" x14ac:dyDescent="0.3">
      <c r="A70" s="99" t="s">
        <v>488</v>
      </c>
      <c r="B70" s="100">
        <f>C53</f>
        <v>320000</v>
      </c>
      <c r="C70" s="100">
        <f>D53</f>
        <v>312500</v>
      </c>
      <c r="D70" s="100">
        <f>E53</f>
        <v>281250</v>
      </c>
    </row>
    <row r="71" spans="1:4" x14ac:dyDescent="0.25">
      <c r="A71" s="99"/>
      <c r="B71" s="94"/>
      <c r="C71" s="94"/>
      <c r="D71" s="94"/>
    </row>
    <row r="72" spans="1:4" ht="14.4" x14ac:dyDescent="0.3">
      <c r="A72" s="98" t="s">
        <v>489</v>
      </c>
      <c r="B72" s="94"/>
      <c r="C72" s="94"/>
      <c r="D72" s="94"/>
    </row>
    <row r="73" spans="1:4" x14ac:dyDescent="0.25">
      <c r="A73" s="99" t="s">
        <v>490</v>
      </c>
      <c r="B73" s="94">
        <f>C62</f>
        <v>77500</v>
      </c>
      <c r="C73" s="94">
        <f>D62</f>
        <v>65625</v>
      </c>
      <c r="D73" s="94">
        <f>E62</f>
        <v>65625</v>
      </c>
    </row>
    <row r="74" spans="1:4" x14ac:dyDescent="0.25">
      <c r="A74" s="99" t="s">
        <v>65</v>
      </c>
      <c r="B74" s="94">
        <f>B5*63</f>
        <v>31500</v>
      </c>
      <c r="C74" s="94">
        <f>C5*63</f>
        <v>28350</v>
      </c>
      <c r="D74" s="94">
        <f>D5*63</f>
        <v>37800</v>
      </c>
    </row>
    <row r="75" spans="1:4" x14ac:dyDescent="0.25">
      <c r="A75" s="99" t="s">
        <v>66</v>
      </c>
      <c r="B75" s="94">
        <f>B11*$B$28</f>
        <v>12500</v>
      </c>
      <c r="C75" s="94">
        <f>C11*$B$28</f>
        <v>11250</v>
      </c>
      <c r="D75" s="94">
        <f>D11*$B$28</f>
        <v>15000</v>
      </c>
    </row>
    <row r="76" spans="1:4" x14ac:dyDescent="0.25">
      <c r="A76" s="99" t="s">
        <v>450</v>
      </c>
      <c r="B76" s="94">
        <f>B18</f>
        <v>60000</v>
      </c>
      <c r="C76" s="94">
        <f>C18</f>
        <v>60000</v>
      </c>
      <c r="D76" s="94">
        <f>D18</f>
        <v>60000</v>
      </c>
    </row>
    <row r="77" spans="1:4" x14ac:dyDescent="0.25">
      <c r="A77" s="99" t="s">
        <v>67</v>
      </c>
      <c r="B77" s="94">
        <f>(B19-12000)*$B$28</f>
        <v>35000</v>
      </c>
      <c r="C77" s="94">
        <f>(C19-12000)*$B$28</f>
        <v>35000</v>
      </c>
      <c r="D77" s="94">
        <f>(D19-12000)*$B$28</f>
        <v>35000</v>
      </c>
    </row>
    <row r="78" spans="1:4" x14ac:dyDescent="0.25">
      <c r="A78" s="99" t="s">
        <v>478</v>
      </c>
      <c r="B78" s="94"/>
      <c r="C78" s="94">
        <f>24000*B28</f>
        <v>30000</v>
      </c>
      <c r="D78" s="94"/>
    </row>
    <row r="79" spans="1:4" x14ac:dyDescent="0.25">
      <c r="A79" s="99" t="s">
        <v>477</v>
      </c>
      <c r="B79" s="94">
        <v>25000</v>
      </c>
      <c r="C79" s="94"/>
      <c r="D79" s="94">
        <f>E94</f>
        <v>25400</v>
      </c>
    </row>
    <row r="80" spans="1:4" x14ac:dyDescent="0.25">
      <c r="A80" s="99" t="s">
        <v>492</v>
      </c>
      <c r="B80" s="94"/>
      <c r="C80" s="94">
        <v>62000</v>
      </c>
      <c r="D80" s="94"/>
    </row>
    <row r="81" spans="1:5" x14ac:dyDescent="0.25">
      <c r="A81" s="99" t="s">
        <v>491</v>
      </c>
      <c r="B81" s="94">
        <v>6000</v>
      </c>
      <c r="C81" s="94">
        <v>6000</v>
      </c>
      <c r="D81" s="94">
        <v>6000</v>
      </c>
    </row>
    <row r="82" spans="1:5" x14ac:dyDescent="0.25">
      <c r="A82" s="99" t="s">
        <v>514</v>
      </c>
      <c r="B82" s="94"/>
      <c r="C82" s="94"/>
      <c r="D82" s="94">
        <v>7000</v>
      </c>
    </row>
    <row r="83" spans="1:5" ht="14.4" thickBot="1" x14ac:dyDescent="0.3">
      <c r="A83" s="99" t="s">
        <v>494</v>
      </c>
      <c r="B83" s="101">
        <f>SUM(B73:B82)</f>
        <v>247500</v>
      </c>
      <c r="C83" s="101">
        <f>SUM(C73:C82)</f>
        <v>298225</v>
      </c>
      <c r="D83" s="101">
        <f>SUM(D73:D82)</f>
        <v>251825</v>
      </c>
    </row>
    <row r="84" spans="1:5" x14ac:dyDescent="0.25">
      <c r="A84" s="99"/>
      <c r="B84" s="94"/>
      <c r="C84" s="94"/>
      <c r="D84" s="94"/>
    </row>
    <row r="85" spans="1:5" x14ac:dyDescent="0.25">
      <c r="A85" s="99" t="s">
        <v>180</v>
      </c>
      <c r="B85" s="94">
        <f>B70-B83</f>
        <v>72500</v>
      </c>
      <c r="C85" s="94">
        <f>C70-C83</f>
        <v>14275</v>
      </c>
      <c r="D85" s="94">
        <f>D70-D83</f>
        <v>29425</v>
      </c>
    </row>
    <row r="86" spans="1:5" x14ac:dyDescent="0.25">
      <c r="A86" s="99"/>
      <c r="B86" s="94"/>
      <c r="C86" s="94"/>
      <c r="D86" s="94"/>
    </row>
    <row r="87" spans="1:5" x14ac:dyDescent="0.25">
      <c r="A87" s="99" t="s">
        <v>495</v>
      </c>
      <c r="B87" s="94">
        <v>250000</v>
      </c>
      <c r="C87" s="94">
        <f>B88</f>
        <v>322500</v>
      </c>
      <c r="D87" s="94">
        <f>C88</f>
        <v>336775</v>
      </c>
    </row>
    <row r="88" spans="1:5" x14ac:dyDescent="0.25">
      <c r="A88" s="102" t="s">
        <v>496</v>
      </c>
      <c r="B88" s="91">
        <f>B87+B85</f>
        <v>322500</v>
      </c>
      <c r="C88" s="91">
        <f>C87+C85</f>
        <v>336775</v>
      </c>
      <c r="D88" s="91">
        <f>D87+D85</f>
        <v>366200</v>
      </c>
    </row>
    <row r="90" spans="1:5" x14ac:dyDescent="0.25">
      <c r="A90" s="82" t="s">
        <v>459</v>
      </c>
    </row>
    <row r="91" spans="1:5" x14ac:dyDescent="0.25">
      <c r="A91" s="79" t="s">
        <v>460</v>
      </c>
      <c r="B91" s="78">
        <f>B74+C74</f>
        <v>59850</v>
      </c>
    </row>
    <row r="92" spans="1:5" x14ac:dyDescent="0.25">
      <c r="A92" s="79" t="s">
        <v>450</v>
      </c>
      <c r="B92" s="78">
        <f>B76+C76</f>
        <v>120000</v>
      </c>
    </row>
    <row r="93" spans="1:5" x14ac:dyDescent="0.25">
      <c r="A93" s="79" t="s">
        <v>461</v>
      </c>
      <c r="B93" s="85">
        <f>SUM(B91:B92)</f>
        <v>179850</v>
      </c>
    </row>
    <row r="94" spans="1:5" x14ac:dyDescent="0.25">
      <c r="A94" s="79" t="s">
        <v>68</v>
      </c>
      <c r="B94" s="78">
        <f>B93*0.141</f>
        <v>25358.85</v>
      </c>
      <c r="C94" s="78" t="s">
        <v>462</v>
      </c>
      <c r="E94" s="78">
        <v>25400</v>
      </c>
    </row>
    <row r="97" spans="1:4" x14ac:dyDescent="0.25">
      <c r="A97" s="77" t="s">
        <v>463</v>
      </c>
    </row>
    <row r="98" spans="1:4" x14ac:dyDescent="0.25">
      <c r="A98" s="79" t="s">
        <v>464</v>
      </c>
      <c r="D98" s="78">
        <f>B32*C28/B28+C32*C28/B28</f>
        <v>118750</v>
      </c>
    </row>
    <row r="99" spans="1:4" x14ac:dyDescent="0.25">
      <c r="A99" s="79" t="s">
        <v>465</v>
      </c>
    </row>
    <row r="100" spans="1:4" x14ac:dyDescent="0.25">
      <c r="B100" s="78" t="s">
        <v>69</v>
      </c>
      <c r="D100" s="78">
        <f>B42+C42</f>
        <v>26250</v>
      </c>
    </row>
    <row r="101" spans="1:4" x14ac:dyDescent="0.25">
      <c r="B101" s="78" t="s">
        <v>70</v>
      </c>
      <c r="D101" s="78">
        <f>(B11+C11)*C28</f>
        <v>4750</v>
      </c>
    </row>
    <row r="102" spans="1:4" x14ac:dyDescent="0.25">
      <c r="B102" s="78" t="s">
        <v>71</v>
      </c>
      <c r="D102" s="78">
        <f>(B77+C77+C78)*C28/B28</f>
        <v>20000</v>
      </c>
    </row>
    <row r="103" spans="1:4" x14ac:dyDescent="0.25">
      <c r="A103" s="79" t="s">
        <v>466</v>
      </c>
      <c r="D103" s="85">
        <f>D98-D100-D101-D102</f>
        <v>67750</v>
      </c>
    </row>
  </sheetData>
  <mergeCells count="2">
    <mergeCell ref="C47:E47"/>
    <mergeCell ref="C56:E5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95" fitToHeight="5" orientation="portrait" r:id="rId1"/>
  <headerFooter alignWithMargins="0">
    <oddHeader>&amp;A&amp;RSide &amp;P</oddHeader>
    <oddFooter>&amp;CLøsninger kapittel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3"/>
  <sheetViews>
    <sheetView showGridLines="0" workbookViewId="0">
      <selection activeCell="I24" sqref="I24"/>
    </sheetView>
  </sheetViews>
  <sheetFormatPr baseColWidth="10" defaultColWidth="13.33203125" defaultRowHeight="15" x14ac:dyDescent="0.25"/>
  <cols>
    <col min="1" max="1" width="6.33203125" style="103" customWidth="1"/>
    <col min="2" max="16384" width="13.33203125" style="103"/>
  </cols>
  <sheetData>
    <row r="1" spans="1:7" x14ac:dyDescent="0.25">
      <c r="A1" s="117"/>
      <c r="B1" s="118"/>
      <c r="C1" s="118"/>
      <c r="D1" s="119"/>
      <c r="E1" s="119"/>
      <c r="F1" s="119"/>
      <c r="G1" s="120"/>
    </row>
    <row r="2" spans="1:7" x14ac:dyDescent="0.25">
      <c r="A2" s="121"/>
      <c r="B2" s="103" t="s">
        <v>558</v>
      </c>
      <c r="D2" s="104"/>
      <c r="E2" s="104"/>
      <c r="F2" s="104">
        <f>F8/F3</f>
        <v>500</v>
      </c>
      <c r="G2" s="122"/>
    </row>
    <row r="3" spans="1:7" x14ac:dyDescent="0.25">
      <c r="A3" s="121"/>
      <c r="B3" s="103" t="s">
        <v>559</v>
      </c>
      <c r="D3" s="104"/>
      <c r="E3" s="104"/>
      <c r="F3" s="104">
        <v>10000</v>
      </c>
      <c r="G3" s="122"/>
    </row>
    <row r="4" spans="1:7" x14ac:dyDescent="0.25">
      <c r="A4" s="121"/>
      <c r="D4" s="104"/>
      <c r="E4" s="104"/>
      <c r="F4" s="104"/>
      <c r="G4" s="122"/>
    </row>
    <row r="5" spans="1:7" x14ac:dyDescent="0.25">
      <c r="A5" s="121"/>
      <c r="D5" s="104"/>
      <c r="E5" s="104"/>
      <c r="F5" s="104"/>
      <c r="G5" s="122"/>
    </row>
    <row r="6" spans="1:7" ht="15.6" x14ac:dyDescent="0.3">
      <c r="A6" s="121"/>
      <c r="B6" s="363" t="s">
        <v>560</v>
      </c>
      <c r="D6" s="104"/>
      <c r="E6" s="104"/>
      <c r="F6" s="104"/>
      <c r="G6" s="122"/>
    </row>
    <row r="7" spans="1:7" x14ac:dyDescent="0.25">
      <c r="A7" s="121"/>
      <c r="D7" s="104"/>
      <c r="E7" s="104"/>
      <c r="F7" s="104"/>
      <c r="G7" s="122"/>
    </row>
    <row r="8" spans="1:7" x14ac:dyDescent="0.25">
      <c r="A8" s="121"/>
      <c r="B8" s="103" t="s">
        <v>471</v>
      </c>
      <c r="D8" s="104"/>
      <c r="E8" s="104"/>
      <c r="F8" s="104">
        <v>5000000</v>
      </c>
      <c r="G8" s="122"/>
    </row>
    <row r="9" spans="1:7" x14ac:dyDescent="0.25">
      <c r="A9" s="121"/>
      <c r="B9" s="103" t="s">
        <v>456</v>
      </c>
      <c r="D9" s="104"/>
      <c r="E9" s="104">
        <v>2000000</v>
      </c>
      <c r="F9" s="104"/>
      <c r="G9" s="122"/>
    </row>
    <row r="10" spans="1:7" x14ac:dyDescent="0.25">
      <c r="A10" s="121"/>
      <c r="B10" s="103" t="s">
        <v>467</v>
      </c>
      <c r="D10" s="104"/>
      <c r="E10" s="104">
        <v>1000000</v>
      </c>
      <c r="F10" s="104"/>
      <c r="G10" s="122"/>
    </row>
    <row r="11" spans="1:7" x14ac:dyDescent="0.25">
      <c r="A11" s="121"/>
      <c r="B11" s="103" t="s">
        <v>468</v>
      </c>
      <c r="D11" s="104"/>
      <c r="E11" s="105">
        <v>500000</v>
      </c>
      <c r="F11" s="105">
        <f>SUM(E9:E11)</f>
        <v>3500000</v>
      </c>
      <c r="G11" s="122"/>
    </row>
    <row r="12" spans="1:7" x14ac:dyDescent="0.25">
      <c r="A12" s="121"/>
      <c r="B12" s="103" t="s">
        <v>448</v>
      </c>
      <c r="D12" s="104"/>
      <c r="E12" s="104"/>
      <c r="F12" s="104">
        <f>F8-F11</f>
        <v>1500000</v>
      </c>
      <c r="G12" s="122"/>
    </row>
    <row r="13" spans="1:7" x14ac:dyDescent="0.25">
      <c r="A13" s="121"/>
      <c r="D13" s="104"/>
      <c r="E13" s="104"/>
      <c r="F13" s="104"/>
      <c r="G13" s="122"/>
    </row>
    <row r="14" spans="1:7" x14ac:dyDescent="0.25">
      <c r="A14" s="121"/>
      <c r="B14" s="103" t="s">
        <v>449</v>
      </c>
      <c r="D14" s="104"/>
      <c r="E14" s="104"/>
      <c r="F14" s="105">
        <v>1500000</v>
      </c>
      <c r="G14" s="122"/>
    </row>
    <row r="15" spans="1:7" x14ac:dyDescent="0.25">
      <c r="A15" s="121"/>
      <c r="B15" s="103" t="s">
        <v>497</v>
      </c>
      <c r="D15" s="104"/>
      <c r="E15" s="104"/>
      <c r="F15" s="106">
        <f>F12-F14</f>
        <v>0</v>
      </c>
      <c r="G15" s="122"/>
    </row>
    <row r="16" spans="1:7" x14ac:dyDescent="0.25">
      <c r="A16" s="121"/>
      <c r="D16" s="104"/>
      <c r="E16" s="104"/>
      <c r="F16" s="104"/>
      <c r="G16" s="122"/>
    </row>
    <row r="17" spans="1:7" x14ac:dyDescent="0.25">
      <c r="A17" s="121"/>
      <c r="D17" s="104"/>
      <c r="E17" s="104"/>
      <c r="F17" s="104"/>
      <c r="G17" s="122"/>
    </row>
    <row r="18" spans="1:7" x14ac:dyDescent="0.25">
      <c r="A18" s="123"/>
      <c r="B18" s="124"/>
      <c r="C18" s="124"/>
      <c r="D18" s="105"/>
      <c r="E18" s="105"/>
      <c r="F18" s="105"/>
      <c r="G18" s="125"/>
    </row>
    <row r="20" spans="1:7" x14ac:dyDescent="0.25">
      <c r="A20" s="103" t="s">
        <v>72</v>
      </c>
      <c r="B20" s="103" t="str">
        <f>B8</f>
        <v>Salgsinntekter</v>
      </c>
      <c r="F20" s="104">
        <f>F8*0.9*1.2</f>
        <v>5400000</v>
      </c>
    </row>
    <row r="21" spans="1:7" x14ac:dyDescent="0.25">
      <c r="B21" s="103" t="str">
        <f>B9</f>
        <v>Materialforbruk</v>
      </c>
      <c r="E21" s="104">
        <f>E9*1.2</f>
        <v>2400000</v>
      </c>
    </row>
    <row r="22" spans="1:7" x14ac:dyDescent="0.25">
      <c r="B22" s="103" t="str">
        <f>B10</f>
        <v>Lønnskostnader</v>
      </c>
      <c r="E22" s="104">
        <f>E10*1.2</f>
        <v>1200000</v>
      </c>
    </row>
    <row r="23" spans="1:7" x14ac:dyDescent="0.25">
      <c r="B23" s="103" t="str">
        <f>B11</f>
        <v>Andre variable kostnader</v>
      </c>
      <c r="E23" s="104">
        <f>E11*1.2</f>
        <v>600000</v>
      </c>
      <c r="F23" s="105">
        <f>SUM(E21:E23)</f>
        <v>4200000</v>
      </c>
    </row>
    <row r="24" spans="1:7" x14ac:dyDescent="0.25">
      <c r="B24" s="103" t="str">
        <f>B12</f>
        <v>Dekningsbidrag</v>
      </c>
      <c r="F24" s="104">
        <f>F20-F23</f>
        <v>1200000</v>
      </c>
    </row>
    <row r="26" spans="1:7" x14ac:dyDescent="0.25">
      <c r="B26" s="103" t="str">
        <f>B14</f>
        <v>Faste kostnader</v>
      </c>
      <c r="F26" s="105">
        <f>F14</f>
        <v>1500000</v>
      </c>
    </row>
    <row r="27" spans="1:7" x14ac:dyDescent="0.25">
      <c r="B27" s="103" t="str">
        <f>B15</f>
        <v>Resultat</v>
      </c>
      <c r="F27" s="106">
        <f>F24-F26</f>
        <v>-300000</v>
      </c>
    </row>
    <row r="31" spans="1:7" x14ac:dyDescent="0.25">
      <c r="A31" s="103" t="s">
        <v>73</v>
      </c>
      <c r="B31" s="103" t="s">
        <v>77</v>
      </c>
    </row>
    <row r="33" spans="1:6" x14ac:dyDescent="0.25">
      <c r="B33" s="103" t="str">
        <f>B8</f>
        <v>Salgsinntekter</v>
      </c>
      <c r="F33" s="104">
        <f>F2*1.05*(F3+800)</f>
        <v>5670000</v>
      </c>
    </row>
    <row r="34" spans="1:6" x14ac:dyDescent="0.25">
      <c r="B34" s="103" t="str">
        <f>B9</f>
        <v>Materialforbruk</v>
      </c>
      <c r="E34" s="104">
        <f>E9*1.08</f>
        <v>2160000</v>
      </c>
    </row>
    <row r="35" spans="1:6" x14ac:dyDescent="0.25">
      <c r="B35" s="103" t="str">
        <f>B10</f>
        <v>Lønnskostnader</v>
      </c>
      <c r="E35" s="104">
        <f>E10*1.08</f>
        <v>1080000</v>
      </c>
    </row>
    <row r="36" spans="1:6" x14ac:dyDescent="0.25">
      <c r="B36" s="103" t="str">
        <f>B11</f>
        <v>Andre variable kostnader</v>
      </c>
      <c r="E36" s="105">
        <f>E11*1.08</f>
        <v>540000</v>
      </c>
      <c r="F36" s="105">
        <f>SUM(E34:E36)</f>
        <v>3780000</v>
      </c>
    </row>
    <row r="37" spans="1:6" x14ac:dyDescent="0.25">
      <c r="B37" s="103" t="str">
        <f>B12</f>
        <v>Dekningsbidrag</v>
      </c>
      <c r="F37" s="104">
        <f>F33-F36</f>
        <v>1890000</v>
      </c>
    </row>
    <row r="39" spans="1:6" x14ac:dyDescent="0.25">
      <c r="B39" s="103" t="str">
        <f>B14</f>
        <v>Faste kostnader</v>
      </c>
      <c r="F39" s="105">
        <f>F14+100000</f>
        <v>1600000</v>
      </c>
    </row>
    <row r="40" spans="1:6" x14ac:dyDescent="0.25">
      <c r="B40" s="103" t="str">
        <f>B15</f>
        <v>Resultat</v>
      </c>
      <c r="F40" s="106">
        <f>F37-F39</f>
        <v>290000</v>
      </c>
    </row>
    <row r="43" spans="1:6" x14ac:dyDescent="0.25">
      <c r="A43" s="103" t="s">
        <v>74</v>
      </c>
      <c r="B43" s="103" t="s">
        <v>373</v>
      </c>
      <c r="F43" s="107">
        <f>600000/F8</f>
        <v>0.12</v>
      </c>
    </row>
    <row r="44" spans="1:6" x14ac:dyDescent="0.25">
      <c r="B44" s="103" t="s">
        <v>75</v>
      </c>
      <c r="F44" s="108">
        <v>8800</v>
      </c>
    </row>
    <row r="45" spans="1:6" x14ac:dyDescent="0.25">
      <c r="F45" s="107"/>
    </row>
    <row r="47" spans="1:6" x14ac:dyDescent="0.25">
      <c r="B47" s="103" t="str">
        <f>B33</f>
        <v>Salgsinntekter</v>
      </c>
      <c r="F47" s="104">
        <f>F8-600000</f>
        <v>4400000</v>
      </c>
    </row>
    <row r="48" spans="1:6" x14ac:dyDescent="0.25">
      <c r="B48" s="103" t="str">
        <f>B34</f>
        <v>Materialforbruk</v>
      </c>
      <c r="E48" s="104">
        <f>E9*0.88</f>
        <v>1760000</v>
      </c>
    </row>
    <row r="49" spans="1:6" x14ac:dyDescent="0.25">
      <c r="B49" s="103" t="str">
        <f>B35</f>
        <v>Lønnskostnader</v>
      </c>
      <c r="E49" s="104">
        <f>E10*0.88</f>
        <v>880000</v>
      </c>
    </row>
    <row r="50" spans="1:6" x14ac:dyDescent="0.25">
      <c r="B50" s="103" t="str">
        <f>B36</f>
        <v>Andre variable kostnader</v>
      </c>
      <c r="E50" s="104">
        <f>E11*0.88</f>
        <v>440000</v>
      </c>
    </row>
    <row r="51" spans="1:6" x14ac:dyDescent="0.25">
      <c r="B51" s="103" t="s">
        <v>374</v>
      </c>
      <c r="E51" s="105">
        <f>-F44*50</f>
        <v>-440000</v>
      </c>
      <c r="F51" s="105">
        <f>SUM(E48:E51)</f>
        <v>2640000</v>
      </c>
    </row>
    <row r="52" spans="1:6" x14ac:dyDescent="0.25">
      <c r="B52" s="103" t="str">
        <f>B37</f>
        <v>Dekningsbidrag</v>
      </c>
      <c r="F52" s="104">
        <f>F47-F51</f>
        <v>1760000</v>
      </c>
    </row>
    <row r="54" spans="1:6" x14ac:dyDescent="0.25">
      <c r="B54" s="103" t="str">
        <f>B39</f>
        <v>Faste kostnader</v>
      </c>
      <c r="E54" s="104">
        <f>F14</f>
        <v>1500000</v>
      </c>
    </row>
    <row r="55" spans="1:6" x14ac:dyDescent="0.25">
      <c r="B55" s="103" t="s">
        <v>375</v>
      </c>
      <c r="E55" s="104">
        <v>-100000</v>
      </c>
    </row>
    <row r="56" spans="1:6" x14ac:dyDescent="0.25">
      <c r="B56" s="103" t="s">
        <v>376</v>
      </c>
      <c r="E56" s="104">
        <v>80000</v>
      </c>
    </row>
    <row r="57" spans="1:6" x14ac:dyDescent="0.25">
      <c r="B57" s="103" t="s">
        <v>377</v>
      </c>
      <c r="E57" s="105">
        <v>12000</v>
      </c>
      <c r="F57" s="104">
        <f>SUM(E54:E57)</f>
        <v>1492000</v>
      </c>
    </row>
    <row r="58" spans="1:6" x14ac:dyDescent="0.25">
      <c r="B58" s="103" t="str">
        <f>B40</f>
        <v>Resultat</v>
      </c>
      <c r="F58" s="106">
        <f>F52-F57</f>
        <v>268000</v>
      </c>
    </row>
    <row r="61" spans="1:6" x14ac:dyDescent="0.25">
      <c r="A61" s="103" t="s">
        <v>76</v>
      </c>
      <c r="B61" s="103" t="s">
        <v>378</v>
      </c>
      <c r="F61" s="104">
        <f>F2+90</f>
        <v>590</v>
      </c>
    </row>
    <row r="62" spans="1:6" x14ac:dyDescent="0.25">
      <c r="B62" s="103" t="s">
        <v>379</v>
      </c>
      <c r="F62" s="104">
        <f>F3-2000</f>
        <v>8000</v>
      </c>
    </row>
    <row r="63" spans="1:6" x14ac:dyDescent="0.25">
      <c r="B63" s="103" t="s">
        <v>380</v>
      </c>
      <c r="F63" s="104">
        <v>20</v>
      </c>
    </row>
    <row r="66" spans="2:6" x14ac:dyDescent="0.25">
      <c r="B66" s="103" t="str">
        <f>B8</f>
        <v>Salgsinntekter</v>
      </c>
      <c r="F66" s="104">
        <f>F61*F62</f>
        <v>4720000</v>
      </c>
    </row>
    <row r="67" spans="2:6" x14ac:dyDescent="0.25">
      <c r="B67" s="103" t="str">
        <f>B9</f>
        <v>Materialforbruk</v>
      </c>
      <c r="E67" s="104">
        <f>E9*0.8</f>
        <v>1600000</v>
      </c>
    </row>
    <row r="68" spans="2:6" x14ac:dyDescent="0.25">
      <c r="B68" s="103" t="str">
        <f>B10</f>
        <v>Lønnskostnader</v>
      </c>
      <c r="E68" s="104">
        <f>E10*0.8</f>
        <v>800000</v>
      </c>
    </row>
    <row r="69" spans="2:6" x14ac:dyDescent="0.25">
      <c r="B69" s="103" t="str">
        <f>B11</f>
        <v>Andre variable kostnader</v>
      </c>
      <c r="E69" s="105">
        <f>E11*0.8</f>
        <v>400000</v>
      </c>
      <c r="F69" s="105">
        <f>SUM(E67:E69)</f>
        <v>2800000</v>
      </c>
    </row>
    <row r="70" spans="2:6" x14ac:dyDescent="0.25">
      <c r="B70" s="103" t="str">
        <f>B12</f>
        <v>Dekningsbidrag</v>
      </c>
      <c r="F70" s="104">
        <f>F66-F69</f>
        <v>1920000</v>
      </c>
    </row>
    <row r="72" spans="2:6" x14ac:dyDescent="0.25">
      <c r="B72" s="103" t="str">
        <f>B14</f>
        <v>Faste kostnader</v>
      </c>
      <c r="F72" s="104">
        <f>F14</f>
        <v>1500000</v>
      </c>
    </row>
    <row r="73" spans="2:6" x14ac:dyDescent="0.25">
      <c r="B73" s="103" t="str">
        <f>B15</f>
        <v>Resultat</v>
      </c>
      <c r="F73" s="106">
        <f>F70-F72</f>
        <v>420000</v>
      </c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95" fitToHeight="2" orientation="portrait" r:id="rId1"/>
  <headerFooter alignWithMargins="0">
    <oddHeader>&amp;A&amp;RSide &amp;P</oddHeader>
    <oddFooter>&amp;CLøsninger kapittel 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8"/>
  <sheetViews>
    <sheetView workbookViewId="0">
      <selection activeCell="J11" sqref="J11"/>
    </sheetView>
  </sheetViews>
  <sheetFormatPr baseColWidth="10" defaultRowHeight="13.2" x14ac:dyDescent="0.25"/>
  <sheetData>
    <row r="1" spans="1:9" x14ac:dyDescent="0.25">
      <c r="A1" t="s">
        <v>561</v>
      </c>
    </row>
    <row r="3" spans="1:9" x14ac:dyDescent="0.25">
      <c r="H3" t="s">
        <v>562</v>
      </c>
    </row>
    <row r="4" spans="1:9" x14ac:dyDescent="0.25">
      <c r="A4" s="383" t="s">
        <v>563</v>
      </c>
      <c r="B4" s="383"/>
      <c r="C4" s="383"/>
      <c r="D4" s="383"/>
      <c r="E4" s="383"/>
      <c r="F4" s="383"/>
      <c r="H4" t="s">
        <v>564</v>
      </c>
    </row>
    <row r="5" spans="1:9" x14ac:dyDescent="0.25">
      <c r="A5" s="383" t="s">
        <v>565</v>
      </c>
      <c r="B5" s="383"/>
      <c r="C5" s="383"/>
      <c r="D5" s="384">
        <v>2800000</v>
      </c>
      <c r="E5" s="383"/>
      <c r="F5" s="383"/>
    </row>
    <row r="6" spans="1:9" x14ac:dyDescent="0.25">
      <c r="A6" s="383" t="s">
        <v>566</v>
      </c>
      <c r="B6" s="383"/>
      <c r="C6" s="383"/>
      <c r="D6" s="384">
        <v>200000</v>
      </c>
      <c r="E6" s="383"/>
      <c r="F6" s="383"/>
      <c r="H6" t="s">
        <v>516</v>
      </c>
      <c r="I6">
        <f>D5/(1+D22)</f>
        <v>2240000</v>
      </c>
    </row>
    <row r="7" spans="1:9" ht="13.8" thickBot="1" x14ac:dyDescent="0.3">
      <c r="A7" s="383" t="s">
        <v>567</v>
      </c>
      <c r="B7" s="383"/>
      <c r="C7" s="383"/>
      <c r="D7" s="385">
        <v>0.4</v>
      </c>
      <c r="E7" s="383"/>
      <c r="F7" s="383"/>
      <c r="H7" s="386" t="s">
        <v>408</v>
      </c>
      <c r="I7" s="386">
        <f>I6/(1+D7)</f>
        <v>1600000</v>
      </c>
    </row>
    <row r="8" spans="1:9" x14ac:dyDescent="0.25">
      <c r="A8" s="383" t="s">
        <v>568</v>
      </c>
      <c r="B8" s="383"/>
      <c r="C8" s="383"/>
      <c r="D8" s="384">
        <v>80000</v>
      </c>
      <c r="E8" s="383"/>
      <c r="F8" s="383"/>
      <c r="H8" t="s">
        <v>505</v>
      </c>
      <c r="I8">
        <f>I6-I7</f>
        <v>640000</v>
      </c>
    </row>
    <row r="9" spans="1:9" x14ac:dyDescent="0.25">
      <c r="A9" s="383" t="s">
        <v>569</v>
      </c>
      <c r="B9" s="383"/>
      <c r="C9" s="383"/>
      <c r="D9" s="384">
        <v>300000</v>
      </c>
      <c r="E9" s="383"/>
      <c r="F9" s="383"/>
      <c r="H9" t="s">
        <v>475</v>
      </c>
      <c r="I9" s="387">
        <f>D9</f>
        <v>300000</v>
      </c>
    </row>
    <row r="10" spans="1:9" x14ac:dyDescent="0.25">
      <c r="A10" s="383" t="s">
        <v>570</v>
      </c>
      <c r="B10" s="383"/>
      <c r="C10" s="383"/>
      <c r="D10" s="384">
        <v>20000</v>
      </c>
      <c r="E10" s="383"/>
      <c r="F10" s="383"/>
      <c r="H10" t="s">
        <v>476</v>
      </c>
      <c r="I10">
        <f>I9*0.12</f>
        <v>36000</v>
      </c>
    </row>
    <row r="11" spans="1:9" x14ac:dyDescent="0.25">
      <c r="A11" s="383" t="s">
        <v>571</v>
      </c>
      <c r="B11" s="383"/>
      <c r="C11" s="383"/>
      <c r="D11" s="384">
        <v>22000</v>
      </c>
      <c r="E11" s="383" t="s">
        <v>572</v>
      </c>
      <c r="F11" s="383"/>
      <c r="H11" s="388" t="s">
        <v>477</v>
      </c>
      <c r="I11">
        <f>(I9+I10)*D23</f>
        <v>47375.999999999993</v>
      </c>
    </row>
    <row r="12" spans="1:9" x14ac:dyDescent="0.25">
      <c r="A12" s="383" t="s">
        <v>573</v>
      </c>
      <c r="B12" s="383"/>
      <c r="C12" s="383"/>
      <c r="D12" s="384">
        <v>20000</v>
      </c>
      <c r="E12" s="383"/>
      <c r="F12" s="383"/>
      <c r="H12" t="s">
        <v>478</v>
      </c>
      <c r="I12">
        <f>D11/2</f>
        <v>11000</v>
      </c>
    </row>
    <row r="13" spans="1:9" x14ac:dyDescent="0.25">
      <c r="A13" s="383" t="s">
        <v>574</v>
      </c>
      <c r="B13" s="383"/>
      <c r="C13" s="383"/>
      <c r="D13" s="384">
        <v>5000</v>
      </c>
      <c r="E13" s="383"/>
      <c r="F13" s="383"/>
      <c r="H13" t="s">
        <v>575</v>
      </c>
      <c r="I13" s="387">
        <f>D14-D12+D13-10000</f>
        <v>75000</v>
      </c>
    </row>
    <row r="14" spans="1:9" x14ac:dyDescent="0.25">
      <c r="A14" s="383" t="s">
        <v>576</v>
      </c>
      <c r="B14" s="383"/>
      <c r="C14" s="383"/>
      <c r="D14" s="384">
        <v>100000</v>
      </c>
      <c r="E14" s="383" t="s">
        <v>577</v>
      </c>
      <c r="F14" s="383"/>
      <c r="H14" t="s">
        <v>578</v>
      </c>
      <c r="I14" s="387">
        <f>D17</f>
        <v>15000</v>
      </c>
    </row>
    <row r="15" spans="1:9" ht="13.8" thickBot="1" x14ac:dyDescent="0.3">
      <c r="A15" s="383" t="s">
        <v>579</v>
      </c>
      <c r="B15" s="383"/>
      <c r="C15" s="383"/>
      <c r="D15" s="384">
        <v>120000</v>
      </c>
      <c r="E15" s="383" t="s">
        <v>580</v>
      </c>
      <c r="F15" s="383"/>
      <c r="H15" s="386" t="s">
        <v>581</v>
      </c>
      <c r="I15" s="389">
        <f>D19</f>
        <v>9000</v>
      </c>
    </row>
    <row r="16" spans="1:9" x14ac:dyDescent="0.25">
      <c r="A16" s="383" t="s">
        <v>582</v>
      </c>
      <c r="B16" s="383"/>
      <c r="C16" s="383"/>
      <c r="D16" s="384">
        <v>80000</v>
      </c>
      <c r="E16" s="383"/>
      <c r="F16" s="383"/>
      <c r="H16" t="s">
        <v>497</v>
      </c>
      <c r="I16" s="387">
        <f>I8-I9-I10-I11-I12-I13-I14-I15</f>
        <v>146624</v>
      </c>
    </row>
    <row r="17" spans="1:9" x14ac:dyDescent="0.25">
      <c r="A17" s="383" t="s">
        <v>583</v>
      </c>
      <c r="B17" s="383"/>
      <c r="C17" s="383"/>
      <c r="D17" s="384">
        <v>15000</v>
      </c>
      <c r="E17" s="383"/>
      <c r="F17" s="383"/>
    </row>
    <row r="18" spans="1:9" x14ac:dyDescent="0.25">
      <c r="A18" s="383" t="s">
        <v>584</v>
      </c>
      <c r="B18" s="383"/>
      <c r="C18" s="383"/>
      <c r="D18" s="384">
        <v>4000</v>
      </c>
      <c r="E18" s="383"/>
      <c r="F18" s="383"/>
      <c r="H18" t="s">
        <v>585</v>
      </c>
    </row>
    <row r="19" spans="1:9" x14ac:dyDescent="0.25">
      <c r="A19" s="383" t="s">
        <v>586</v>
      </c>
      <c r="B19" s="383"/>
      <c r="C19" s="383"/>
      <c r="D19" s="384">
        <v>9000</v>
      </c>
      <c r="E19" s="383"/>
      <c r="F19" s="383"/>
      <c r="H19" t="s">
        <v>587</v>
      </c>
    </row>
    <row r="20" spans="1:9" x14ac:dyDescent="0.25">
      <c r="A20" s="383" t="s">
        <v>588</v>
      </c>
      <c r="B20" s="383"/>
      <c r="C20" s="383"/>
      <c r="D20" s="384">
        <v>500000</v>
      </c>
      <c r="E20" s="383"/>
      <c r="F20" s="383"/>
    </row>
    <row r="21" spans="1:9" x14ac:dyDescent="0.25">
      <c r="A21" s="390" t="s">
        <v>589</v>
      </c>
      <c r="B21" s="383"/>
      <c r="C21" s="383"/>
      <c r="D21" s="384">
        <v>520000</v>
      </c>
      <c r="E21" s="383"/>
      <c r="F21" s="383"/>
      <c r="H21" t="s">
        <v>590</v>
      </c>
      <c r="I21" s="387">
        <f>D5</f>
        <v>2800000</v>
      </c>
    </row>
    <row r="22" spans="1:9" x14ac:dyDescent="0.25">
      <c r="A22" s="383" t="s">
        <v>591</v>
      </c>
      <c r="B22" s="383"/>
      <c r="C22" s="383"/>
      <c r="D22" s="391">
        <v>0.25</v>
      </c>
      <c r="E22" s="383"/>
      <c r="F22" s="383"/>
      <c r="H22" t="s">
        <v>592</v>
      </c>
      <c r="I22" s="387">
        <f>-D6</f>
        <v>-200000</v>
      </c>
    </row>
    <row r="23" spans="1:9" x14ac:dyDescent="0.25">
      <c r="A23" s="383" t="s">
        <v>477</v>
      </c>
      <c r="B23" s="383"/>
      <c r="C23" s="383"/>
      <c r="D23" s="392">
        <v>0.14099999999999999</v>
      </c>
      <c r="E23" s="383"/>
      <c r="F23" s="383"/>
      <c r="H23" t="s">
        <v>593</v>
      </c>
      <c r="I23" s="387">
        <f>I21+I22</f>
        <v>2600000</v>
      </c>
    </row>
    <row r="26" spans="1:9" x14ac:dyDescent="0.25">
      <c r="H26" t="s">
        <v>594</v>
      </c>
    </row>
    <row r="27" spans="1:9" x14ac:dyDescent="0.25">
      <c r="H27" t="s">
        <v>595</v>
      </c>
    </row>
    <row r="28" spans="1:9" x14ac:dyDescent="0.25">
      <c r="H28" t="s">
        <v>596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8"/>
  <sheetViews>
    <sheetView workbookViewId="0">
      <selection activeCell="K24" sqref="K24"/>
    </sheetView>
  </sheetViews>
  <sheetFormatPr baseColWidth="10" defaultRowHeight="13.2" x14ac:dyDescent="0.25"/>
  <sheetData>
    <row r="1" spans="1:11" x14ac:dyDescent="0.25">
      <c r="A1" t="s">
        <v>597</v>
      </c>
    </row>
    <row r="3" spans="1:11" x14ac:dyDescent="0.25">
      <c r="A3" t="s">
        <v>598</v>
      </c>
    </row>
    <row r="5" spans="1:11" x14ac:dyDescent="0.25">
      <c r="A5" t="s">
        <v>599</v>
      </c>
    </row>
    <row r="6" spans="1:11" x14ac:dyDescent="0.25">
      <c r="B6" s="393"/>
    </row>
    <row r="8" spans="1:11" x14ac:dyDescent="0.25">
      <c r="H8" t="s">
        <v>562</v>
      </c>
    </row>
    <row r="9" spans="1:11" x14ac:dyDescent="0.25">
      <c r="A9" s="383" t="s">
        <v>600</v>
      </c>
      <c r="B9" s="383"/>
      <c r="C9" s="383"/>
      <c r="D9" s="383"/>
      <c r="E9" s="383"/>
      <c r="H9" s="388" t="s">
        <v>598</v>
      </c>
    </row>
    <row r="10" spans="1:11" x14ac:dyDescent="0.25">
      <c r="A10" s="383"/>
      <c r="B10" s="383"/>
      <c r="C10" s="383"/>
      <c r="D10" s="383"/>
      <c r="E10" s="383"/>
    </row>
    <row r="11" spans="1:11" ht="14.4" x14ac:dyDescent="0.3">
      <c r="A11" s="383" t="s">
        <v>601</v>
      </c>
      <c r="B11" s="383"/>
      <c r="C11" s="383"/>
      <c r="D11" s="383"/>
      <c r="E11" s="384">
        <v>2200000</v>
      </c>
      <c r="H11" s="394" t="s">
        <v>587</v>
      </c>
    </row>
    <row r="12" spans="1:11" x14ac:dyDescent="0.25">
      <c r="A12" s="383"/>
      <c r="B12" s="383"/>
      <c r="C12" s="383"/>
      <c r="D12" s="383"/>
      <c r="E12" s="385"/>
      <c r="I12" t="s">
        <v>527</v>
      </c>
      <c r="K12" s="387">
        <f>E11*(1+E13)</f>
        <v>2750000</v>
      </c>
    </row>
    <row r="13" spans="1:11" x14ac:dyDescent="0.25">
      <c r="A13" s="383" t="s">
        <v>602</v>
      </c>
      <c r="B13" s="383"/>
      <c r="C13" s="383"/>
      <c r="D13" s="383"/>
      <c r="E13" s="385">
        <v>0.25</v>
      </c>
      <c r="I13" t="s">
        <v>603</v>
      </c>
      <c r="K13" s="387">
        <f>-(E26)</f>
        <v>150000</v>
      </c>
    </row>
    <row r="14" spans="1:11" ht="14.4" x14ac:dyDescent="0.3">
      <c r="A14" s="390" t="s">
        <v>604</v>
      </c>
      <c r="B14" s="383"/>
      <c r="C14" s="383"/>
      <c r="D14" s="383"/>
      <c r="E14" s="385">
        <v>0.25</v>
      </c>
      <c r="H14" s="394" t="s">
        <v>281</v>
      </c>
      <c r="K14" s="395">
        <f>SUM(K12:K13)</f>
        <v>2900000</v>
      </c>
    </row>
    <row r="15" spans="1:11" x14ac:dyDescent="0.25">
      <c r="A15" s="383" t="s">
        <v>605</v>
      </c>
      <c r="B15" s="383"/>
      <c r="C15" s="383"/>
      <c r="D15" s="383"/>
      <c r="E15" s="384">
        <v>120000</v>
      </c>
    </row>
    <row r="16" spans="1:11" ht="14.4" x14ac:dyDescent="0.3">
      <c r="A16" s="383" t="s">
        <v>606</v>
      </c>
      <c r="B16" s="383"/>
      <c r="C16" s="383"/>
      <c r="D16" s="383"/>
      <c r="E16" s="384">
        <v>250000</v>
      </c>
      <c r="H16" s="394" t="s">
        <v>489</v>
      </c>
    </row>
    <row r="17" spans="1:11" x14ac:dyDescent="0.25">
      <c r="A17" s="383" t="s">
        <v>607</v>
      </c>
      <c r="B17" s="383"/>
      <c r="C17" s="383"/>
      <c r="D17" s="383"/>
      <c r="E17" s="384">
        <v>5000</v>
      </c>
      <c r="I17" s="388" t="s">
        <v>490</v>
      </c>
      <c r="K17" s="387">
        <f>(E11/(1+E14)+E15)*(1+E13)+E27-E28</f>
        <v>2400000</v>
      </c>
    </row>
    <row r="18" spans="1:11" x14ac:dyDescent="0.25">
      <c r="A18" s="383" t="s">
        <v>608</v>
      </c>
      <c r="B18" s="383"/>
      <c r="C18" s="383"/>
      <c r="D18" s="383"/>
      <c r="E18" s="384">
        <v>12000</v>
      </c>
      <c r="I18" t="s">
        <v>475</v>
      </c>
      <c r="K18" s="387">
        <f>E16-E17-E18</f>
        <v>233000</v>
      </c>
    </row>
    <row r="19" spans="1:11" x14ac:dyDescent="0.25">
      <c r="A19" s="383" t="s">
        <v>609</v>
      </c>
      <c r="B19" s="383"/>
      <c r="C19" s="383"/>
      <c r="D19" s="383"/>
      <c r="E19" s="384">
        <v>80000</v>
      </c>
      <c r="I19" t="s">
        <v>610</v>
      </c>
      <c r="K19" s="387">
        <f>E19</f>
        <v>80000</v>
      </c>
    </row>
    <row r="20" spans="1:11" x14ac:dyDescent="0.25">
      <c r="A20" s="390" t="s">
        <v>611</v>
      </c>
      <c r="B20" s="383"/>
      <c r="C20" s="383"/>
      <c r="D20" s="383"/>
      <c r="E20" s="384">
        <v>10000</v>
      </c>
      <c r="I20" t="s">
        <v>477</v>
      </c>
      <c r="K20" s="387">
        <f>E23</f>
        <v>70000</v>
      </c>
    </row>
    <row r="21" spans="1:11" x14ac:dyDescent="0.25">
      <c r="A21" s="390" t="s">
        <v>612</v>
      </c>
      <c r="B21" s="383"/>
      <c r="C21" s="383"/>
      <c r="D21" s="383"/>
      <c r="E21" s="384">
        <v>15000</v>
      </c>
      <c r="I21" t="s">
        <v>278</v>
      </c>
      <c r="K21" s="387">
        <f>E24</f>
        <v>15000</v>
      </c>
    </row>
    <row r="22" spans="1:11" x14ac:dyDescent="0.25">
      <c r="A22" s="383" t="s">
        <v>613</v>
      </c>
      <c r="B22" s="383"/>
      <c r="C22" s="383"/>
      <c r="D22" s="383"/>
      <c r="E22" s="384">
        <v>8000</v>
      </c>
      <c r="I22" t="s">
        <v>277</v>
      </c>
      <c r="K22" s="387">
        <f>E25</f>
        <v>8000</v>
      </c>
    </row>
    <row r="23" spans="1:11" ht="14.4" x14ac:dyDescent="0.3">
      <c r="A23" s="383" t="s">
        <v>614</v>
      </c>
      <c r="B23" s="383"/>
      <c r="C23" s="383"/>
      <c r="D23" s="383"/>
      <c r="E23" s="384">
        <v>70000</v>
      </c>
      <c r="H23" s="394" t="s">
        <v>494</v>
      </c>
      <c r="K23" s="395">
        <f>SUM(K17:K22)</f>
        <v>2806000</v>
      </c>
    </row>
    <row r="24" spans="1:11" x14ac:dyDescent="0.25">
      <c r="A24" s="383" t="s">
        <v>615</v>
      </c>
      <c r="B24" s="383"/>
      <c r="C24" s="383"/>
      <c r="D24" s="383"/>
      <c r="E24" s="384">
        <v>15000</v>
      </c>
      <c r="H24" t="s">
        <v>616</v>
      </c>
      <c r="K24" s="387">
        <f>E29+E30</f>
        <v>60000</v>
      </c>
    </row>
    <row r="25" spans="1:11" ht="14.4" x14ac:dyDescent="0.3">
      <c r="A25" s="383" t="s">
        <v>617</v>
      </c>
      <c r="B25" s="383"/>
      <c r="C25" s="383"/>
      <c r="D25" s="383"/>
      <c r="E25" s="384">
        <v>8000</v>
      </c>
      <c r="H25" s="394" t="s">
        <v>618</v>
      </c>
      <c r="I25" s="394"/>
      <c r="J25" s="394"/>
      <c r="K25" s="395">
        <f>K14-K23+K24</f>
        <v>154000</v>
      </c>
    </row>
    <row r="26" spans="1:11" x14ac:dyDescent="0.25">
      <c r="A26" s="383" t="s">
        <v>241</v>
      </c>
      <c r="B26" s="383"/>
      <c r="C26" s="383"/>
      <c r="D26" s="383"/>
      <c r="E26" s="384">
        <v>-150000</v>
      </c>
    </row>
    <row r="27" spans="1:11" x14ac:dyDescent="0.25">
      <c r="A27" s="383" t="s">
        <v>619</v>
      </c>
      <c r="B27" s="383"/>
      <c r="C27" s="383"/>
      <c r="D27" s="383"/>
      <c r="E27" s="384">
        <v>800000</v>
      </c>
    </row>
    <row r="28" spans="1:11" x14ac:dyDescent="0.25">
      <c r="A28" s="383" t="s">
        <v>620</v>
      </c>
      <c r="B28" s="383"/>
      <c r="C28" s="383"/>
      <c r="D28" s="383"/>
      <c r="E28" s="384">
        <v>750000</v>
      </c>
      <c r="H28" t="s">
        <v>585</v>
      </c>
    </row>
    <row r="29" spans="1:11" ht="14.4" x14ac:dyDescent="0.3">
      <c r="A29" s="383" t="s">
        <v>621</v>
      </c>
      <c r="B29" s="383"/>
      <c r="C29" s="383"/>
      <c r="D29" s="383"/>
      <c r="E29" s="384">
        <v>15000</v>
      </c>
      <c r="H29" s="394" t="s">
        <v>622</v>
      </c>
      <c r="K29" s="387"/>
    </row>
    <row r="30" spans="1:11" x14ac:dyDescent="0.25">
      <c r="A30" s="390" t="s">
        <v>623</v>
      </c>
      <c r="B30" s="383"/>
      <c r="C30" s="383"/>
      <c r="D30" s="383"/>
      <c r="E30" s="384">
        <v>45000</v>
      </c>
      <c r="I30" t="s">
        <v>606</v>
      </c>
      <c r="K30" s="387">
        <f>E16</f>
        <v>250000</v>
      </c>
    </row>
    <row r="31" spans="1:11" x14ac:dyDescent="0.25">
      <c r="I31" t="s">
        <v>476</v>
      </c>
      <c r="K31">
        <f>K30*0.12</f>
        <v>30000</v>
      </c>
    </row>
    <row r="32" spans="1:11" x14ac:dyDescent="0.25">
      <c r="I32" t="s">
        <v>477</v>
      </c>
      <c r="K32">
        <f>(K30+K31)*0.141</f>
        <v>39479.999999999993</v>
      </c>
    </row>
    <row r="33" spans="8:11" ht="14.4" x14ac:dyDescent="0.3">
      <c r="H33" s="394" t="s">
        <v>256</v>
      </c>
      <c r="K33" s="395">
        <f>SUM(K30:K32)</f>
        <v>319480</v>
      </c>
    </row>
    <row r="36" spans="8:11" x14ac:dyDescent="0.25">
      <c r="H36" t="s">
        <v>594</v>
      </c>
    </row>
    <row r="38" spans="8:11" ht="14.4" x14ac:dyDescent="0.3">
      <c r="H38" s="396" t="s">
        <v>624</v>
      </c>
      <c r="I38" s="394"/>
      <c r="J38" s="394"/>
      <c r="K38" s="394">
        <f>E15+(E15*E13)</f>
        <v>150000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141"/>
  <sheetViews>
    <sheetView zoomScale="125" workbookViewId="0">
      <selection activeCell="I18" sqref="I18"/>
    </sheetView>
  </sheetViews>
  <sheetFormatPr baseColWidth="10" defaultColWidth="10.6640625" defaultRowHeight="14.4" x14ac:dyDescent="0.3"/>
  <cols>
    <col min="1" max="2" width="10.6640625" style="306"/>
    <col min="3" max="3" width="13.33203125" style="306" bestFit="1" customWidth="1"/>
    <col min="4" max="4" width="14.109375" style="306" bestFit="1" customWidth="1"/>
    <col min="5" max="6" width="13.33203125" style="306" bestFit="1" customWidth="1"/>
    <col min="7" max="8" width="12.109375" style="306" customWidth="1"/>
    <col min="9" max="16384" width="10.6640625" style="306"/>
  </cols>
  <sheetData>
    <row r="1" spans="1:8" x14ac:dyDescent="0.3">
      <c r="A1" s="306" t="s">
        <v>299</v>
      </c>
    </row>
    <row r="3" spans="1:8" x14ac:dyDescent="0.3">
      <c r="A3" s="364" t="s">
        <v>78</v>
      </c>
      <c r="D3" s="350">
        <v>0.25</v>
      </c>
    </row>
    <row r="4" spans="1:8" x14ac:dyDescent="0.3">
      <c r="A4" s="306" t="s">
        <v>298</v>
      </c>
      <c r="D4" s="350">
        <v>0.3</v>
      </c>
    </row>
    <row r="5" spans="1:8" x14ac:dyDescent="0.3">
      <c r="A5" s="306" t="s">
        <v>297</v>
      </c>
      <c r="D5" s="310">
        <v>1500000</v>
      </c>
    </row>
    <row r="8" spans="1:8" x14ac:dyDescent="0.3">
      <c r="A8" s="434" t="s">
        <v>296</v>
      </c>
      <c r="B8" s="434"/>
      <c r="C8" s="434"/>
      <c r="D8" s="434"/>
      <c r="E8" s="434"/>
      <c r="F8" s="434"/>
      <c r="G8" s="434"/>
      <c r="H8" s="434"/>
    </row>
    <row r="9" spans="1:8" x14ac:dyDescent="0.3">
      <c r="A9" s="306" t="s">
        <v>270</v>
      </c>
      <c r="D9" s="310">
        <v>4000000</v>
      </c>
      <c r="E9" s="316" t="s">
        <v>269</v>
      </c>
      <c r="H9" s="310">
        <v>1430000</v>
      </c>
    </row>
    <row r="10" spans="1:8" x14ac:dyDescent="0.3">
      <c r="A10" s="306" t="s">
        <v>268</v>
      </c>
      <c r="D10" s="310">
        <v>2500000</v>
      </c>
      <c r="E10" s="365" t="s">
        <v>79</v>
      </c>
      <c r="H10" s="310">
        <v>1000000</v>
      </c>
    </row>
    <row r="11" spans="1:8" x14ac:dyDescent="0.3">
      <c r="A11" s="306" t="s">
        <v>266</v>
      </c>
      <c r="D11" s="310">
        <v>3000000</v>
      </c>
      <c r="E11" s="314" t="s">
        <v>265</v>
      </c>
      <c r="H11" s="310">
        <v>4210000</v>
      </c>
    </row>
    <row r="12" spans="1:8" x14ac:dyDescent="0.3">
      <c r="A12" s="306" t="s">
        <v>264</v>
      </c>
      <c r="D12" s="310">
        <v>1000000</v>
      </c>
      <c r="E12" s="314" t="s">
        <v>263</v>
      </c>
      <c r="H12" s="310">
        <v>1200000</v>
      </c>
    </row>
    <row r="13" spans="1:8" x14ac:dyDescent="0.3">
      <c r="A13" s="306" t="s">
        <v>262</v>
      </c>
      <c r="D13" s="310">
        <v>40000</v>
      </c>
      <c r="E13" s="314" t="s">
        <v>261</v>
      </c>
      <c r="H13" s="310">
        <v>1000000</v>
      </c>
    </row>
    <row r="14" spans="1:8" x14ac:dyDescent="0.3">
      <c r="E14" s="315" t="s">
        <v>477</v>
      </c>
      <c r="H14" s="310">
        <v>150000</v>
      </c>
    </row>
    <row r="15" spans="1:8" x14ac:dyDescent="0.3">
      <c r="E15" s="314" t="s">
        <v>260</v>
      </c>
      <c r="H15" s="310">
        <v>650000</v>
      </c>
    </row>
    <row r="16" spans="1:8" x14ac:dyDescent="0.3">
      <c r="E16" s="314" t="s">
        <v>259</v>
      </c>
      <c r="H16" s="310">
        <v>300000</v>
      </c>
    </row>
    <row r="17" spans="1:8" x14ac:dyDescent="0.3">
      <c r="E17" s="314" t="s">
        <v>258</v>
      </c>
      <c r="H17" s="310">
        <v>500000</v>
      </c>
    </row>
    <row r="18" spans="1:8" x14ac:dyDescent="0.3">
      <c r="E18" s="314" t="s">
        <v>257</v>
      </c>
      <c r="H18" s="310">
        <v>100000</v>
      </c>
    </row>
    <row r="19" spans="1:8" x14ac:dyDescent="0.3">
      <c r="A19" s="312" t="s">
        <v>256</v>
      </c>
      <c r="B19" s="312"/>
      <c r="C19" s="312"/>
      <c r="D19" s="313">
        <f>D13+D12+D11+D9+D10</f>
        <v>10540000</v>
      </c>
      <c r="E19" s="312"/>
      <c r="F19" s="312"/>
      <c r="G19" s="312"/>
      <c r="H19" s="311">
        <f>SUM(H9:H18)</f>
        <v>10540000</v>
      </c>
    </row>
    <row r="20" spans="1:8" x14ac:dyDescent="0.3">
      <c r="H20" s="310"/>
    </row>
    <row r="23" spans="1:8" x14ac:dyDescent="0.3">
      <c r="A23" s="334" t="s">
        <v>294</v>
      </c>
    </row>
    <row r="24" spans="1:8" x14ac:dyDescent="0.3">
      <c r="D24" s="349" t="s">
        <v>472</v>
      </c>
      <c r="E24" s="349" t="s">
        <v>473</v>
      </c>
      <c r="F24" s="349" t="s">
        <v>503</v>
      </c>
      <c r="G24" s="349" t="s">
        <v>293</v>
      </c>
    </row>
    <row r="25" spans="1:8" x14ac:dyDescent="0.3">
      <c r="A25" s="306" t="s">
        <v>524</v>
      </c>
      <c r="D25" s="310">
        <f>D27*0.6</f>
        <v>1200000</v>
      </c>
      <c r="E25" s="310">
        <f>E27*0.6</f>
        <v>1920000</v>
      </c>
      <c r="F25" s="310">
        <f>F27*0.6</f>
        <v>2820000</v>
      </c>
      <c r="G25" s="310">
        <f>D25+E25+F25</f>
        <v>5940000</v>
      </c>
    </row>
    <row r="26" spans="1:8" x14ac:dyDescent="0.3">
      <c r="A26" s="335" t="s">
        <v>292</v>
      </c>
      <c r="B26" s="335"/>
      <c r="C26" s="335"/>
      <c r="D26" s="348">
        <f>D27*0.4</f>
        <v>800000</v>
      </c>
      <c r="E26" s="348">
        <f>E27*0.4</f>
        <v>1280000</v>
      </c>
      <c r="F26" s="348">
        <f>F27*0.4</f>
        <v>1880000</v>
      </c>
      <c r="G26" s="348">
        <f>D26+E26+F26</f>
        <v>3960000</v>
      </c>
    </row>
    <row r="27" spans="1:8" x14ac:dyDescent="0.3">
      <c r="A27" s="306" t="s">
        <v>291</v>
      </c>
      <c r="D27" s="310">
        <v>2000000</v>
      </c>
      <c r="E27" s="310">
        <v>3200000</v>
      </c>
      <c r="F27" s="310">
        <v>4700000</v>
      </c>
      <c r="G27" s="310">
        <f>D27+E27+F27</f>
        <v>9900000</v>
      </c>
    </row>
    <row r="28" spans="1:8" x14ac:dyDescent="0.3">
      <c r="A28" s="366" t="s">
        <v>5</v>
      </c>
      <c r="B28" s="335"/>
      <c r="C28" s="335"/>
      <c r="D28" s="335">
        <f>D27*MVA</f>
        <v>500000</v>
      </c>
      <c r="E28" s="335">
        <f>E27*MVA</f>
        <v>800000</v>
      </c>
      <c r="F28" s="335">
        <f>F27*MVA</f>
        <v>1175000</v>
      </c>
      <c r="G28" s="335">
        <f>G27*MVA</f>
        <v>2475000</v>
      </c>
    </row>
    <row r="29" spans="1:8" x14ac:dyDescent="0.3">
      <c r="A29" s="366" t="s">
        <v>80</v>
      </c>
      <c r="B29" s="335"/>
      <c r="C29" s="335"/>
      <c r="D29" s="348">
        <f>D27+D28</f>
        <v>2500000</v>
      </c>
      <c r="E29" s="348">
        <f>E27+E28</f>
        <v>4000000</v>
      </c>
      <c r="F29" s="348">
        <f>F27+F28</f>
        <v>5875000</v>
      </c>
      <c r="G29" s="348">
        <f>G27+G28</f>
        <v>12375000</v>
      </c>
    </row>
    <row r="31" spans="1:8" x14ac:dyDescent="0.3">
      <c r="A31" s="334" t="s">
        <v>81</v>
      </c>
    </row>
    <row r="32" spans="1:8" x14ac:dyDescent="0.3">
      <c r="D32" s="332" t="s">
        <v>472</v>
      </c>
      <c r="E32" s="332" t="s">
        <v>473</v>
      </c>
      <c r="F32" s="332" t="s">
        <v>503</v>
      </c>
      <c r="G32" s="332" t="s">
        <v>508</v>
      </c>
    </row>
    <row r="33" spans="1:7" x14ac:dyDescent="0.3">
      <c r="A33" s="367" t="s">
        <v>82</v>
      </c>
      <c r="B33" s="347"/>
      <c r="C33" s="347"/>
      <c r="D33" s="340">
        <f>D25+(D25*MVA)</f>
        <v>1500000</v>
      </c>
      <c r="E33" s="340">
        <f>E25+(E25*MVA)</f>
        <v>2400000</v>
      </c>
      <c r="F33" s="340">
        <f>F25+(F25*MVA)</f>
        <v>3525000</v>
      </c>
      <c r="G33" s="340"/>
    </row>
    <row r="34" spans="1:7" x14ac:dyDescent="0.3">
      <c r="A34" s="339" t="s">
        <v>525</v>
      </c>
      <c r="B34" s="312"/>
      <c r="C34" s="338"/>
      <c r="D34" s="313">
        <f>D12</f>
        <v>1000000</v>
      </c>
      <c r="E34" s="340">
        <f>D26+(D26*MVA)</f>
        <v>1000000</v>
      </c>
      <c r="F34" s="340">
        <f>E26+(E26*MVA)</f>
        <v>1600000</v>
      </c>
      <c r="G34" s="340">
        <f>F26+(F26*MVA)</f>
        <v>2350000</v>
      </c>
    </row>
    <row r="35" spans="1:7" x14ac:dyDescent="0.3">
      <c r="A35" s="339" t="s">
        <v>290</v>
      </c>
      <c r="B35" s="312"/>
      <c r="C35" s="338"/>
      <c r="D35" s="313">
        <f>SUM(D33:D34)</f>
        <v>2500000</v>
      </c>
      <c r="E35" s="340">
        <f>SUM(E33:E34)</f>
        <v>3400000</v>
      </c>
      <c r="F35" s="340">
        <f>SUM(F33:F34)</f>
        <v>5125000</v>
      </c>
      <c r="G35" s="340"/>
    </row>
    <row r="37" spans="1:7" x14ac:dyDescent="0.3">
      <c r="A37" s="309" t="s">
        <v>289</v>
      </c>
    </row>
    <row r="39" spans="1:7" x14ac:dyDescent="0.3">
      <c r="D39" s="332" t="s">
        <v>472</v>
      </c>
      <c r="E39" s="332" t="s">
        <v>473</v>
      </c>
      <c r="F39" s="332" t="s">
        <v>503</v>
      </c>
    </row>
    <row r="40" spans="1:7" x14ac:dyDescent="0.3">
      <c r="A40" s="316" t="s">
        <v>408</v>
      </c>
      <c r="B40" s="346"/>
      <c r="C40" s="333"/>
      <c r="D40" s="324">
        <f>D27*(1-BTOfortj)</f>
        <v>1400000</v>
      </c>
      <c r="E40" s="325">
        <f>E27*(1-BTOfortj)</f>
        <v>2240000</v>
      </c>
      <c r="F40" s="325">
        <f>F27*(1-BTOfortj)</f>
        <v>3290000</v>
      </c>
    </row>
    <row r="41" spans="1:7" x14ac:dyDescent="0.3">
      <c r="A41" s="331" t="s">
        <v>543</v>
      </c>
      <c r="B41" s="335"/>
      <c r="C41" s="330"/>
      <c r="D41" s="344">
        <v>-100000</v>
      </c>
      <c r="E41" s="329">
        <v>-100000</v>
      </c>
      <c r="F41" s="329">
        <v>-100000</v>
      </c>
    </row>
    <row r="42" spans="1:7" x14ac:dyDescent="0.3">
      <c r="A42" s="365" t="s">
        <v>83</v>
      </c>
      <c r="C42" s="324"/>
      <c r="D42" s="345">
        <f>D40+D41</f>
        <v>1300000</v>
      </c>
      <c r="E42" s="323">
        <f>E40+E41</f>
        <v>2140000</v>
      </c>
      <c r="F42" s="323">
        <f>F40+F41</f>
        <v>3190000</v>
      </c>
    </row>
    <row r="43" spans="1:7" x14ac:dyDescent="0.3">
      <c r="A43" s="322" t="s">
        <v>5</v>
      </c>
      <c r="B43" s="335"/>
      <c r="C43" s="330"/>
      <c r="D43" s="330">
        <f>D42*MVA</f>
        <v>325000</v>
      </c>
      <c r="E43" s="337">
        <f>E42*MVA</f>
        <v>535000</v>
      </c>
      <c r="F43" s="337">
        <f>F42*MVA</f>
        <v>797500</v>
      </c>
    </row>
    <row r="44" spans="1:7" x14ac:dyDescent="0.3">
      <c r="A44" s="322" t="s">
        <v>141</v>
      </c>
      <c r="B44" s="335"/>
      <c r="C44" s="330"/>
      <c r="D44" s="344">
        <f>D42+D43</f>
        <v>1625000</v>
      </c>
      <c r="E44" s="329">
        <f>E42+E43</f>
        <v>2675000</v>
      </c>
      <c r="F44" s="329">
        <f>F42+F43</f>
        <v>3987500</v>
      </c>
    </row>
    <row r="46" spans="1:7" x14ac:dyDescent="0.3">
      <c r="A46" s="364" t="s">
        <v>84</v>
      </c>
    </row>
    <row r="47" spans="1:7" x14ac:dyDescent="0.3">
      <c r="D47" s="343" t="s">
        <v>472</v>
      </c>
      <c r="E47" s="343" t="s">
        <v>473</v>
      </c>
      <c r="F47" s="343" t="s">
        <v>503</v>
      </c>
      <c r="G47" s="343" t="s">
        <v>508</v>
      </c>
    </row>
    <row r="48" spans="1:7" x14ac:dyDescent="0.3">
      <c r="A48" s="306" t="s">
        <v>287</v>
      </c>
      <c r="D48" s="310">
        <f>H13</f>
        <v>1000000</v>
      </c>
      <c r="E48" s="310">
        <f>D44</f>
        <v>1625000</v>
      </c>
      <c r="F48" s="310">
        <f>E44</f>
        <v>2675000</v>
      </c>
      <c r="G48" s="310">
        <f>F44</f>
        <v>3987500</v>
      </c>
    </row>
    <row r="51" spans="1:7" x14ac:dyDescent="0.3">
      <c r="A51" s="309" t="s">
        <v>85</v>
      </c>
    </row>
    <row r="52" spans="1:7" x14ac:dyDescent="0.3">
      <c r="D52" s="343" t="s">
        <v>472</v>
      </c>
      <c r="E52" s="343" t="s">
        <v>473</v>
      </c>
      <c r="F52" s="343" t="s">
        <v>503</v>
      </c>
      <c r="G52" s="343" t="s">
        <v>273</v>
      </c>
    </row>
    <row r="53" spans="1:7" x14ac:dyDescent="0.3">
      <c r="A53" s="306" t="s">
        <v>288</v>
      </c>
      <c r="D53" s="310">
        <v>300000</v>
      </c>
      <c r="E53" s="310">
        <v>400000</v>
      </c>
      <c r="F53" s="310">
        <v>250000</v>
      </c>
      <c r="G53" s="310">
        <f>D53+E53+F53</f>
        <v>950000</v>
      </c>
    </row>
    <row r="54" spans="1:7" x14ac:dyDescent="0.3">
      <c r="A54" s="364" t="s">
        <v>5</v>
      </c>
      <c r="D54" s="310">
        <v>75000</v>
      </c>
      <c r="E54" s="310">
        <v>100000</v>
      </c>
      <c r="F54" s="310">
        <v>62500</v>
      </c>
      <c r="G54" s="310">
        <f>D54+E54+F54</f>
        <v>237500</v>
      </c>
    </row>
    <row r="55" spans="1:7" x14ac:dyDescent="0.3">
      <c r="A55" s="312" t="s">
        <v>287</v>
      </c>
      <c r="B55" s="312"/>
      <c r="C55" s="312"/>
      <c r="D55" s="311">
        <f>D53+D54</f>
        <v>375000</v>
      </c>
      <c r="E55" s="311">
        <f>E53+E54</f>
        <v>500000</v>
      </c>
      <c r="F55" s="311">
        <f>F53+F54</f>
        <v>312500</v>
      </c>
      <c r="G55" s="311">
        <f>G53+G54</f>
        <v>1187500</v>
      </c>
    </row>
    <row r="58" spans="1:7" x14ac:dyDescent="0.3">
      <c r="A58" s="334" t="s">
        <v>286</v>
      </c>
    </row>
    <row r="59" spans="1:7" x14ac:dyDescent="0.3">
      <c r="D59" s="343" t="s">
        <v>472</v>
      </c>
      <c r="E59" s="343" t="s">
        <v>473</v>
      </c>
      <c r="F59" s="343" t="s">
        <v>503</v>
      </c>
      <c r="G59" s="343" t="s">
        <v>273</v>
      </c>
    </row>
    <row r="60" spans="1:7" x14ac:dyDescent="0.3">
      <c r="A60" s="364" t="s">
        <v>86</v>
      </c>
      <c r="D60" s="310">
        <f>D28</f>
        <v>500000</v>
      </c>
      <c r="E60" s="310">
        <f>E28</f>
        <v>800000</v>
      </c>
      <c r="F60" s="310">
        <f>F28</f>
        <v>1175000</v>
      </c>
      <c r="G60" s="310">
        <f>D60+E60+F60</f>
        <v>2475000</v>
      </c>
    </row>
    <row r="61" spans="1:7" x14ac:dyDescent="0.3">
      <c r="A61" s="364" t="s">
        <v>87</v>
      </c>
      <c r="D61" s="310">
        <f>D43</f>
        <v>325000</v>
      </c>
      <c r="E61" s="310">
        <f>E43</f>
        <v>535000</v>
      </c>
      <c r="F61" s="310">
        <f>F43</f>
        <v>797500</v>
      </c>
      <c r="G61" s="310">
        <f>D61+E61+F61</f>
        <v>1657500</v>
      </c>
    </row>
    <row r="62" spans="1:7" x14ac:dyDescent="0.3">
      <c r="A62" s="364" t="s">
        <v>88</v>
      </c>
      <c r="D62" s="310">
        <f>D54</f>
        <v>75000</v>
      </c>
      <c r="E62" s="310">
        <f>E54</f>
        <v>100000</v>
      </c>
      <c r="F62" s="310">
        <f>F54</f>
        <v>62500</v>
      </c>
      <c r="G62" s="310">
        <f>G54</f>
        <v>237500</v>
      </c>
    </row>
    <row r="63" spans="1:7" x14ac:dyDescent="0.3">
      <c r="A63" s="368" t="s">
        <v>46</v>
      </c>
      <c r="B63" s="312"/>
      <c r="C63" s="312"/>
      <c r="D63" s="311">
        <f>D60-D61-D62</f>
        <v>100000</v>
      </c>
      <c r="E63" s="311">
        <f>E60-E61-E62</f>
        <v>165000</v>
      </c>
      <c r="F63" s="311">
        <f>F60-F61-F62</f>
        <v>315000</v>
      </c>
      <c r="G63" s="311">
        <f>G60-G61-G62</f>
        <v>580000</v>
      </c>
    </row>
    <row r="65" spans="1:8" x14ac:dyDescent="0.3">
      <c r="A65" s="306" t="s">
        <v>285</v>
      </c>
    </row>
    <row r="67" spans="1:8" x14ac:dyDescent="0.3">
      <c r="D67" s="342" t="s">
        <v>472</v>
      </c>
      <c r="E67" s="342" t="s">
        <v>473</v>
      </c>
      <c r="F67" s="342" t="s">
        <v>503</v>
      </c>
      <c r="G67" s="342" t="s">
        <v>508</v>
      </c>
    </row>
    <row r="68" spans="1:8" x14ac:dyDescent="0.3">
      <c r="A68" s="364" t="s">
        <v>47</v>
      </c>
      <c r="D68" s="323"/>
      <c r="E68" s="323">
        <f>H16</f>
        <v>300000</v>
      </c>
      <c r="F68" s="325"/>
      <c r="G68" s="325"/>
    </row>
    <row r="69" spans="1:8" x14ac:dyDescent="0.3">
      <c r="A69" s="306" t="s">
        <v>284</v>
      </c>
      <c r="D69" s="325"/>
      <c r="E69" s="325"/>
      <c r="F69" s="325"/>
      <c r="G69" s="323">
        <f>D63+E63</f>
        <v>265000</v>
      </c>
      <c r="H69" s="364" t="s">
        <v>48</v>
      </c>
    </row>
    <row r="70" spans="1:8" x14ac:dyDescent="0.3">
      <c r="A70" s="306" t="s">
        <v>283</v>
      </c>
      <c r="D70" s="325"/>
      <c r="E70" s="325"/>
      <c r="F70" s="325"/>
      <c r="G70" s="323">
        <f>F63</f>
        <v>315000</v>
      </c>
      <c r="H70" s="364" t="s">
        <v>49</v>
      </c>
    </row>
    <row r="71" spans="1:8" x14ac:dyDescent="0.3">
      <c r="A71" s="312" t="s">
        <v>494</v>
      </c>
      <c r="B71" s="312"/>
      <c r="C71" s="312"/>
      <c r="D71" s="341"/>
      <c r="E71" s="340">
        <f>SUM(E68:E70)</f>
        <v>300000</v>
      </c>
      <c r="F71" s="341"/>
      <c r="G71" s="340">
        <f>SUM(G69:G70)</f>
        <v>580000</v>
      </c>
    </row>
    <row r="74" spans="1:8" x14ac:dyDescent="0.3">
      <c r="A74" s="339" t="s">
        <v>282</v>
      </c>
      <c r="B74" s="312"/>
      <c r="C74" s="338"/>
      <c r="D74" s="332" t="s">
        <v>472</v>
      </c>
      <c r="E74" s="332" t="s">
        <v>473</v>
      </c>
      <c r="F74" s="332" t="s">
        <v>503</v>
      </c>
      <c r="G74" s="332" t="s">
        <v>273</v>
      </c>
    </row>
    <row r="75" spans="1:8" x14ac:dyDescent="0.3">
      <c r="A75" s="314"/>
      <c r="C75" s="324"/>
      <c r="D75" s="325"/>
      <c r="E75" s="325"/>
      <c r="F75" s="325"/>
      <c r="G75" s="325"/>
    </row>
    <row r="76" spans="1:8" x14ac:dyDescent="0.3">
      <c r="A76" s="328" t="s">
        <v>509</v>
      </c>
      <c r="C76" s="324"/>
      <c r="D76" s="325"/>
      <c r="E76" s="325"/>
      <c r="F76" s="325"/>
      <c r="G76" s="325"/>
    </row>
    <row r="77" spans="1:8" x14ac:dyDescent="0.3">
      <c r="A77" s="314"/>
      <c r="C77" s="324"/>
      <c r="D77" s="325"/>
      <c r="E77" s="325"/>
      <c r="F77" s="325"/>
      <c r="G77" s="325"/>
    </row>
    <row r="78" spans="1:8" x14ac:dyDescent="0.3">
      <c r="A78" s="331" t="s">
        <v>488</v>
      </c>
      <c r="B78" s="335"/>
      <c r="C78" s="330"/>
      <c r="D78" s="329">
        <f>D35</f>
        <v>2500000</v>
      </c>
      <c r="E78" s="329">
        <f>E35</f>
        <v>3400000</v>
      </c>
      <c r="F78" s="329">
        <f>F35</f>
        <v>5125000</v>
      </c>
      <c r="G78" s="329">
        <f>D78+E78+F78</f>
        <v>11025000</v>
      </c>
    </row>
    <row r="79" spans="1:8" x14ac:dyDescent="0.3">
      <c r="A79" s="328" t="s">
        <v>281</v>
      </c>
      <c r="C79" s="324"/>
      <c r="D79" s="326">
        <f>D78</f>
        <v>2500000</v>
      </c>
      <c r="E79" s="326">
        <f>E78</f>
        <v>3400000</v>
      </c>
      <c r="F79" s="326">
        <f>F78</f>
        <v>5125000</v>
      </c>
      <c r="G79" s="326">
        <f>G78</f>
        <v>11025000</v>
      </c>
    </row>
    <row r="80" spans="1:8" x14ac:dyDescent="0.3">
      <c r="A80" s="314"/>
      <c r="C80" s="324"/>
      <c r="D80" s="325"/>
      <c r="E80" s="325"/>
      <c r="F80" s="325"/>
      <c r="G80" s="325"/>
    </row>
    <row r="81" spans="1:7" x14ac:dyDescent="0.3">
      <c r="A81" s="328" t="s">
        <v>489</v>
      </c>
      <c r="C81" s="324"/>
      <c r="D81" s="325"/>
      <c r="E81" s="325"/>
      <c r="F81" s="325"/>
      <c r="G81" s="325"/>
    </row>
    <row r="82" spans="1:7" x14ac:dyDescent="0.3">
      <c r="A82" s="314" t="s">
        <v>280</v>
      </c>
      <c r="C82" s="324"/>
      <c r="D82" s="323">
        <f>D48</f>
        <v>1000000</v>
      </c>
      <c r="E82" s="323">
        <f>E48</f>
        <v>1625000</v>
      </c>
      <c r="F82" s="323">
        <f>F48</f>
        <v>2675000</v>
      </c>
      <c r="G82" s="323">
        <f>D82+E82+F82</f>
        <v>5300000</v>
      </c>
    </row>
    <row r="83" spans="1:7" x14ac:dyDescent="0.3">
      <c r="A83" s="314" t="s">
        <v>279</v>
      </c>
      <c r="C83" s="324"/>
      <c r="D83" s="323">
        <f>D55</f>
        <v>375000</v>
      </c>
      <c r="E83" s="323">
        <f>E55</f>
        <v>500000</v>
      </c>
      <c r="F83" s="323">
        <f>F55</f>
        <v>312500</v>
      </c>
      <c r="G83" s="323">
        <f>G55</f>
        <v>1187500</v>
      </c>
    </row>
    <row r="84" spans="1:7" x14ac:dyDescent="0.3">
      <c r="A84" s="314" t="s">
        <v>475</v>
      </c>
      <c r="C84" s="324"/>
      <c r="D84" s="323">
        <f>C104</f>
        <v>500000</v>
      </c>
      <c r="E84" s="323">
        <f>D104</f>
        <v>500000</v>
      </c>
      <c r="F84" s="323">
        <f>E104</f>
        <v>500000</v>
      </c>
      <c r="G84" s="323">
        <f>F104</f>
        <v>1500000</v>
      </c>
    </row>
    <row r="85" spans="1:7" x14ac:dyDescent="0.3">
      <c r="A85" s="314" t="s">
        <v>278</v>
      </c>
      <c r="C85" s="324"/>
      <c r="D85" s="325"/>
      <c r="E85" s="325"/>
      <c r="F85" s="323">
        <f>F109</f>
        <v>69999.990000000005</v>
      </c>
      <c r="G85" s="323">
        <f t="shared" ref="G85:G90" si="0">D85+E85+F85</f>
        <v>69999.990000000005</v>
      </c>
    </row>
    <row r="86" spans="1:7" x14ac:dyDescent="0.3">
      <c r="A86" s="314" t="s">
        <v>277</v>
      </c>
      <c r="C86" s="324"/>
      <c r="D86" s="325"/>
      <c r="E86" s="325"/>
      <c r="F86" s="323">
        <v>2000000</v>
      </c>
      <c r="G86" s="323">
        <f t="shared" si="0"/>
        <v>2000000</v>
      </c>
    </row>
    <row r="87" spans="1:7" x14ac:dyDescent="0.3">
      <c r="A87" s="314" t="s">
        <v>492</v>
      </c>
      <c r="C87" s="324"/>
      <c r="D87" s="325"/>
      <c r="E87" s="323">
        <f>E68</f>
        <v>300000</v>
      </c>
      <c r="F87" s="325"/>
      <c r="G87" s="323">
        <f t="shared" si="0"/>
        <v>300000</v>
      </c>
    </row>
    <row r="88" spans="1:7" x14ac:dyDescent="0.3">
      <c r="A88" s="314" t="s">
        <v>477</v>
      </c>
      <c r="C88" s="324"/>
      <c r="D88" s="323">
        <f>H14</f>
        <v>150000</v>
      </c>
      <c r="E88" s="325"/>
      <c r="F88" s="325">
        <f>C105+D105</f>
        <v>141000</v>
      </c>
      <c r="G88" s="323">
        <f t="shared" si="0"/>
        <v>291000</v>
      </c>
    </row>
    <row r="89" spans="1:7" x14ac:dyDescent="0.3">
      <c r="A89" s="314" t="s">
        <v>276</v>
      </c>
      <c r="C89" s="324"/>
      <c r="D89" s="325"/>
      <c r="E89" s="325"/>
      <c r="F89" s="323">
        <f>H18</f>
        <v>100000</v>
      </c>
      <c r="G89" s="323">
        <f t="shared" si="0"/>
        <v>100000</v>
      </c>
    </row>
    <row r="90" spans="1:7" x14ac:dyDescent="0.3">
      <c r="A90" s="331" t="s">
        <v>275</v>
      </c>
      <c r="B90" s="335"/>
      <c r="C90" s="330"/>
      <c r="D90" s="337"/>
      <c r="E90" s="337">
        <f>H17/2</f>
        <v>250000</v>
      </c>
      <c r="F90" s="337"/>
      <c r="G90" s="329">
        <f t="shared" si="0"/>
        <v>250000</v>
      </c>
    </row>
    <row r="91" spans="1:7" x14ac:dyDescent="0.3">
      <c r="A91" s="328" t="s">
        <v>494</v>
      </c>
      <c r="B91" s="334"/>
      <c r="C91" s="327"/>
      <c r="D91" s="326">
        <f>D82+D83+D84+D85+D86+D87+D88+D89+D90</f>
        <v>2025000</v>
      </c>
      <c r="E91" s="326">
        <f>E82+E83+E84+E85+E86+E87+E88+E89+E90</f>
        <v>3175000</v>
      </c>
      <c r="F91" s="326">
        <f>F82+F83+F84+F85+F86+F87+F88+F89+F90</f>
        <v>5798499.9900000002</v>
      </c>
      <c r="G91" s="326">
        <f>G82+G83+G84+F85+F86+G87+G88+F89+G90</f>
        <v>10998499.99</v>
      </c>
    </row>
    <row r="92" spans="1:7" x14ac:dyDescent="0.3">
      <c r="A92" s="328"/>
      <c r="B92" s="334"/>
      <c r="C92" s="327"/>
      <c r="D92" s="326"/>
      <c r="E92" s="326"/>
      <c r="F92" s="326"/>
      <c r="G92" s="326"/>
    </row>
    <row r="93" spans="1:7" x14ac:dyDescent="0.3">
      <c r="A93" s="365" t="s">
        <v>50</v>
      </c>
      <c r="C93" s="324"/>
      <c r="D93" s="323">
        <f>D79-D91</f>
        <v>475000</v>
      </c>
      <c r="E93" s="323">
        <f>E79-E91</f>
        <v>225000</v>
      </c>
      <c r="F93" s="323">
        <f>F79-F91</f>
        <v>-673499.99000000022</v>
      </c>
      <c r="G93" s="323">
        <f>G79-G91</f>
        <v>26500.009999999776</v>
      </c>
    </row>
    <row r="94" spans="1:7" x14ac:dyDescent="0.3">
      <c r="A94" s="314"/>
      <c r="C94" s="324"/>
      <c r="D94" s="323"/>
      <c r="E94" s="323"/>
      <c r="F94" s="323"/>
      <c r="G94" s="323"/>
    </row>
    <row r="95" spans="1:7" x14ac:dyDescent="0.3">
      <c r="A95" s="314" t="s">
        <v>495</v>
      </c>
      <c r="C95" s="324"/>
      <c r="D95" s="323">
        <f>D13+D5-H12</f>
        <v>340000</v>
      </c>
      <c r="E95" s="323">
        <f>D96</f>
        <v>815000</v>
      </c>
      <c r="F95" s="323">
        <f>E96</f>
        <v>1040000</v>
      </c>
      <c r="G95" s="323">
        <f>D95</f>
        <v>340000</v>
      </c>
    </row>
    <row r="96" spans="1:7" x14ac:dyDescent="0.3">
      <c r="A96" s="336" t="s">
        <v>496</v>
      </c>
      <c r="B96" s="335"/>
      <c r="C96" s="330"/>
      <c r="D96" s="329">
        <f>D95+D93</f>
        <v>815000</v>
      </c>
      <c r="E96" s="329">
        <f>E95+E93</f>
        <v>1040000</v>
      </c>
      <c r="F96" s="329">
        <f>F95+F93</f>
        <v>366500.00999999978</v>
      </c>
      <c r="G96" s="329">
        <f>G95+G93</f>
        <v>366500.00999999978</v>
      </c>
    </row>
    <row r="99" spans="1:6" x14ac:dyDescent="0.3">
      <c r="A99" s="334" t="s">
        <v>274</v>
      </c>
    </row>
    <row r="100" spans="1:6" x14ac:dyDescent="0.3">
      <c r="A100" s="316"/>
      <c r="B100" s="333"/>
      <c r="C100" s="332" t="s">
        <v>472</v>
      </c>
      <c r="D100" s="332" t="s">
        <v>473</v>
      </c>
      <c r="E100" s="332" t="s">
        <v>503</v>
      </c>
      <c r="F100" s="332" t="s">
        <v>273</v>
      </c>
    </row>
    <row r="101" spans="1:6" x14ac:dyDescent="0.3">
      <c r="A101" s="314" t="s">
        <v>471</v>
      </c>
      <c r="B101" s="324"/>
      <c r="C101" s="323">
        <f>D27</f>
        <v>2000000</v>
      </c>
      <c r="D101" s="323">
        <f>E27</f>
        <v>3200000</v>
      </c>
      <c r="E101" s="323">
        <f>F27</f>
        <v>4700000</v>
      </c>
      <c r="F101" s="323">
        <f>C101+D101+E101</f>
        <v>9900000</v>
      </c>
    </row>
    <row r="102" spans="1:6" x14ac:dyDescent="0.3">
      <c r="A102" s="331" t="s">
        <v>408</v>
      </c>
      <c r="B102" s="330"/>
      <c r="C102" s="329">
        <f>C101*(1-D4)</f>
        <v>1400000</v>
      </c>
      <c r="D102" s="329">
        <f>D101*(1-D4)</f>
        <v>2240000</v>
      </c>
      <c r="E102" s="329">
        <f>E101*(1-D4)</f>
        <v>3290000</v>
      </c>
      <c r="F102" s="329">
        <f>C102+D102+E102</f>
        <v>6930000</v>
      </c>
    </row>
    <row r="103" spans="1:6" x14ac:dyDescent="0.3">
      <c r="A103" s="328" t="s">
        <v>505</v>
      </c>
      <c r="B103" s="327"/>
      <c r="C103" s="326">
        <f>C101-C102</f>
        <v>600000</v>
      </c>
      <c r="D103" s="326">
        <f>D101-D102</f>
        <v>960000</v>
      </c>
      <c r="E103" s="326">
        <f>E101-E102</f>
        <v>1410000</v>
      </c>
      <c r="F103" s="326">
        <f>F101-F102</f>
        <v>2970000</v>
      </c>
    </row>
    <row r="104" spans="1:6" x14ac:dyDescent="0.3">
      <c r="A104" s="314" t="s">
        <v>475</v>
      </c>
      <c r="B104" s="324"/>
      <c r="C104" s="323">
        <v>500000</v>
      </c>
      <c r="D104" s="323">
        <v>500000</v>
      </c>
      <c r="E104" s="323">
        <v>500000</v>
      </c>
      <c r="F104" s="323">
        <f>C104+D104+E104</f>
        <v>1500000</v>
      </c>
    </row>
    <row r="105" spans="1:6" x14ac:dyDescent="0.3">
      <c r="A105" s="314" t="s">
        <v>477</v>
      </c>
      <c r="B105" s="324"/>
      <c r="C105" s="325">
        <f>C104*0.141</f>
        <v>70500</v>
      </c>
      <c r="D105" s="325">
        <f>D104*0.141</f>
        <v>70500</v>
      </c>
      <c r="E105" s="325">
        <f>E104*0.141</f>
        <v>70500</v>
      </c>
      <c r="F105" s="325">
        <f>F104*0.141</f>
        <v>211499.99999999997</v>
      </c>
    </row>
    <row r="106" spans="1:6" x14ac:dyDescent="0.3">
      <c r="A106" s="314" t="s">
        <v>476</v>
      </c>
      <c r="B106" s="324"/>
      <c r="C106" s="323">
        <f>C104*0.12</f>
        <v>60000</v>
      </c>
      <c r="D106" s="323">
        <f>D104*0.12</f>
        <v>60000</v>
      </c>
      <c r="E106" s="323">
        <f>E104*0.12</f>
        <v>60000</v>
      </c>
      <c r="F106" s="323">
        <f>C106+D106+E106</f>
        <v>180000</v>
      </c>
    </row>
    <row r="107" spans="1:6" x14ac:dyDescent="0.3">
      <c r="A107" s="314" t="s">
        <v>272</v>
      </c>
      <c r="B107" s="324"/>
      <c r="C107" s="323">
        <f>D53</f>
        <v>300000</v>
      </c>
      <c r="D107" s="323">
        <f>E53</f>
        <v>400000</v>
      </c>
      <c r="E107" s="323">
        <f>F53</f>
        <v>250000</v>
      </c>
      <c r="F107" s="323">
        <f>C107+D107+E107</f>
        <v>950000</v>
      </c>
    </row>
    <row r="108" spans="1:6" x14ac:dyDescent="0.3">
      <c r="A108" s="314" t="s">
        <v>480</v>
      </c>
      <c r="B108" s="324"/>
      <c r="C108" s="323">
        <v>50000</v>
      </c>
      <c r="D108" s="323">
        <v>50000</v>
      </c>
      <c r="E108" s="323">
        <v>50000</v>
      </c>
      <c r="F108" s="323">
        <f>C108+D108+E108</f>
        <v>150000</v>
      </c>
    </row>
    <row r="109" spans="1:6" x14ac:dyDescent="0.3">
      <c r="A109" s="322" t="s">
        <v>271</v>
      </c>
      <c r="B109" s="321"/>
      <c r="C109" s="320">
        <v>23333.33</v>
      </c>
      <c r="D109" s="320">
        <v>23333.33</v>
      </c>
      <c r="E109" s="320">
        <v>23333.33</v>
      </c>
      <c r="F109" s="320">
        <f>C109+D109+E109</f>
        <v>69999.990000000005</v>
      </c>
    </row>
    <row r="110" spans="1:6" x14ac:dyDescent="0.3">
      <c r="A110" s="319" t="s">
        <v>497</v>
      </c>
      <c r="B110" s="318"/>
      <c r="C110" s="317">
        <f>C103-C104-C105-C106-C107-C108-C109</f>
        <v>-403833.33</v>
      </c>
      <c r="D110" s="317">
        <f>D103-D104-D105-D106-D107-D108-D109</f>
        <v>-143833.33000000002</v>
      </c>
      <c r="E110" s="317">
        <f>E103-E104-E105-E106-E107-E108-E109</f>
        <v>456166.67</v>
      </c>
      <c r="F110" s="317">
        <f>F103-F104-F105-F106-F107-F108-F109</f>
        <v>-91499.99</v>
      </c>
    </row>
    <row r="113" spans="1:8" x14ac:dyDescent="0.3">
      <c r="A113" s="435" t="s">
        <v>51</v>
      </c>
      <c r="B113" s="435"/>
      <c r="C113" s="435"/>
      <c r="D113" s="435"/>
      <c r="E113" s="435"/>
      <c r="F113" s="435"/>
      <c r="G113" s="435"/>
      <c r="H113" s="435"/>
    </row>
    <row r="114" spans="1:8" x14ac:dyDescent="0.3">
      <c r="A114" s="306" t="s">
        <v>270</v>
      </c>
      <c r="D114" s="310">
        <f>D9-50000</f>
        <v>3950000</v>
      </c>
      <c r="E114" s="316" t="s">
        <v>269</v>
      </c>
      <c r="H114" s="310">
        <v>1430000</v>
      </c>
    </row>
    <row r="115" spans="1:8" x14ac:dyDescent="0.3">
      <c r="A115" s="306" t="s">
        <v>268</v>
      </c>
      <c r="D115" s="310">
        <f>D10-100000</f>
        <v>2400000</v>
      </c>
      <c r="E115" s="314" t="s">
        <v>267</v>
      </c>
      <c r="H115" s="310">
        <f>H10+F110</f>
        <v>908500.01</v>
      </c>
    </row>
    <row r="116" spans="1:8" x14ac:dyDescent="0.3">
      <c r="A116" s="306" t="s">
        <v>266</v>
      </c>
      <c r="D116" s="310">
        <f>D11+D41+E41+F41</f>
        <v>2700000</v>
      </c>
      <c r="E116" s="314" t="s">
        <v>265</v>
      </c>
      <c r="H116" s="310">
        <f>H11-F86</f>
        <v>2210000</v>
      </c>
    </row>
    <row r="117" spans="1:8" x14ac:dyDescent="0.3">
      <c r="A117" s="306" t="s">
        <v>264</v>
      </c>
      <c r="D117" s="310">
        <f>G34</f>
        <v>2350000</v>
      </c>
      <c r="E117" s="314" t="s">
        <v>263</v>
      </c>
      <c r="H117" s="310">
        <f>H12-G93</f>
        <v>1173499.9900000002</v>
      </c>
    </row>
    <row r="118" spans="1:8" x14ac:dyDescent="0.3">
      <c r="A118" s="306" t="s">
        <v>262</v>
      </c>
      <c r="D118" s="310">
        <v>40000</v>
      </c>
      <c r="E118" s="314" t="s">
        <v>261</v>
      </c>
      <c r="H118" s="310">
        <f>G48</f>
        <v>3987500</v>
      </c>
    </row>
    <row r="119" spans="1:8" x14ac:dyDescent="0.3">
      <c r="E119" s="315" t="s">
        <v>477</v>
      </c>
      <c r="H119" s="310">
        <f>E105</f>
        <v>70500</v>
      </c>
    </row>
    <row r="120" spans="1:8" x14ac:dyDescent="0.3">
      <c r="D120" s="310"/>
      <c r="E120" s="314" t="s">
        <v>260</v>
      </c>
      <c r="H120" s="310">
        <f>H15+F106</f>
        <v>830000</v>
      </c>
    </row>
    <row r="121" spans="1:8" x14ac:dyDescent="0.3">
      <c r="E121" s="314" t="s">
        <v>259</v>
      </c>
      <c r="H121" s="310">
        <f>G63</f>
        <v>580000</v>
      </c>
    </row>
    <row r="122" spans="1:8" x14ac:dyDescent="0.3">
      <c r="E122" s="314" t="s">
        <v>258</v>
      </c>
      <c r="H122" s="310">
        <f>H17-E90</f>
        <v>250000</v>
      </c>
    </row>
    <row r="123" spans="1:8" x14ac:dyDescent="0.3">
      <c r="E123" s="314" t="s">
        <v>257</v>
      </c>
      <c r="H123" s="310">
        <f>H18-F89</f>
        <v>0</v>
      </c>
    </row>
    <row r="124" spans="1:8" x14ac:dyDescent="0.3">
      <c r="A124" s="312" t="s">
        <v>256</v>
      </c>
      <c r="B124" s="312"/>
      <c r="C124" s="312"/>
      <c r="D124" s="313">
        <f>D118+D117+D116+D114+D115+D120</f>
        <v>11440000</v>
      </c>
      <c r="E124" s="312"/>
      <c r="F124" s="312"/>
      <c r="G124" s="312"/>
      <c r="H124" s="311">
        <f>H114+H115+H116+H117+H118+H119+H120+H121+H122+H123</f>
        <v>11440000</v>
      </c>
    </row>
    <row r="125" spans="1:8" x14ac:dyDescent="0.3">
      <c r="H125" s="310"/>
    </row>
    <row r="127" spans="1:8" x14ac:dyDescent="0.3">
      <c r="A127" s="309" t="s">
        <v>255</v>
      </c>
    </row>
    <row r="129" spans="1:1" x14ac:dyDescent="0.3">
      <c r="A129" s="364" t="s">
        <v>55</v>
      </c>
    </row>
    <row r="130" spans="1:1" x14ac:dyDescent="0.3">
      <c r="A130" s="364" t="s">
        <v>52</v>
      </c>
    </row>
    <row r="131" spans="1:1" x14ac:dyDescent="0.3">
      <c r="A131" s="364" t="s">
        <v>53</v>
      </c>
    </row>
    <row r="132" spans="1:1" x14ac:dyDescent="0.3">
      <c r="A132" s="364" t="s">
        <v>54</v>
      </c>
    </row>
    <row r="133" spans="1:1" x14ac:dyDescent="0.3">
      <c r="A133" s="369" t="s">
        <v>56</v>
      </c>
    </row>
    <row r="134" spans="1:1" x14ac:dyDescent="0.3">
      <c r="A134" s="369" t="s">
        <v>57</v>
      </c>
    </row>
    <row r="135" spans="1:1" x14ac:dyDescent="0.3">
      <c r="A135" s="364" t="s">
        <v>58</v>
      </c>
    </row>
    <row r="136" spans="1:1" x14ac:dyDescent="0.3">
      <c r="A136" s="364" t="s">
        <v>29</v>
      </c>
    </row>
    <row r="137" spans="1:1" x14ac:dyDescent="0.3">
      <c r="A137" s="369" t="s">
        <v>30</v>
      </c>
    </row>
    <row r="138" spans="1:1" x14ac:dyDescent="0.3">
      <c r="A138" s="369" t="s">
        <v>31</v>
      </c>
    </row>
    <row r="139" spans="1:1" x14ac:dyDescent="0.3">
      <c r="A139" s="370" t="s">
        <v>32</v>
      </c>
    </row>
    <row r="140" spans="1:1" x14ac:dyDescent="0.3">
      <c r="A140" s="364" t="s">
        <v>33</v>
      </c>
    </row>
    <row r="141" spans="1:1" x14ac:dyDescent="0.3">
      <c r="A141" s="364" t="s">
        <v>34</v>
      </c>
    </row>
  </sheetData>
  <mergeCells count="2">
    <mergeCell ref="A8:H8"/>
    <mergeCell ref="A113:H11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horizontalDpi="4294967293" r:id="rId1"/>
  <headerFooter>
    <oddHeader>&amp;A&amp;RSide &amp;P</oddHeader>
    <oddFooter>&amp;CLøsninger kapittel 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46"/>
  <sheetViews>
    <sheetView zoomScale="125" workbookViewId="0">
      <selection activeCell="J44" sqref="J44"/>
    </sheetView>
  </sheetViews>
  <sheetFormatPr baseColWidth="10" defaultColWidth="10.6640625" defaultRowHeight="14.4" x14ac:dyDescent="0.3"/>
  <cols>
    <col min="1" max="2" width="10.6640625" style="306"/>
    <col min="3" max="3" width="13.33203125" style="306" bestFit="1" customWidth="1"/>
    <col min="4" max="4" width="14.33203125" style="306" bestFit="1" customWidth="1"/>
    <col min="5" max="6" width="13.44140625" style="306" bestFit="1" customWidth="1"/>
    <col min="7" max="7" width="14.44140625" style="306" bestFit="1" customWidth="1"/>
    <col min="8" max="8" width="12.109375" style="306" customWidth="1"/>
    <col min="9" max="16384" width="10.6640625" style="306"/>
  </cols>
  <sheetData>
    <row r="1" spans="1:7" x14ac:dyDescent="0.3">
      <c r="A1" s="334" t="s">
        <v>226</v>
      </c>
    </row>
    <row r="3" spans="1:7" x14ac:dyDescent="0.3">
      <c r="A3" s="364" t="s">
        <v>35</v>
      </c>
      <c r="D3" s="350">
        <v>0.25</v>
      </c>
    </row>
    <row r="4" spans="1:7" x14ac:dyDescent="0.3">
      <c r="A4" s="306" t="s">
        <v>298</v>
      </c>
      <c r="D4" s="350">
        <v>0.25</v>
      </c>
    </row>
    <row r="5" spans="1:7" x14ac:dyDescent="0.3">
      <c r="A5" s="306" t="s">
        <v>297</v>
      </c>
      <c r="D5" s="310">
        <v>4600000</v>
      </c>
    </row>
    <row r="6" spans="1:7" x14ac:dyDescent="0.3">
      <c r="A6" s="364" t="s">
        <v>40</v>
      </c>
      <c r="D6" s="350">
        <v>0.4</v>
      </c>
    </row>
    <row r="7" spans="1:7" x14ac:dyDescent="0.3">
      <c r="A7" s="364" t="s">
        <v>41</v>
      </c>
      <c r="D7" s="350">
        <v>0.6</v>
      </c>
      <c r="E7" s="350"/>
    </row>
    <row r="9" spans="1:7" x14ac:dyDescent="0.3">
      <c r="A9" s="434" t="s">
        <v>296</v>
      </c>
      <c r="B9" s="434"/>
      <c r="C9" s="434"/>
      <c r="D9" s="434"/>
      <c r="E9" s="434"/>
      <c r="F9" s="434"/>
      <c r="G9" s="434"/>
    </row>
    <row r="10" spans="1:7" x14ac:dyDescent="0.3">
      <c r="A10" s="306" t="s">
        <v>270</v>
      </c>
      <c r="D10" s="310">
        <v>7481000</v>
      </c>
      <c r="E10" s="316" t="s">
        <v>269</v>
      </c>
      <c r="G10" s="310">
        <v>2000000</v>
      </c>
    </row>
    <row r="11" spans="1:7" x14ac:dyDescent="0.3">
      <c r="A11" s="306" t="s">
        <v>268</v>
      </c>
      <c r="D11" s="310">
        <v>3150000</v>
      </c>
      <c r="E11" s="314" t="s">
        <v>295</v>
      </c>
      <c r="G11" s="310">
        <v>2000000</v>
      </c>
    </row>
    <row r="12" spans="1:7" x14ac:dyDescent="0.3">
      <c r="A12" s="306" t="s">
        <v>266</v>
      </c>
      <c r="D12" s="310">
        <v>6150000</v>
      </c>
      <c r="E12" s="314" t="s">
        <v>265</v>
      </c>
      <c r="G12" s="310">
        <v>4860000</v>
      </c>
    </row>
    <row r="13" spans="1:7" x14ac:dyDescent="0.3">
      <c r="A13" s="306" t="s">
        <v>264</v>
      </c>
      <c r="D13" s="310">
        <v>2214000</v>
      </c>
      <c r="E13" s="314" t="s">
        <v>263</v>
      </c>
      <c r="G13" s="310">
        <v>2700000</v>
      </c>
    </row>
    <row r="14" spans="1:7" x14ac:dyDescent="0.3">
      <c r="A14" s="306" t="s">
        <v>262</v>
      </c>
      <c r="D14" s="310">
        <v>80000</v>
      </c>
      <c r="E14" s="314" t="s">
        <v>261</v>
      </c>
      <c r="G14" s="310">
        <v>5535000</v>
      </c>
    </row>
    <row r="15" spans="1:7" x14ac:dyDescent="0.3">
      <c r="E15" s="315" t="s">
        <v>477</v>
      </c>
      <c r="G15" s="310">
        <v>230000</v>
      </c>
    </row>
    <row r="16" spans="1:7" x14ac:dyDescent="0.3">
      <c r="E16" s="314" t="s">
        <v>259</v>
      </c>
      <c r="G16" s="310">
        <v>350000</v>
      </c>
    </row>
    <row r="17" spans="1:8" x14ac:dyDescent="0.3">
      <c r="E17" s="314" t="s">
        <v>258</v>
      </c>
      <c r="G17" s="310">
        <v>1000000</v>
      </c>
    </row>
    <row r="18" spans="1:8" x14ac:dyDescent="0.3">
      <c r="E18" s="314" t="s">
        <v>257</v>
      </c>
      <c r="G18" s="310">
        <v>400000</v>
      </c>
    </row>
    <row r="19" spans="1:8" x14ac:dyDescent="0.3">
      <c r="A19" s="312" t="s">
        <v>256</v>
      </c>
      <c r="B19" s="312"/>
      <c r="C19" s="312"/>
      <c r="D19" s="313">
        <f>D14+D13+D12+D10+D11</f>
        <v>19075000</v>
      </c>
      <c r="E19" s="312"/>
      <c r="F19" s="312"/>
      <c r="G19" s="311">
        <f>SUM(G10:G18)</f>
        <v>19075000</v>
      </c>
    </row>
    <row r="20" spans="1:8" x14ac:dyDescent="0.3">
      <c r="H20" s="310"/>
    </row>
    <row r="23" spans="1:8" x14ac:dyDescent="0.3">
      <c r="A23" s="306" t="s">
        <v>294</v>
      </c>
    </row>
    <row r="24" spans="1:8" x14ac:dyDescent="0.3">
      <c r="D24" s="343" t="s">
        <v>472</v>
      </c>
      <c r="E24" s="343" t="s">
        <v>473</v>
      </c>
      <c r="F24" s="343" t="s">
        <v>503</v>
      </c>
      <c r="G24" s="343" t="s">
        <v>293</v>
      </c>
    </row>
    <row r="25" spans="1:8" x14ac:dyDescent="0.3">
      <c r="A25" s="306" t="s">
        <v>524</v>
      </c>
      <c r="D25" s="310">
        <f>D27*D6</f>
        <v>2000000</v>
      </c>
      <c r="E25" s="310">
        <f>E27*D6</f>
        <v>2080000</v>
      </c>
      <c r="F25" s="310">
        <f>F27*D6</f>
        <v>2680000</v>
      </c>
      <c r="G25" s="310">
        <f>D25+E25+F25</f>
        <v>6760000</v>
      </c>
    </row>
    <row r="26" spans="1:8" x14ac:dyDescent="0.3">
      <c r="A26" s="366" t="s">
        <v>4</v>
      </c>
      <c r="B26" s="335"/>
      <c r="C26" s="335"/>
      <c r="D26" s="348">
        <f>D27*D7</f>
        <v>3000000</v>
      </c>
      <c r="E26" s="348">
        <f>E27*D7</f>
        <v>3120000</v>
      </c>
      <c r="F26" s="348">
        <f>F27*D7</f>
        <v>4020000</v>
      </c>
      <c r="G26" s="348">
        <f>D26+E26+F26</f>
        <v>10140000</v>
      </c>
    </row>
    <row r="27" spans="1:8" x14ac:dyDescent="0.3">
      <c r="A27" s="306" t="s">
        <v>291</v>
      </c>
      <c r="D27" s="310">
        <v>5000000</v>
      </c>
      <c r="E27" s="310">
        <v>5200000</v>
      </c>
      <c r="F27" s="310">
        <v>6700000</v>
      </c>
      <c r="G27" s="310">
        <f>D27+E27+F27</f>
        <v>16900000</v>
      </c>
    </row>
    <row r="28" spans="1:8" x14ac:dyDescent="0.3">
      <c r="A28" s="366" t="s">
        <v>36</v>
      </c>
      <c r="B28" s="335"/>
      <c r="C28" s="335"/>
      <c r="D28" s="348">
        <f>D27*MVA</f>
        <v>1250000</v>
      </c>
      <c r="E28" s="348">
        <f>E27*MVA</f>
        <v>1300000</v>
      </c>
      <c r="F28" s="348">
        <f>F27*MVA</f>
        <v>1675000</v>
      </c>
      <c r="G28" s="348">
        <f>G27*MVA</f>
        <v>4225000</v>
      </c>
    </row>
    <row r="29" spans="1:8" x14ac:dyDescent="0.3">
      <c r="A29" s="366" t="s">
        <v>37</v>
      </c>
      <c r="B29" s="335"/>
      <c r="C29" s="335"/>
      <c r="D29" s="348">
        <f>D27+D28</f>
        <v>6250000</v>
      </c>
      <c r="E29" s="348">
        <f>E27+E28</f>
        <v>6500000</v>
      </c>
      <c r="F29" s="348">
        <f>F27+F28</f>
        <v>8375000</v>
      </c>
      <c r="G29" s="348">
        <f>G27+G28</f>
        <v>21125000</v>
      </c>
    </row>
    <row r="30" spans="1:8" x14ac:dyDescent="0.3">
      <c r="D30" s="310"/>
    </row>
    <row r="31" spans="1:8" x14ac:dyDescent="0.3">
      <c r="A31" s="334" t="s">
        <v>81</v>
      </c>
    </row>
    <row r="32" spans="1:8" x14ac:dyDescent="0.3">
      <c r="D32" s="342" t="s">
        <v>472</v>
      </c>
      <c r="E32" s="342" t="s">
        <v>473</v>
      </c>
      <c r="F32" s="342" t="s">
        <v>503</v>
      </c>
      <c r="G32" s="342" t="s">
        <v>508</v>
      </c>
    </row>
    <row r="33" spans="1:7" x14ac:dyDescent="0.3">
      <c r="A33" s="371" t="s">
        <v>82</v>
      </c>
      <c r="B33" s="312"/>
      <c r="C33" s="338"/>
      <c r="D33" s="340">
        <f>D25+(D25*MVA)</f>
        <v>2500000</v>
      </c>
      <c r="E33" s="340">
        <f>E25+(E25*MVA)</f>
        <v>2600000</v>
      </c>
      <c r="F33" s="340">
        <f>F25+(F25*MVA)</f>
        <v>3350000</v>
      </c>
      <c r="G33" s="340"/>
    </row>
    <row r="34" spans="1:7" x14ac:dyDescent="0.3">
      <c r="A34" s="356" t="s">
        <v>225</v>
      </c>
      <c r="B34" s="312"/>
      <c r="C34" s="338"/>
      <c r="D34" s="340">
        <f>D13</f>
        <v>2214000</v>
      </c>
      <c r="E34" s="340">
        <f>D35</f>
        <v>1875000</v>
      </c>
      <c r="F34" s="340">
        <f>E35</f>
        <v>1950000</v>
      </c>
      <c r="G34" s="340"/>
    </row>
    <row r="35" spans="1:7" x14ac:dyDescent="0.3">
      <c r="A35" s="339" t="s">
        <v>224</v>
      </c>
      <c r="B35" s="312"/>
      <c r="C35" s="338"/>
      <c r="D35" s="340">
        <f>(D26+(D26*MVA))/2</f>
        <v>1875000</v>
      </c>
      <c r="E35" s="340">
        <f>(E26+E26*MVA)/2</f>
        <v>1950000</v>
      </c>
      <c r="F35" s="340">
        <f>(F26+F26*MVA)/2</f>
        <v>2512500</v>
      </c>
      <c r="G35" s="340">
        <f>F35</f>
        <v>2512500</v>
      </c>
    </row>
    <row r="36" spans="1:7" x14ac:dyDescent="0.3">
      <c r="A36" s="339" t="s">
        <v>290</v>
      </c>
      <c r="B36" s="312"/>
      <c r="C36" s="338"/>
      <c r="D36" s="340">
        <f>SUM(D33:D35)</f>
        <v>6589000</v>
      </c>
      <c r="E36" s="340">
        <f>SUM(E33:E35)</f>
        <v>6425000</v>
      </c>
      <c r="F36" s="340">
        <f>SUM(F33:F35)</f>
        <v>7812500</v>
      </c>
      <c r="G36" s="340"/>
    </row>
    <row r="38" spans="1:7" x14ac:dyDescent="0.3">
      <c r="A38" s="309" t="s">
        <v>289</v>
      </c>
    </row>
    <row r="39" spans="1:7" x14ac:dyDescent="0.3">
      <c r="D39" s="332" t="s">
        <v>472</v>
      </c>
      <c r="E39" s="332" t="s">
        <v>473</v>
      </c>
      <c r="F39" s="332" t="s">
        <v>503</v>
      </c>
    </row>
    <row r="40" spans="1:7" x14ac:dyDescent="0.3">
      <c r="A40" s="316" t="s">
        <v>408</v>
      </c>
      <c r="B40" s="346"/>
      <c r="C40" s="333"/>
      <c r="D40" s="323">
        <f>D27*(1-BTOfortj)</f>
        <v>3750000</v>
      </c>
      <c r="E40" s="323">
        <f>E27*(1-BTOfortj)</f>
        <v>3900000</v>
      </c>
      <c r="F40" s="323">
        <f>F27*(1-BTOfortj)</f>
        <v>5025000</v>
      </c>
    </row>
    <row r="41" spans="1:7" x14ac:dyDescent="0.3">
      <c r="A41" s="331" t="s">
        <v>543</v>
      </c>
      <c r="B41" s="335"/>
      <c r="C41" s="330"/>
      <c r="D41" s="329">
        <v>100000</v>
      </c>
      <c r="E41" s="329">
        <v>100000</v>
      </c>
      <c r="F41" s="329">
        <v>100000</v>
      </c>
    </row>
    <row r="42" spans="1:7" x14ac:dyDescent="0.3">
      <c r="A42" s="365" t="s">
        <v>83</v>
      </c>
      <c r="C42" s="324"/>
      <c r="D42" s="323">
        <f>D40+D41</f>
        <v>3850000</v>
      </c>
      <c r="E42" s="323">
        <f>E40+E41</f>
        <v>4000000</v>
      </c>
      <c r="F42" s="323">
        <f>F40+F41</f>
        <v>5125000</v>
      </c>
    </row>
    <row r="43" spans="1:7" x14ac:dyDescent="0.3">
      <c r="A43" s="322" t="s">
        <v>36</v>
      </c>
      <c r="B43" s="335"/>
      <c r="C43" s="330"/>
      <c r="D43" s="329">
        <f>D42*MVA</f>
        <v>962500</v>
      </c>
      <c r="E43" s="329">
        <f>E42*MVA</f>
        <v>1000000</v>
      </c>
      <c r="F43" s="329">
        <f>F42*MVA</f>
        <v>1281250</v>
      </c>
    </row>
    <row r="44" spans="1:7" x14ac:dyDescent="0.3">
      <c r="A44" s="322" t="s">
        <v>141</v>
      </c>
      <c r="B44" s="335"/>
      <c r="C44" s="330"/>
      <c r="D44" s="329">
        <f>D42+D43</f>
        <v>4812500</v>
      </c>
      <c r="E44" s="329">
        <f>E42+E43</f>
        <v>5000000</v>
      </c>
      <c r="F44" s="329">
        <f>F42+F43</f>
        <v>6406250</v>
      </c>
    </row>
    <row r="46" spans="1:7" x14ac:dyDescent="0.3">
      <c r="A46" s="334" t="s">
        <v>39</v>
      </c>
    </row>
    <row r="47" spans="1:7" x14ac:dyDescent="0.3">
      <c r="D47" s="332" t="s">
        <v>472</v>
      </c>
      <c r="E47" s="332" t="s">
        <v>473</v>
      </c>
      <c r="F47" s="332" t="s">
        <v>503</v>
      </c>
      <c r="G47" s="332" t="s">
        <v>508</v>
      </c>
    </row>
    <row r="48" spans="1:7" x14ac:dyDescent="0.3">
      <c r="A48" s="339" t="s">
        <v>287</v>
      </c>
      <c r="B48" s="312"/>
      <c r="C48" s="338"/>
      <c r="D48" s="340">
        <f>G14</f>
        <v>5535000</v>
      </c>
      <c r="E48" s="340">
        <f>D44</f>
        <v>4812500</v>
      </c>
      <c r="F48" s="340">
        <f>E44</f>
        <v>5000000</v>
      </c>
      <c r="G48" s="340">
        <f>F44</f>
        <v>6406250</v>
      </c>
    </row>
    <row r="51" spans="1:7" x14ac:dyDescent="0.3">
      <c r="A51" s="334" t="s">
        <v>38</v>
      </c>
    </row>
    <row r="52" spans="1:7" x14ac:dyDescent="0.3">
      <c r="D52" s="332" t="s">
        <v>472</v>
      </c>
      <c r="E52" s="332" t="s">
        <v>473</v>
      </c>
      <c r="F52" s="332" t="s">
        <v>503</v>
      </c>
      <c r="G52" s="332" t="s">
        <v>273</v>
      </c>
    </row>
    <row r="53" spans="1:7" x14ac:dyDescent="0.3">
      <c r="A53" s="316" t="s">
        <v>288</v>
      </c>
      <c r="B53" s="346"/>
      <c r="C53" s="333"/>
      <c r="D53" s="323">
        <v>600000</v>
      </c>
      <c r="E53" s="323">
        <v>620000</v>
      </c>
      <c r="F53" s="323">
        <v>780000</v>
      </c>
      <c r="G53" s="323">
        <f>D53+E53+F53</f>
        <v>2000000</v>
      </c>
    </row>
    <row r="54" spans="1:7" x14ac:dyDescent="0.3">
      <c r="A54" s="322" t="s">
        <v>36</v>
      </c>
      <c r="B54" s="335"/>
      <c r="C54" s="330"/>
      <c r="D54" s="329">
        <v>150000</v>
      </c>
      <c r="E54" s="329">
        <v>155000</v>
      </c>
      <c r="F54" s="329">
        <v>195000</v>
      </c>
      <c r="G54" s="329">
        <f>D54+E54+F54</f>
        <v>500000</v>
      </c>
    </row>
    <row r="55" spans="1:7" x14ac:dyDescent="0.3">
      <c r="A55" s="331" t="s">
        <v>287</v>
      </c>
      <c r="B55" s="335"/>
      <c r="C55" s="330"/>
      <c r="D55" s="329">
        <f>D53+D54</f>
        <v>750000</v>
      </c>
      <c r="E55" s="329">
        <f>E53+E54</f>
        <v>775000</v>
      </c>
      <c r="F55" s="329">
        <f>F53+F54</f>
        <v>975000</v>
      </c>
      <c r="G55" s="329">
        <f>G53+G54</f>
        <v>2500000</v>
      </c>
    </row>
    <row r="58" spans="1:7" x14ac:dyDescent="0.3">
      <c r="A58" s="334" t="s">
        <v>286</v>
      </c>
    </row>
    <row r="59" spans="1:7" x14ac:dyDescent="0.3">
      <c r="D59" s="332" t="s">
        <v>472</v>
      </c>
      <c r="E59" s="332" t="s">
        <v>473</v>
      </c>
      <c r="F59" s="332" t="s">
        <v>503</v>
      </c>
      <c r="G59" s="332" t="s">
        <v>273</v>
      </c>
    </row>
    <row r="60" spans="1:7" x14ac:dyDescent="0.3">
      <c r="A60" s="372" t="s">
        <v>86</v>
      </c>
      <c r="B60" s="346"/>
      <c r="C60" s="333"/>
      <c r="D60" s="323">
        <f>D28</f>
        <v>1250000</v>
      </c>
      <c r="E60" s="323">
        <f>E28</f>
        <v>1300000</v>
      </c>
      <c r="F60" s="323">
        <f>F28</f>
        <v>1675000</v>
      </c>
      <c r="G60" s="323">
        <f>D60+E60+F60</f>
        <v>4225000</v>
      </c>
    </row>
    <row r="61" spans="1:7" x14ac:dyDescent="0.3">
      <c r="A61" s="365" t="s">
        <v>87</v>
      </c>
      <c r="C61" s="324"/>
      <c r="D61" s="323">
        <f>D43</f>
        <v>962500</v>
      </c>
      <c r="E61" s="323">
        <f>E43</f>
        <v>1000000</v>
      </c>
      <c r="F61" s="323">
        <f>F43</f>
        <v>1281250</v>
      </c>
      <c r="G61" s="323">
        <f>D61+E61+F61</f>
        <v>3243750</v>
      </c>
    </row>
    <row r="62" spans="1:7" x14ac:dyDescent="0.3">
      <c r="A62" s="365" t="s">
        <v>42</v>
      </c>
      <c r="C62" s="324"/>
      <c r="D62" s="323"/>
      <c r="E62" s="323"/>
      <c r="F62" s="323">
        <v>90000</v>
      </c>
      <c r="G62" s="323">
        <v>90000</v>
      </c>
    </row>
    <row r="63" spans="1:7" x14ac:dyDescent="0.3">
      <c r="A63" s="322" t="s">
        <v>88</v>
      </c>
      <c r="B63" s="335"/>
      <c r="C63" s="330"/>
      <c r="D63" s="329">
        <f>D54</f>
        <v>150000</v>
      </c>
      <c r="E63" s="329">
        <f>E54</f>
        <v>155000</v>
      </c>
      <c r="F63" s="329">
        <f>F54</f>
        <v>195000</v>
      </c>
      <c r="G63" s="329">
        <f>G54</f>
        <v>500000</v>
      </c>
    </row>
    <row r="64" spans="1:7" x14ac:dyDescent="0.3">
      <c r="A64" s="322" t="s">
        <v>46</v>
      </c>
      <c r="B64" s="335"/>
      <c r="C64" s="330"/>
      <c r="D64" s="329">
        <f>D60-D61-D63</f>
        <v>137500</v>
      </c>
      <c r="E64" s="329">
        <f>E60-E61-E63</f>
        <v>145000</v>
      </c>
      <c r="F64" s="329">
        <f>F60-F61-F63-F62</f>
        <v>108750</v>
      </c>
      <c r="G64" s="329">
        <f>G60-G61-G62-G63</f>
        <v>391250</v>
      </c>
    </row>
    <row r="66" spans="1:8" x14ac:dyDescent="0.3">
      <c r="A66" s="306" t="s">
        <v>285</v>
      </c>
    </row>
    <row r="68" spans="1:8" x14ac:dyDescent="0.3">
      <c r="D68" s="332" t="s">
        <v>472</v>
      </c>
      <c r="E68" s="332" t="s">
        <v>473</v>
      </c>
      <c r="F68" s="332" t="s">
        <v>503</v>
      </c>
      <c r="G68" s="332" t="s">
        <v>508</v>
      </c>
    </row>
    <row r="69" spans="1:8" x14ac:dyDescent="0.3">
      <c r="A69" s="372" t="s">
        <v>47</v>
      </c>
      <c r="B69" s="346"/>
      <c r="C69" s="333"/>
      <c r="D69" s="323"/>
      <c r="E69" s="323">
        <f>G16</f>
        <v>350000</v>
      </c>
      <c r="F69" s="325"/>
      <c r="G69" s="325"/>
    </row>
    <row r="70" spans="1:8" x14ac:dyDescent="0.3">
      <c r="A70" s="314" t="s">
        <v>284</v>
      </c>
      <c r="C70" s="324"/>
      <c r="D70" s="325"/>
      <c r="E70" s="325"/>
      <c r="F70" s="325"/>
      <c r="G70" s="323">
        <f>D64+E64</f>
        <v>282500</v>
      </c>
      <c r="H70" s="364" t="s">
        <v>43</v>
      </c>
    </row>
    <row r="71" spans="1:8" x14ac:dyDescent="0.3">
      <c r="A71" s="331" t="s">
        <v>283</v>
      </c>
      <c r="B71" s="335"/>
      <c r="C71" s="330"/>
      <c r="D71" s="325"/>
      <c r="E71" s="325"/>
      <c r="F71" s="325"/>
      <c r="G71" s="323">
        <f>F64</f>
        <v>108750</v>
      </c>
      <c r="H71" s="364" t="s">
        <v>49</v>
      </c>
    </row>
    <row r="72" spans="1:8" x14ac:dyDescent="0.3">
      <c r="A72" s="312" t="s">
        <v>287</v>
      </c>
      <c r="B72" s="312"/>
      <c r="C72" s="338"/>
      <c r="D72" s="341"/>
      <c r="E72" s="340">
        <f>SUM(E69:E71)</f>
        <v>350000</v>
      </c>
      <c r="F72" s="341"/>
      <c r="G72" s="340">
        <f>SUM(G69:G71)</f>
        <v>391250</v>
      </c>
    </row>
    <row r="75" spans="1:8" x14ac:dyDescent="0.3">
      <c r="A75" s="316" t="s">
        <v>282</v>
      </c>
      <c r="B75" s="346"/>
      <c r="C75" s="333"/>
      <c r="D75" s="332" t="s">
        <v>472</v>
      </c>
      <c r="E75" s="332" t="s">
        <v>473</v>
      </c>
      <c r="F75" s="332" t="s">
        <v>503</v>
      </c>
      <c r="G75" s="332" t="s">
        <v>273</v>
      </c>
    </row>
    <row r="76" spans="1:8" x14ac:dyDescent="0.3">
      <c r="A76" s="314"/>
      <c r="C76" s="324"/>
      <c r="D76" s="325"/>
      <c r="E76" s="325"/>
      <c r="F76" s="325"/>
      <c r="G76" s="325"/>
    </row>
    <row r="77" spans="1:8" x14ac:dyDescent="0.3">
      <c r="A77" s="328" t="s">
        <v>509</v>
      </c>
      <c r="C77" s="324"/>
      <c r="D77" s="325"/>
      <c r="E77" s="325"/>
      <c r="F77" s="325"/>
      <c r="G77" s="325"/>
    </row>
    <row r="78" spans="1:8" x14ac:dyDescent="0.3">
      <c r="A78" s="331" t="s">
        <v>488</v>
      </c>
      <c r="B78" s="335"/>
      <c r="C78" s="330"/>
      <c r="D78" s="329">
        <f>D36</f>
        <v>6589000</v>
      </c>
      <c r="E78" s="329">
        <f>E36</f>
        <v>6425000</v>
      </c>
      <c r="F78" s="329">
        <f>F36</f>
        <v>7812500</v>
      </c>
      <c r="G78" s="329">
        <f>D78+E78+F78</f>
        <v>20826500</v>
      </c>
    </row>
    <row r="79" spans="1:8" x14ac:dyDescent="0.3">
      <c r="A79" s="328" t="s">
        <v>281</v>
      </c>
      <c r="C79" s="324"/>
      <c r="D79" s="326">
        <f>D78</f>
        <v>6589000</v>
      </c>
      <c r="E79" s="326">
        <f>E78</f>
        <v>6425000</v>
      </c>
      <c r="F79" s="326">
        <f>F78</f>
        <v>7812500</v>
      </c>
      <c r="G79" s="326">
        <f>G78</f>
        <v>20826500</v>
      </c>
    </row>
    <row r="80" spans="1:8" x14ac:dyDescent="0.3">
      <c r="A80" s="314"/>
      <c r="C80" s="324"/>
      <c r="D80" s="325"/>
      <c r="E80" s="325"/>
      <c r="F80" s="325"/>
      <c r="G80" s="325"/>
    </row>
    <row r="81" spans="1:7" x14ac:dyDescent="0.3">
      <c r="A81" s="328" t="s">
        <v>489</v>
      </c>
      <c r="C81" s="324"/>
      <c r="D81" s="325"/>
      <c r="E81" s="325"/>
      <c r="F81" s="325"/>
      <c r="G81" s="325"/>
    </row>
    <row r="82" spans="1:7" x14ac:dyDescent="0.3">
      <c r="A82" s="314" t="s">
        <v>280</v>
      </c>
      <c r="C82" s="324"/>
      <c r="D82" s="323">
        <f>D48</f>
        <v>5535000</v>
      </c>
      <c r="E82" s="323">
        <f>E48</f>
        <v>4812500</v>
      </c>
      <c r="F82" s="323">
        <f>F48</f>
        <v>5000000</v>
      </c>
      <c r="G82" s="323">
        <f>D82+E82+F82</f>
        <v>15347500</v>
      </c>
    </row>
    <row r="83" spans="1:7" x14ac:dyDescent="0.3">
      <c r="A83" s="314" t="s">
        <v>223</v>
      </c>
      <c r="C83" s="324"/>
      <c r="D83" s="323">
        <f>D55</f>
        <v>750000</v>
      </c>
      <c r="E83" s="323">
        <f>E55</f>
        <v>775000</v>
      </c>
      <c r="F83" s="323">
        <f>F55</f>
        <v>975000</v>
      </c>
      <c r="G83" s="323">
        <f>G55</f>
        <v>2500000</v>
      </c>
    </row>
    <row r="84" spans="1:7" x14ac:dyDescent="0.3">
      <c r="A84" s="314" t="s">
        <v>326</v>
      </c>
      <c r="C84" s="324"/>
      <c r="D84" s="323"/>
      <c r="E84" s="323"/>
      <c r="F84" s="323">
        <v>450000</v>
      </c>
      <c r="G84" s="323">
        <v>450000</v>
      </c>
    </row>
    <row r="85" spans="1:7" x14ac:dyDescent="0.3">
      <c r="A85" s="314" t="s">
        <v>475</v>
      </c>
      <c r="C85" s="324"/>
      <c r="D85" s="323">
        <f>C109</f>
        <v>800000</v>
      </c>
      <c r="E85" s="323">
        <f>D109</f>
        <v>800000</v>
      </c>
      <c r="F85" s="323">
        <f>E109</f>
        <v>800000</v>
      </c>
      <c r="G85" s="323">
        <f t="shared" ref="G85:G91" si="0">D85+E85+F85</f>
        <v>2400000</v>
      </c>
    </row>
    <row r="86" spans="1:7" x14ac:dyDescent="0.3">
      <c r="A86" s="314" t="s">
        <v>278</v>
      </c>
      <c r="C86" s="324"/>
      <c r="D86" s="323">
        <v>60000</v>
      </c>
      <c r="E86" s="325"/>
      <c r="F86" s="323">
        <v>80000</v>
      </c>
      <c r="G86" s="323">
        <f t="shared" si="0"/>
        <v>140000</v>
      </c>
    </row>
    <row r="87" spans="1:7" x14ac:dyDescent="0.3">
      <c r="A87" s="314" t="s">
        <v>277</v>
      </c>
      <c r="C87" s="324"/>
      <c r="D87" s="323">
        <v>170000</v>
      </c>
      <c r="E87" s="325"/>
      <c r="F87" s="323"/>
      <c r="G87" s="323">
        <f t="shared" si="0"/>
        <v>170000</v>
      </c>
    </row>
    <row r="88" spans="1:7" x14ac:dyDescent="0.3">
      <c r="A88" s="314" t="s">
        <v>492</v>
      </c>
      <c r="C88" s="324"/>
      <c r="D88" s="325"/>
      <c r="E88" s="323">
        <f>E69</f>
        <v>350000</v>
      </c>
      <c r="F88" s="325"/>
      <c r="G88" s="323">
        <f t="shared" si="0"/>
        <v>350000</v>
      </c>
    </row>
    <row r="89" spans="1:7" x14ac:dyDescent="0.3">
      <c r="A89" s="314" t="s">
        <v>477</v>
      </c>
      <c r="C89" s="324"/>
      <c r="D89" s="323">
        <f>G15</f>
        <v>230000</v>
      </c>
      <c r="E89" s="325"/>
      <c r="F89" s="325">
        <f>C110+D110</f>
        <v>225599.99999999997</v>
      </c>
      <c r="G89" s="323">
        <f t="shared" si="0"/>
        <v>455600</v>
      </c>
    </row>
    <row r="90" spans="1:7" x14ac:dyDescent="0.3">
      <c r="A90" s="314" t="s">
        <v>276</v>
      </c>
      <c r="C90" s="324"/>
      <c r="D90" s="325"/>
      <c r="E90" s="325"/>
      <c r="F90" s="323">
        <f>G18</f>
        <v>400000</v>
      </c>
      <c r="G90" s="323">
        <f t="shared" si="0"/>
        <v>400000</v>
      </c>
    </row>
    <row r="91" spans="1:7" x14ac:dyDescent="0.3">
      <c r="A91" s="331" t="s">
        <v>275</v>
      </c>
      <c r="B91" s="335"/>
      <c r="C91" s="330"/>
      <c r="D91" s="337"/>
      <c r="E91" s="337">
        <f>G17/2</f>
        <v>500000</v>
      </c>
      <c r="F91" s="337"/>
      <c r="G91" s="329">
        <f t="shared" si="0"/>
        <v>500000</v>
      </c>
    </row>
    <row r="92" spans="1:7" x14ac:dyDescent="0.3">
      <c r="A92" s="328" t="s">
        <v>494</v>
      </c>
      <c r="B92" s="334"/>
      <c r="C92" s="327"/>
      <c r="D92" s="326">
        <f>D82+D83+D85+D86+D87+D88+D89+D90+D91</f>
        <v>7545000</v>
      </c>
      <c r="E92" s="326">
        <f>E82+E83+E85+E86+E87+E88+E89+E90+E91</f>
        <v>7237500</v>
      </c>
      <c r="F92" s="326">
        <f>F82+F83+F85+F86+F87+F88+F89+F90+F91+F84</f>
        <v>7930600</v>
      </c>
      <c r="G92" s="326">
        <f>G82+G83+G84+G85+G86+G87+G88+G89+G90+G91</f>
        <v>22713100</v>
      </c>
    </row>
    <row r="93" spans="1:7" x14ac:dyDescent="0.3">
      <c r="A93" s="328"/>
      <c r="B93" s="334"/>
      <c r="C93" s="327"/>
      <c r="D93" s="326"/>
      <c r="E93" s="326"/>
      <c r="F93" s="326"/>
      <c r="G93" s="326"/>
    </row>
    <row r="94" spans="1:7" x14ac:dyDescent="0.3">
      <c r="A94" s="365" t="s">
        <v>50</v>
      </c>
      <c r="C94" s="324"/>
      <c r="D94" s="323">
        <f>D79-D92</f>
        <v>-956000</v>
      </c>
      <c r="E94" s="323">
        <f>E79-E92</f>
        <v>-812500</v>
      </c>
      <c r="F94" s="323">
        <f>F79-F92</f>
        <v>-118100</v>
      </c>
      <c r="G94" s="323">
        <f>G79-G92</f>
        <v>-1886600</v>
      </c>
    </row>
    <row r="95" spans="1:7" x14ac:dyDescent="0.3">
      <c r="A95" s="314"/>
      <c r="C95" s="324"/>
      <c r="D95" s="323"/>
      <c r="E95" s="323"/>
      <c r="F95" s="323"/>
      <c r="G95" s="323"/>
    </row>
    <row r="96" spans="1:7" x14ac:dyDescent="0.3">
      <c r="A96" s="314" t="s">
        <v>495</v>
      </c>
      <c r="C96" s="324"/>
      <c r="D96" s="323">
        <f>D14+D5-G13</f>
        <v>1980000</v>
      </c>
      <c r="E96" s="323">
        <f>D97</f>
        <v>1024000</v>
      </c>
      <c r="F96" s="323">
        <f>E97</f>
        <v>211500</v>
      </c>
      <c r="G96" s="323">
        <f>D96</f>
        <v>1980000</v>
      </c>
    </row>
    <row r="97" spans="1:7" x14ac:dyDescent="0.3">
      <c r="A97" s="336" t="s">
        <v>496</v>
      </c>
      <c r="B97" s="335"/>
      <c r="C97" s="330"/>
      <c r="D97" s="329">
        <f>D96+D94</f>
        <v>1024000</v>
      </c>
      <c r="E97" s="329">
        <f>E96+E94</f>
        <v>211500</v>
      </c>
      <c r="F97" s="329">
        <f>F96+F94</f>
        <v>93400</v>
      </c>
      <c r="G97" s="329">
        <f>G96+G94</f>
        <v>93400</v>
      </c>
    </row>
    <row r="104" spans="1:7" x14ac:dyDescent="0.3">
      <c r="A104" s="306" t="s">
        <v>274</v>
      </c>
    </row>
    <row r="105" spans="1:7" x14ac:dyDescent="0.3">
      <c r="A105" s="307"/>
      <c r="B105" s="307"/>
      <c r="C105" s="332" t="s">
        <v>472</v>
      </c>
      <c r="D105" s="332" t="s">
        <v>473</v>
      </c>
      <c r="E105" s="332" t="s">
        <v>503</v>
      </c>
      <c r="F105" s="332" t="s">
        <v>273</v>
      </c>
    </row>
    <row r="106" spans="1:7" x14ac:dyDescent="0.3">
      <c r="A106" s="355" t="s">
        <v>471</v>
      </c>
      <c r="B106" s="354"/>
      <c r="C106" s="323">
        <f>D27</f>
        <v>5000000</v>
      </c>
      <c r="D106" s="323">
        <f>E27</f>
        <v>5200000</v>
      </c>
      <c r="E106" s="323">
        <f>F27</f>
        <v>6700000</v>
      </c>
      <c r="F106" s="323">
        <f>C106+D106+E106</f>
        <v>16900000</v>
      </c>
    </row>
    <row r="107" spans="1:7" x14ac:dyDescent="0.3">
      <c r="A107" s="353" t="s">
        <v>408</v>
      </c>
      <c r="B107" s="352"/>
      <c r="C107" s="323">
        <f>C106*(1-D4)</f>
        <v>3750000</v>
      </c>
      <c r="D107" s="323">
        <f>D106*(1-D4)</f>
        <v>3900000</v>
      </c>
      <c r="E107" s="323">
        <f>E106*(1-D4)</f>
        <v>5025000</v>
      </c>
      <c r="F107" s="323">
        <f>C107+D107+E107</f>
        <v>12675000</v>
      </c>
    </row>
    <row r="108" spans="1:7" x14ac:dyDescent="0.3">
      <c r="A108" s="353" t="s">
        <v>505</v>
      </c>
      <c r="B108" s="352"/>
      <c r="C108" s="323">
        <f>C106-C107</f>
        <v>1250000</v>
      </c>
      <c r="D108" s="323">
        <f>D106-D107</f>
        <v>1300000</v>
      </c>
      <c r="E108" s="323">
        <f>E106-E107</f>
        <v>1675000</v>
      </c>
      <c r="F108" s="323">
        <f>F106-F107</f>
        <v>4225000</v>
      </c>
    </row>
    <row r="109" spans="1:7" x14ac:dyDescent="0.3">
      <c r="A109" s="353" t="s">
        <v>475</v>
      </c>
      <c r="B109" s="352"/>
      <c r="C109" s="323">
        <v>800000</v>
      </c>
      <c r="D109" s="323">
        <v>800000</v>
      </c>
      <c r="E109" s="323">
        <v>800000</v>
      </c>
      <c r="F109" s="323">
        <f>C109+D109+E109</f>
        <v>2400000</v>
      </c>
    </row>
    <row r="110" spans="1:7" x14ac:dyDescent="0.3">
      <c r="A110" s="353" t="s">
        <v>477</v>
      </c>
      <c r="B110" s="352"/>
      <c r="C110" s="323">
        <f>C109*0.141</f>
        <v>112799.99999999999</v>
      </c>
      <c r="D110" s="323">
        <f>D109*0.141</f>
        <v>112799.99999999999</v>
      </c>
      <c r="E110" s="323">
        <f>E109*0.141</f>
        <v>112799.99999999999</v>
      </c>
      <c r="F110" s="323">
        <f>F109*0.141</f>
        <v>338399.99999999994</v>
      </c>
    </row>
    <row r="111" spans="1:7" x14ac:dyDescent="0.3">
      <c r="A111" s="373" t="s">
        <v>44</v>
      </c>
      <c r="B111" s="352"/>
      <c r="C111" s="323">
        <f>D53</f>
        <v>600000</v>
      </c>
      <c r="D111" s="323">
        <f>E53</f>
        <v>620000</v>
      </c>
      <c r="E111" s="323">
        <f>F53</f>
        <v>780000</v>
      </c>
      <c r="F111" s="323">
        <f>C111+D111+E111</f>
        <v>2000000</v>
      </c>
    </row>
    <row r="112" spans="1:7" x14ac:dyDescent="0.3">
      <c r="A112" s="353" t="s">
        <v>480</v>
      </c>
      <c r="B112" s="352"/>
      <c r="C112" s="323">
        <v>50000</v>
      </c>
      <c r="D112" s="323">
        <v>50000</v>
      </c>
      <c r="E112" s="323">
        <v>50000</v>
      </c>
      <c r="F112" s="323">
        <f>C112+D112+E112</f>
        <v>150000</v>
      </c>
    </row>
    <row r="113" spans="1:7" x14ac:dyDescent="0.3">
      <c r="A113" s="336" t="s">
        <v>271</v>
      </c>
      <c r="B113" s="351"/>
      <c r="C113" s="329">
        <v>46666.67</v>
      </c>
      <c r="D113" s="329">
        <v>46666.67</v>
      </c>
      <c r="E113" s="329">
        <v>46666.67</v>
      </c>
      <c r="F113" s="329">
        <f>C113+D113+E113</f>
        <v>140000.01</v>
      </c>
    </row>
    <row r="114" spans="1:7" x14ac:dyDescent="0.3">
      <c r="A114" s="336" t="s">
        <v>497</v>
      </c>
      <c r="B114" s="351"/>
      <c r="C114" s="329">
        <f>C108-C109-C110-C111-C112-C113</f>
        <v>-359466.67</v>
      </c>
      <c r="D114" s="329">
        <f>D108-D109-D110-D111-D112-D113</f>
        <v>-329466.67</v>
      </c>
      <c r="E114" s="329">
        <f>E108-E109-E110-E111-E112-E113</f>
        <v>-114466.67</v>
      </c>
      <c r="F114" s="329">
        <f>F108-F109-F110-F111-F112-F113</f>
        <v>-803400.01</v>
      </c>
    </row>
    <row r="115" spans="1:7" x14ac:dyDescent="0.3">
      <c r="A115" s="307"/>
      <c r="B115" s="307"/>
    </row>
    <row r="119" spans="1:7" x14ac:dyDescent="0.3">
      <c r="A119" s="436" t="s">
        <v>45</v>
      </c>
      <c r="B119" s="434"/>
      <c r="C119" s="434"/>
      <c r="D119" s="434"/>
      <c r="E119" s="434"/>
      <c r="F119" s="434"/>
      <c r="G119" s="434"/>
    </row>
    <row r="120" spans="1:7" x14ac:dyDescent="0.3">
      <c r="A120" s="306" t="s">
        <v>270</v>
      </c>
      <c r="D120" s="310">
        <f>D10-50000</f>
        <v>7431000</v>
      </c>
      <c r="E120" s="316" t="s">
        <v>269</v>
      </c>
      <c r="G120" s="310">
        <f>G10</f>
        <v>2000000</v>
      </c>
    </row>
    <row r="121" spans="1:7" x14ac:dyDescent="0.3">
      <c r="A121" s="306" t="s">
        <v>268</v>
      </c>
      <c r="D121" s="310">
        <f>D11-100000+F84-F62</f>
        <v>3410000</v>
      </c>
      <c r="E121" s="315" t="s">
        <v>267</v>
      </c>
      <c r="G121" s="310">
        <f>G11+F114</f>
        <v>1196599.99</v>
      </c>
    </row>
    <row r="122" spans="1:7" x14ac:dyDescent="0.3">
      <c r="A122" s="306" t="s">
        <v>266</v>
      </c>
      <c r="D122" s="310">
        <f>D12+D41+E41+F41</f>
        <v>6450000</v>
      </c>
      <c r="E122" s="314" t="s">
        <v>265</v>
      </c>
      <c r="G122" s="310">
        <f>G12-D87</f>
        <v>4690000</v>
      </c>
    </row>
    <row r="123" spans="1:7" x14ac:dyDescent="0.3">
      <c r="A123" s="306" t="s">
        <v>264</v>
      </c>
      <c r="D123" s="310">
        <f>G35</f>
        <v>2512500</v>
      </c>
      <c r="E123" s="314" t="s">
        <v>263</v>
      </c>
      <c r="G123" s="310">
        <f>G13-G94</f>
        <v>4586600</v>
      </c>
    </row>
    <row r="124" spans="1:7" x14ac:dyDescent="0.3">
      <c r="A124" s="306" t="s">
        <v>262</v>
      </c>
      <c r="D124" s="310">
        <v>80000</v>
      </c>
      <c r="E124" s="314" t="s">
        <v>261</v>
      </c>
      <c r="G124" s="310">
        <f>G48</f>
        <v>6406250</v>
      </c>
    </row>
    <row r="125" spans="1:7" x14ac:dyDescent="0.3">
      <c r="E125" s="315" t="s">
        <v>477</v>
      </c>
      <c r="G125" s="310">
        <f>E110</f>
        <v>112799.99999999999</v>
      </c>
    </row>
    <row r="126" spans="1:7" x14ac:dyDescent="0.3">
      <c r="E126" s="314" t="s">
        <v>259</v>
      </c>
      <c r="G126" s="310">
        <f>G64</f>
        <v>391250</v>
      </c>
    </row>
    <row r="127" spans="1:7" x14ac:dyDescent="0.3">
      <c r="E127" s="314" t="s">
        <v>258</v>
      </c>
      <c r="G127" s="310">
        <f>G17-E91</f>
        <v>500000</v>
      </c>
    </row>
    <row r="128" spans="1:7" x14ac:dyDescent="0.3">
      <c r="E128" s="314" t="s">
        <v>257</v>
      </c>
      <c r="G128" s="310">
        <f>G18-F90</f>
        <v>0</v>
      </c>
    </row>
    <row r="129" spans="1:7" x14ac:dyDescent="0.3">
      <c r="A129" s="312" t="s">
        <v>256</v>
      </c>
      <c r="B129" s="312"/>
      <c r="C129" s="312"/>
      <c r="D129" s="313">
        <f>D120+D121+D122+D123++D124</f>
        <v>19883500</v>
      </c>
      <c r="E129" s="312"/>
      <c r="F129" s="312"/>
      <c r="G129" s="311">
        <f>SUM(G120:G128)</f>
        <v>19883499.990000002</v>
      </c>
    </row>
    <row r="133" spans="1:7" x14ac:dyDescent="0.3">
      <c r="A133" s="334" t="s">
        <v>222</v>
      </c>
    </row>
    <row r="135" spans="1:7" x14ac:dyDescent="0.3">
      <c r="A135" s="369" t="s">
        <v>16</v>
      </c>
    </row>
    <row r="136" spans="1:7" x14ac:dyDescent="0.3">
      <c r="A136" s="369" t="s">
        <v>17</v>
      </c>
    </row>
    <row r="137" spans="1:7" x14ac:dyDescent="0.3">
      <c r="A137" s="364" t="s">
        <v>18</v>
      </c>
    </row>
    <row r="138" spans="1:7" x14ac:dyDescent="0.3">
      <c r="A138" s="364" t="s">
        <v>19</v>
      </c>
    </row>
    <row r="139" spans="1:7" x14ac:dyDescent="0.3">
      <c r="A139" s="370" t="s">
        <v>20</v>
      </c>
      <c r="F139" s="310"/>
    </row>
    <row r="140" spans="1:7" x14ac:dyDescent="0.3">
      <c r="A140" s="369" t="s">
        <v>21</v>
      </c>
    </row>
    <row r="141" spans="1:7" x14ac:dyDescent="0.3">
      <c r="A141" s="369" t="s">
        <v>22</v>
      </c>
    </row>
    <row r="142" spans="1:7" x14ac:dyDescent="0.3">
      <c r="A142" s="369" t="s">
        <v>23</v>
      </c>
    </row>
    <row r="143" spans="1:7" x14ac:dyDescent="0.3">
      <c r="A143" s="370" t="s">
        <v>24</v>
      </c>
    </row>
    <row r="144" spans="1:7" x14ac:dyDescent="0.3">
      <c r="A144" s="370" t="s">
        <v>25</v>
      </c>
    </row>
    <row r="145" spans="1:1" x14ac:dyDescent="0.3">
      <c r="A145" s="370" t="s">
        <v>26</v>
      </c>
    </row>
    <row r="146" spans="1:1" x14ac:dyDescent="0.3">
      <c r="A146" s="370" t="s">
        <v>27</v>
      </c>
    </row>
  </sheetData>
  <mergeCells count="2">
    <mergeCell ref="A9:G9"/>
    <mergeCell ref="A119:G119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horizontalDpi="4294967293" r:id="rId1"/>
  <headerFooter>
    <oddHeader>&amp;A&amp;RSide &amp;P</oddHeader>
    <oddFooter>&amp;CLøsninger kapittel 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64"/>
  <sheetViews>
    <sheetView zoomScale="125" workbookViewId="0">
      <selection activeCell="G19" sqref="G19"/>
    </sheetView>
  </sheetViews>
  <sheetFormatPr baseColWidth="10" defaultColWidth="10.6640625" defaultRowHeight="14.4" x14ac:dyDescent="0.3"/>
  <cols>
    <col min="1" max="5" width="10.6640625" style="306"/>
    <col min="6" max="7" width="11.109375" style="306" bestFit="1" customWidth="1"/>
    <col min="8" max="16384" width="10.6640625" style="306"/>
  </cols>
  <sheetData>
    <row r="1" spans="1:7" x14ac:dyDescent="0.3">
      <c r="A1" s="306" t="s">
        <v>254</v>
      </c>
    </row>
    <row r="3" spans="1:7" x14ac:dyDescent="0.3">
      <c r="A3" s="434" t="s">
        <v>296</v>
      </c>
      <c r="B3" s="434"/>
      <c r="C3" s="434"/>
      <c r="D3" s="434"/>
      <c r="E3" s="434"/>
      <c r="F3" s="434"/>
      <c r="G3" s="434"/>
    </row>
    <row r="4" spans="1:7" x14ac:dyDescent="0.3">
      <c r="A4" s="306" t="s">
        <v>247</v>
      </c>
      <c r="D4" s="310">
        <v>1250000</v>
      </c>
      <c r="E4" s="316" t="s">
        <v>269</v>
      </c>
      <c r="G4" s="310">
        <v>300000</v>
      </c>
    </row>
    <row r="5" spans="1:7" x14ac:dyDescent="0.3">
      <c r="A5" s="306" t="s">
        <v>246</v>
      </c>
      <c r="D5" s="310">
        <v>250000</v>
      </c>
      <c r="E5" s="315" t="s">
        <v>267</v>
      </c>
      <c r="G5" s="310">
        <v>500000</v>
      </c>
    </row>
    <row r="6" spans="1:7" x14ac:dyDescent="0.3">
      <c r="A6" s="306" t="s">
        <v>245</v>
      </c>
      <c r="D6" s="310">
        <v>500000</v>
      </c>
      <c r="E6" s="314" t="s">
        <v>244</v>
      </c>
      <c r="G6" s="310">
        <v>1100000</v>
      </c>
    </row>
    <row r="7" spans="1:7" x14ac:dyDescent="0.3">
      <c r="A7" s="306" t="s">
        <v>266</v>
      </c>
      <c r="D7" s="310">
        <v>1000000</v>
      </c>
      <c r="E7" s="314" t="s">
        <v>261</v>
      </c>
      <c r="G7" s="310">
        <v>1000000</v>
      </c>
    </row>
    <row r="8" spans="1:7" x14ac:dyDescent="0.3">
      <c r="A8" s="306" t="s">
        <v>264</v>
      </c>
      <c r="D8" s="310">
        <v>500000</v>
      </c>
      <c r="E8" s="314" t="s">
        <v>258</v>
      </c>
      <c r="G8" s="310">
        <v>200000</v>
      </c>
    </row>
    <row r="9" spans="1:7" x14ac:dyDescent="0.3">
      <c r="A9" s="306" t="s">
        <v>262</v>
      </c>
      <c r="D9" s="310">
        <v>50000</v>
      </c>
      <c r="E9" s="314" t="s">
        <v>260</v>
      </c>
      <c r="G9" s="310">
        <v>100000</v>
      </c>
    </row>
    <row r="10" spans="1:7" x14ac:dyDescent="0.3">
      <c r="E10" s="314" t="s">
        <v>243</v>
      </c>
      <c r="G10" s="310">
        <v>150000</v>
      </c>
    </row>
    <row r="11" spans="1:7" x14ac:dyDescent="0.3">
      <c r="E11" s="314" t="s">
        <v>276</v>
      </c>
      <c r="G11" s="310">
        <v>50000</v>
      </c>
    </row>
    <row r="12" spans="1:7" x14ac:dyDescent="0.3">
      <c r="E12" s="353" t="s">
        <v>263</v>
      </c>
      <c r="G12" s="310">
        <v>150000</v>
      </c>
    </row>
    <row r="13" spans="1:7" x14ac:dyDescent="0.3">
      <c r="E13" s="314"/>
    </row>
    <row r="14" spans="1:7" x14ac:dyDescent="0.3">
      <c r="E14" s="314"/>
      <c r="G14" s="310"/>
    </row>
    <row r="15" spans="1:7" x14ac:dyDescent="0.3">
      <c r="A15" s="312" t="s">
        <v>256</v>
      </c>
      <c r="B15" s="312"/>
      <c r="C15" s="312"/>
      <c r="D15" s="313">
        <f>D4+D5+D6+D7+D8+D9</f>
        <v>3550000</v>
      </c>
      <c r="E15" s="312"/>
      <c r="F15" s="312"/>
      <c r="G15" s="311">
        <f>G4+G5+G6+G7+G8+G10+G12+G11+G9</f>
        <v>3550000</v>
      </c>
    </row>
    <row r="18" spans="1:10" x14ac:dyDescent="0.3">
      <c r="A18" s="309" t="s">
        <v>10</v>
      </c>
    </row>
    <row r="20" spans="1:10" x14ac:dyDescent="0.3">
      <c r="A20" s="358" t="s">
        <v>241</v>
      </c>
      <c r="D20" s="310"/>
      <c r="G20" s="310"/>
      <c r="H20" s="310"/>
    </row>
    <row r="21" spans="1:10" x14ac:dyDescent="0.3">
      <c r="A21" s="306" t="s">
        <v>483</v>
      </c>
      <c r="D21" s="310"/>
      <c r="E21" s="310"/>
      <c r="F21" s="310">
        <v>500000</v>
      </c>
      <c r="J21" s="310"/>
    </row>
    <row r="22" spans="1:10" x14ac:dyDescent="0.3">
      <c r="A22" s="306" t="s">
        <v>508</v>
      </c>
      <c r="F22" s="310">
        <v>700000</v>
      </c>
    </row>
    <row r="23" spans="1:10" x14ac:dyDescent="0.3">
      <c r="A23" s="309" t="s">
        <v>249</v>
      </c>
      <c r="F23" s="357">
        <f>F21-F22</f>
        <v>-200000</v>
      </c>
    </row>
    <row r="25" spans="1:10" x14ac:dyDescent="0.3">
      <c r="A25" s="309" t="s">
        <v>253</v>
      </c>
      <c r="F25" s="357">
        <v>250000</v>
      </c>
    </row>
    <row r="27" spans="1:10" x14ac:dyDescent="0.3">
      <c r="A27" s="358" t="s">
        <v>252</v>
      </c>
      <c r="F27" s="357">
        <v>100000</v>
      </c>
    </row>
    <row r="28" spans="1:10" x14ac:dyDescent="0.3">
      <c r="F28" s="310"/>
    </row>
    <row r="29" spans="1:10" x14ac:dyDescent="0.3">
      <c r="A29" s="309" t="s">
        <v>251</v>
      </c>
      <c r="F29" s="357">
        <v>-10000</v>
      </c>
    </row>
    <row r="31" spans="1:10" x14ac:dyDescent="0.3">
      <c r="A31" s="309" t="s">
        <v>250</v>
      </c>
      <c r="F31" s="357">
        <v>300000</v>
      </c>
    </row>
    <row r="33" spans="1:6" x14ac:dyDescent="0.3">
      <c r="A33" s="309" t="s">
        <v>238</v>
      </c>
      <c r="F33" s="357">
        <v>-250000</v>
      </c>
    </row>
    <row r="36" spans="1:6" x14ac:dyDescent="0.3">
      <c r="A36" s="334" t="s">
        <v>230</v>
      </c>
    </row>
    <row r="37" spans="1:6" x14ac:dyDescent="0.3">
      <c r="A37" s="306" t="s">
        <v>483</v>
      </c>
      <c r="F37" s="310">
        <v>1000000</v>
      </c>
    </row>
    <row r="38" spans="1:6" x14ac:dyDescent="0.3">
      <c r="A38" s="306" t="s">
        <v>508</v>
      </c>
      <c r="F38" s="310">
        <v>900000</v>
      </c>
    </row>
    <row r="39" spans="1:6" x14ac:dyDescent="0.3">
      <c r="A39" s="309" t="s">
        <v>249</v>
      </c>
      <c r="F39" s="357">
        <v>100000</v>
      </c>
    </row>
    <row r="41" spans="1:6" x14ac:dyDescent="0.3">
      <c r="A41" s="334" t="s">
        <v>236</v>
      </c>
      <c r="F41" s="357">
        <v>-200000</v>
      </c>
    </row>
    <row r="42" spans="1:6" x14ac:dyDescent="0.3">
      <c r="F42" s="310"/>
    </row>
    <row r="43" spans="1:6" x14ac:dyDescent="0.3">
      <c r="A43" s="334" t="s">
        <v>235</v>
      </c>
      <c r="F43" s="357">
        <v>-50000</v>
      </c>
    </row>
    <row r="46" spans="1:6" x14ac:dyDescent="0.3">
      <c r="A46" s="309" t="s">
        <v>234</v>
      </c>
      <c r="F46" s="310">
        <v>-90000</v>
      </c>
    </row>
    <row r="47" spans="1:6" x14ac:dyDescent="0.3">
      <c r="A47" s="308" t="s">
        <v>241</v>
      </c>
      <c r="F47" s="310">
        <f>F23</f>
        <v>-200000</v>
      </c>
    </row>
    <row r="48" spans="1:6" x14ac:dyDescent="0.3">
      <c r="A48" s="308" t="s">
        <v>232</v>
      </c>
      <c r="F48" s="310">
        <f>F25</f>
        <v>250000</v>
      </c>
    </row>
    <row r="49" spans="1:6" x14ac:dyDescent="0.3">
      <c r="A49" s="306" t="s">
        <v>231</v>
      </c>
      <c r="F49" s="310">
        <f>F27</f>
        <v>100000</v>
      </c>
    </row>
    <row r="50" spans="1:6" x14ac:dyDescent="0.3">
      <c r="A50" s="308" t="s">
        <v>248</v>
      </c>
      <c r="F50" s="310">
        <f>F29</f>
        <v>-10000</v>
      </c>
    </row>
    <row r="51" spans="1:6" x14ac:dyDescent="0.3">
      <c r="A51" s="306" t="s">
        <v>230</v>
      </c>
      <c r="F51" s="310">
        <f>F39</f>
        <v>100000</v>
      </c>
    </row>
    <row r="52" spans="1:6" x14ac:dyDescent="0.3">
      <c r="A52" s="306" t="s">
        <v>480</v>
      </c>
      <c r="F52" s="310">
        <f>F31</f>
        <v>300000</v>
      </c>
    </row>
    <row r="53" spans="1:6" x14ac:dyDescent="0.3">
      <c r="A53" s="306" t="s">
        <v>229</v>
      </c>
      <c r="F53" s="310">
        <f>F33</f>
        <v>-250000</v>
      </c>
    </row>
    <row r="54" spans="1:6" x14ac:dyDescent="0.3">
      <c r="A54" s="306" t="s">
        <v>276</v>
      </c>
      <c r="F54" s="310">
        <f>F43</f>
        <v>-50000</v>
      </c>
    </row>
    <row r="55" spans="1:6" x14ac:dyDescent="0.3">
      <c r="A55" s="306" t="s">
        <v>228</v>
      </c>
      <c r="F55" s="310">
        <f>F41</f>
        <v>-200000</v>
      </c>
    </row>
    <row r="56" spans="1:6" x14ac:dyDescent="0.3">
      <c r="A56" s="306" t="s">
        <v>227</v>
      </c>
      <c r="F56" s="310">
        <f>SUM(F46:F55)</f>
        <v>-50000</v>
      </c>
    </row>
    <row r="60" spans="1:6" x14ac:dyDescent="0.3">
      <c r="A60" s="364" t="s">
        <v>6</v>
      </c>
    </row>
    <row r="61" spans="1:6" x14ac:dyDescent="0.3">
      <c r="A61" s="364" t="s">
        <v>7</v>
      </c>
    </row>
    <row r="62" spans="1:6" x14ac:dyDescent="0.3">
      <c r="A62" s="364" t="s">
        <v>8</v>
      </c>
    </row>
    <row r="63" spans="1:6" x14ac:dyDescent="0.3">
      <c r="A63" s="369" t="s">
        <v>9</v>
      </c>
    </row>
    <row r="64" spans="1:6" x14ac:dyDescent="0.3">
      <c r="A64" s="308"/>
    </row>
  </sheetData>
  <mergeCells count="1">
    <mergeCell ref="A3:G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&amp;A&amp;RSide &amp;P</oddHeader>
    <oddFooter>&amp;CLøsningsforslag kapittel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orkbookViewId="0">
      <selection activeCell="M28" sqref="M28"/>
    </sheetView>
  </sheetViews>
  <sheetFormatPr baseColWidth="10" defaultColWidth="12" defaultRowHeight="13.2" x14ac:dyDescent="0.25"/>
  <cols>
    <col min="1" max="1" width="3.6640625" style="199" customWidth="1"/>
    <col min="2" max="2" width="26.77734375" style="199" bestFit="1" customWidth="1"/>
    <col min="3" max="3" width="15" style="199" bestFit="1" customWidth="1"/>
    <col min="4" max="4" width="15" style="199" customWidth="1"/>
    <col min="5" max="5" width="14.33203125" style="199" bestFit="1" customWidth="1"/>
    <col min="6" max="16384" width="12" style="199"/>
  </cols>
  <sheetData>
    <row r="1" spans="1:6" x14ac:dyDescent="0.25">
      <c r="A1" s="380" t="s">
        <v>359</v>
      </c>
    </row>
    <row r="3" spans="1:6" x14ac:dyDescent="0.25">
      <c r="B3" s="198"/>
      <c r="C3" s="397" t="s">
        <v>403</v>
      </c>
      <c r="D3" s="398"/>
      <c r="E3" s="397" t="s">
        <v>404</v>
      </c>
      <c r="F3" s="398"/>
    </row>
    <row r="4" spans="1:6" x14ac:dyDescent="0.25">
      <c r="B4" s="200"/>
      <c r="C4" s="399" t="s">
        <v>352</v>
      </c>
      <c r="D4" s="400"/>
      <c r="E4" s="401" t="s">
        <v>405</v>
      </c>
      <c r="F4" s="402"/>
    </row>
    <row r="5" spans="1:6" x14ac:dyDescent="0.25">
      <c r="B5" s="201"/>
      <c r="C5" s="202" t="s">
        <v>406</v>
      </c>
      <c r="D5" s="203" t="s">
        <v>407</v>
      </c>
      <c r="E5" s="203" t="str">
        <f>C5</f>
        <v>Kr</v>
      </c>
      <c r="F5" s="203" t="str">
        <f>D5</f>
        <v>%</v>
      </c>
    </row>
    <row r="6" spans="1:6" x14ac:dyDescent="0.25">
      <c r="B6" s="200" t="s">
        <v>471</v>
      </c>
      <c r="C6" s="204">
        <v>26700000</v>
      </c>
      <c r="D6" s="205">
        <f>C6/C8</f>
        <v>0.96907665505226481</v>
      </c>
      <c r="E6" s="206">
        <f>C6*1.05</f>
        <v>28035000</v>
      </c>
      <c r="F6" s="205">
        <f>E6/E8</f>
        <v>0.98836594394500266</v>
      </c>
    </row>
    <row r="7" spans="1:6" x14ac:dyDescent="0.25">
      <c r="B7" s="207" t="s">
        <v>353</v>
      </c>
      <c r="C7" s="208">
        <v>852000</v>
      </c>
      <c r="D7" s="209">
        <f>C7/C8</f>
        <v>3.0923344947735191E-2</v>
      </c>
      <c r="E7" s="210">
        <v>330000</v>
      </c>
      <c r="F7" s="209">
        <f>E7/E8</f>
        <v>1.1634056054997356E-2</v>
      </c>
    </row>
    <row r="8" spans="1:6" x14ac:dyDescent="0.25">
      <c r="B8" s="200" t="s">
        <v>354</v>
      </c>
      <c r="C8" s="204">
        <f>SUM(C6:C7)</f>
        <v>27552000</v>
      </c>
      <c r="D8" s="205">
        <f>C8/C8</f>
        <v>1</v>
      </c>
      <c r="E8" s="206">
        <f>SUM(E6:E7)</f>
        <v>28365000</v>
      </c>
      <c r="F8" s="205">
        <f>E8/E8</f>
        <v>1</v>
      </c>
    </row>
    <row r="9" spans="1:6" x14ac:dyDescent="0.25">
      <c r="B9" s="200"/>
      <c r="C9" s="204"/>
      <c r="D9" s="205"/>
      <c r="E9" s="206"/>
      <c r="F9" s="205"/>
    </row>
    <row r="10" spans="1:6" x14ac:dyDescent="0.25">
      <c r="B10" s="200" t="s">
        <v>408</v>
      </c>
      <c r="C10" s="204">
        <v>8758000</v>
      </c>
      <c r="D10" s="205">
        <f>C10/$C$8</f>
        <v>0.31787166085946572</v>
      </c>
      <c r="E10" s="206">
        <f>C10*1.05</f>
        <v>9195900</v>
      </c>
      <c r="F10" s="205">
        <f>E10/$E$8</f>
        <v>0.32419883659439452</v>
      </c>
    </row>
    <row r="11" spans="1:6" x14ac:dyDescent="0.25">
      <c r="B11" s="211" t="s">
        <v>467</v>
      </c>
      <c r="C11" s="204">
        <v>9358000</v>
      </c>
      <c r="D11" s="205">
        <f t="shared" ref="D11:D19" si="0">C11/$C$8</f>
        <v>0.33964866434378632</v>
      </c>
      <c r="E11" s="206">
        <f>INT(C11*1.06)</f>
        <v>9919480</v>
      </c>
      <c r="F11" s="205">
        <f t="shared" ref="F11:F25" si="1">E11/$E$8</f>
        <v>0.34970844350431868</v>
      </c>
    </row>
    <row r="12" spans="1:6" x14ac:dyDescent="0.25">
      <c r="B12" s="200" t="s">
        <v>480</v>
      </c>
      <c r="C12" s="204">
        <v>458000</v>
      </c>
      <c r="D12" s="205">
        <f t="shared" si="0"/>
        <v>1.6623112659698024E-2</v>
      </c>
      <c r="E12" s="206">
        <f>C12</f>
        <v>458000</v>
      </c>
      <c r="F12" s="205">
        <f t="shared" si="1"/>
        <v>1.6146659615723605E-2</v>
      </c>
    </row>
    <row r="13" spans="1:6" x14ac:dyDescent="0.25">
      <c r="B13" s="207" t="s">
        <v>409</v>
      </c>
      <c r="C13" s="208">
        <v>7897000</v>
      </c>
      <c r="D13" s="209">
        <f t="shared" si="0"/>
        <v>0.28662166085946572</v>
      </c>
      <c r="E13" s="210">
        <f>C13*1.05</f>
        <v>8291850</v>
      </c>
      <c r="F13" s="205">
        <f t="shared" si="1"/>
        <v>0.29232681121099946</v>
      </c>
    </row>
    <row r="14" spans="1:6" x14ac:dyDescent="0.25">
      <c r="B14" s="211" t="s">
        <v>209</v>
      </c>
      <c r="C14" s="212">
        <f>SUM(C10:C13)</f>
        <v>26471000</v>
      </c>
      <c r="D14" s="205">
        <f t="shared" si="0"/>
        <v>0.96076509872241578</v>
      </c>
      <c r="E14" s="213">
        <f>SUM(E10:E13)</f>
        <v>27865230</v>
      </c>
      <c r="F14" s="214">
        <f t="shared" si="1"/>
        <v>0.98238075092543631</v>
      </c>
    </row>
    <row r="15" spans="1:6" x14ac:dyDescent="0.25">
      <c r="B15" s="207"/>
      <c r="C15" s="208"/>
      <c r="D15" s="209"/>
      <c r="E15" s="210"/>
      <c r="F15" s="205"/>
    </row>
    <row r="16" spans="1:6" x14ac:dyDescent="0.25">
      <c r="B16" s="200" t="s">
        <v>481</v>
      </c>
      <c r="C16" s="204">
        <f>C8-C14</f>
        <v>1081000</v>
      </c>
      <c r="D16" s="205">
        <f t="shared" si="0"/>
        <v>3.9234901277584201E-2</v>
      </c>
      <c r="E16" s="204">
        <f>E8-E14</f>
        <v>499770</v>
      </c>
      <c r="F16" s="214">
        <f t="shared" si="1"/>
        <v>1.7619249074563723E-2</v>
      </c>
    </row>
    <row r="17" spans="2:6" x14ac:dyDescent="0.25">
      <c r="B17" s="200"/>
      <c r="C17" s="204"/>
      <c r="D17" s="205"/>
      <c r="E17" s="206"/>
      <c r="F17" s="205">
        <f t="shared" si="1"/>
        <v>0</v>
      </c>
    </row>
    <row r="18" spans="2:6" x14ac:dyDescent="0.25">
      <c r="B18" s="200" t="s">
        <v>355</v>
      </c>
      <c r="C18" s="204">
        <v>130000</v>
      </c>
      <c r="D18" s="205">
        <f t="shared" si="0"/>
        <v>4.7183507549361211E-3</v>
      </c>
      <c r="E18" s="206">
        <f>C18*0.9</f>
        <v>117000</v>
      </c>
      <c r="F18" s="205">
        <f t="shared" si="1"/>
        <v>4.1248016922263353E-3</v>
      </c>
    </row>
    <row r="19" spans="2:6" x14ac:dyDescent="0.25">
      <c r="B19" s="200" t="s">
        <v>410</v>
      </c>
      <c r="C19" s="204">
        <v>876000</v>
      </c>
      <c r="D19" s="205">
        <f t="shared" si="0"/>
        <v>3.1794425087108016E-2</v>
      </c>
      <c r="E19" s="206">
        <f>C19*0.9</f>
        <v>788400</v>
      </c>
      <c r="F19" s="205">
        <f t="shared" si="1"/>
        <v>2.779481755684823E-2</v>
      </c>
    </row>
    <row r="20" spans="2:6" x14ac:dyDescent="0.25">
      <c r="B20" s="207"/>
      <c r="C20" s="208"/>
      <c r="D20" s="209"/>
      <c r="E20" s="210"/>
      <c r="F20" s="209"/>
    </row>
    <row r="21" spans="2:6" x14ac:dyDescent="0.25">
      <c r="B21" s="200" t="s">
        <v>411</v>
      </c>
      <c r="C21" s="206">
        <f>C16+C18-C19</f>
        <v>335000</v>
      </c>
      <c r="D21" s="205">
        <f>C21/$C$8</f>
        <v>1.2158826945412312E-2</v>
      </c>
      <c r="E21" s="206">
        <f>E16+E18-E19</f>
        <v>-171630</v>
      </c>
      <c r="F21" s="214">
        <f t="shared" si="1"/>
        <v>-6.0507667900581699E-3</v>
      </c>
    </row>
    <row r="22" spans="2:6" x14ac:dyDescent="0.25">
      <c r="B22" s="207"/>
      <c r="C22" s="210"/>
      <c r="D22" s="209"/>
      <c r="E22" s="210"/>
      <c r="F22" s="209"/>
    </row>
    <row r="23" spans="2:6" x14ac:dyDescent="0.25">
      <c r="B23" s="200" t="s">
        <v>412</v>
      </c>
      <c r="C23" s="206">
        <v>90000</v>
      </c>
      <c r="D23" s="205">
        <f>C23/$C$8</f>
        <v>3.2665505226480837E-3</v>
      </c>
      <c r="E23" s="206">
        <v>0</v>
      </c>
      <c r="F23" s="214">
        <f t="shared" si="1"/>
        <v>0</v>
      </c>
    </row>
    <row r="24" spans="2:6" x14ac:dyDescent="0.25">
      <c r="B24" s="207"/>
      <c r="C24" s="210"/>
      <c r="D24" s="209"/>
      <c r="E24" s="210"/>
      <c r="F24" s="205"/>
    </row>
    <row r="25" spans="2:6" x14ac:dyDescent="0.25">
      <c r="B25" s="207" t="s">
        <v>356</v>
      </c>
      <c r="C25" s="210">
        <f>C21-C23</f>
        <v>245000</v>
      </c>
      <c r="D25" s="209">
        <f>C25/$C$8</f>
        <v>8.8922764227642274E-3</v>
      </c>
      <c r="E25" s="210">
        <f>E21-E23</f>
        <v>-171630</v>
      </c>
      <c r="F25" s="215">
        <f t="shared" si="1"/>
        <v>-6.0507667900581699E-3</v>
      </c>
    </row>
    <row r="26" spans="2:6" x14ac:dyDescent="0.25">
      <c r="C26" s="216"/>
      <c r="D26" s="216"/>
      <c r="E26" s="216"/>
      <c r="F26" s="216"/>
    </row>
    <row r="27" spans="2:6" x14ac:dyDescent="0.25">
      <c r="B27" s="199" t="s">
        <v>210</v>
      </c>
    </row>
    <row r="28" spans="2:6" x14ac:dyDescent="0.25">
      <c r="B28" s="217" t="s">
        <v>14</v>
      </c>
    </row>
    <row r="29" spans="2:6" x14ac:dyDescent="0.25">
      <c r="B29" s="199" t="s">
        <v>183</v>
      </c>
    </row>
    <row r="31" spans="2:6" x14ac:dyDescent="0.25">
      <c r="B31" s="217" t="s">
        <v>357</v>
      </c>
    </row>
    <row r="32" spans="2:6" x14ac:dyDescent="0.25">
      <c r="B32" s="218" t="s">
        <v>358</v>
      </c>
    </row>
    <row r="33" spans="2:2" x14ac:dyDescent="0.25">
      <c r="B33" s="218" t="s">
        <v>182</v>
      </c>
    </row>
  </sheetData>
  <mergeCells count="4">
    <mergeCell ref="C3:D3"/>
    <mergeCell ref="E3:F3"/>
    <mergeCell ref="C4:D4"/>
    <mergeCell ref="E4:F4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>
    <oddHeader>&amp;A&amp;RSide &amp;P</oddHeader>
    <oddFooter>&amp;CLøsninger kapittel 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9"/>
  <sheetViews>
    <sheetView zoomScale="125" workbookViewId="0">
      <selection activeCell="A29" sqref="A29"/>
    </sheetView>
  </sheetViews>
  <sheetFormatPr baseColWidth="10" defaultColWidth="10.6640625" defaultRowHeight="14.4" x14ac:dyDescent="0.3"/>
  <cols>
    <col min="1" max="5" width="10.6640625" style="306"/>
    <col min="6" max="6" width="11.109375" style="306" bestFit="1" customWidth="1"/>
    <col min="7" max="16384" width="10.6640625" style="306"/>
  </cols>
  <sheetData>
    <row r="1" spans="1:7" x14ac:dyDescent="0.3">
      <c r="A1" s="364" t="s">
        <v>28</v>
      </c>
    </row>
    <row r="3" spans="1:7" x14ac:dyDescent="0.3">
      <c r="A3" s="434" t="s">
        <v>296</v>
      </c>
      <c r="B3" s="434"/>
      <c r="C3" s="434"/>
      <c r="D3" s="434"/>
      <c r="E3" s="434"/>
      <c r="F3" s="434"/>
      <c r="G3" s="434"/>
    </row>
    <row r="4" spans="1:7" x14ac:dyDescent="0.3">
      <c r="A4" s="306" t="s">
        <v>247</v>
      </c>
      <c r="D4" s="310">
        <v>2500000</v>
      </c>
      <c r="E4" s="316" t="s">
        <v>269</v>
      </c>
      <c r="G4" s="310">
        <v>600000</v>
      </c>
    </row>
    <row r="5" spans="1:7" x14ac:dyDescent="0.3">
      <c r="A5" s="306" t="s">
        <v>246</v>
      </c>
      <c r="D5" s="310">
        <v>500000</v>
      </c>
      <c r="E5" s="315" t="s">
        <v>267</v>
      </c>
      <c r="G5" s="310">
        <v>1000000</v>
      </c>
    </row>
    <row r="6" spans="1:7" x14ac:dyDescent="0.3">
      <c r="A6" s="306" t="s">
        <v>245</v>
      </c>
      <c r="D6" s="310">
        <v>1000000</v>
      </c>
      <c r="E6" s="314" t="s">
        <v>244</v>
      </c>
      <c r="G6" s="310">
        <v>2500000</v>
      </c>
    </row>
    <row r="7" spans="1:7" x14ac:dyDescent="0.3">
      <c r="A7" s="306" t="s">
        <v>266</v>
      </c>
      <c r="D7" s="310">
        <v>1250000</v>
      </c>
      <c r="E7" s="314" t="s">
        <v>261</v>
      </c>
      <c r="G7" s="310">
        <v>1500000</v>
      </c>
    </row>
    <row r="8" spans="1:7" x14ac:dyDescent="0.3">
      <c r="A8" s="306" t="s">
        <v>264</v>
      </c>
      <c r="D8" s="310">
        <v>1000000</v>
      </c>
      <c r="E8" s="314" t="s">
        <v>258</v>
      </c>
      <c r="G8" s="310">
        <v>100000</v>
      </c>
    </row>
    <row r="9" spans="1:7" x14ac:dyDescent="0.3">
      <c r="A9" s="306" t="s">
        <v>262</v>
      </c>
      <c r="D9" s="310">
        <v>100000</v>
      </c>
      <c r="E9" s="314" t="s">
        <v>243</v>
      </c>
      <c r="G9" s="310">
        <v>250000</v>
      </c>
    </row>
    <row r="10" spans="1:7" x14ac:dyDescent="0.3">
      <c r="E10" s="353" t="s">
        <v>263</v>
      </c>
      <c r="G10" s="310">
        <v>250000</v>
      </c>
    </row>
    <row r="11" spans="1:7" x14ac:dyDescent="0.3">
      <c r="E11" s="314" t="s">
        <v>276</v>
      </c>
      <c r="G11" s="310">
        <v>150000</v>
      </c>
    </row>
    <row r="12" spans="1:7" x14ac:dyDescent="0.3">
      <c r="E12" s="314"/>
      <c r="G12" s="310"/>
    </row>
    <row r="13" spans="1:7" x14ac:dyDescent="0.3">
      <c r="E13" s="314"/>
      <c r="G13" s="310"/>
    </row>
    <row r="14" spans="1:7" x14ac:dyDescent="0.3">
      <c r="A14" s="312" t="s">
        <v>256</v>
      </c>
      <c r="B14" s="312"/>
      <c r="C14" s="312"/>
      <c r="D14" s="313">
        <f>D4+D5+D6+D7+D8+D9</f>
        <v>6350000</v>
      </c>
      <c r="E14" s="312"/>
      <c r="F14" s="312"/>
      <c r="G14" s="311">
        <f>G4+G5+G6+G7+G8+G9+G10+G11</f>
        <v>6350000</v>
      </c>
    </row>
    <row r="17" spans="1:8" x14ac:dyDescent="0.3">
      <c r="A17" s="334" t="s">
        <v>242</v>
      </c>
    </row>
    <row r="19" spans="1:8" x14ac:dyDescent="0.3">
      <c r="A19" s="307" t="s">
        <v>241</v>
      </c>
      <c r="D19" s="310"/>
      <c r="G19" s="310"/>
      <c r="H19" s="310"/>
    </row>
    <row r="20" spans="1:8" x14ac:dyDescent="0.3">
      <c r="A20" s="306" t="s">
        <v>483</v>
      </c>
      <c r="D20" s="310"/>
      <c r="E20" s="310"/>
      <c r="F20" s="310">
        <v>1000000</v>
      </c>
    </row>
    <row r="21" spans="1:8" x14ac:dyDescent="0.3">
      <c r="A21" s="306" t="s">
        <v>508</v>
      </c>
      <c r="F21" s="310">
        <v>800000</v>
      </c>
    </row>
    <row r="22" spans="1:8" x14ac:dyDescent="0.3">
      <c r="A22" s="306" t="s">
        <v>240</v>
      </c>
      <c r="F22" s="357">
        <f>F20-F21</f>
        <v>200000</v>
      </c>
    </row>
    <row r="24" spans="1:8" x14ac:dyDescent="0.3">
      <c r="A24" s="306" t="s">
        <v>233</v>
      </c>
    </row>
    <row r="25" spans="1:8" x14ac:dyDescent="0.3">
      <c r="A25" s="306" t="s">
        <v>483</v>
      </c>
      <c r="F25" s="310">
        <v>1500000</v>
      </c>
    </row>
    <row r="26" spans="1:8" x14ac:dyDescent="0.3">
      <c r="A26" s="306" t="s">
        <v>508</v>
      </c>
      <c r="F26" s="310">
        <v>2100000</v>
      </c>
    </row>
    <row r="27" spans="1:8" x14ac:dyDescent="0.3">
      <c r="A27" s="308" t="s">
        <v>240</v>
      </c>
      <c r="F27" s="357">
        <f>F26-F25</f>
        <v>600000</v>
      </c>
    </row>
    <row r="29" spans="1:8" x14ac:dyDescent="0.3">
      <c r="A29" s="369" t="s">
        <v>3</v>
      </c>
      <c r="F29" s="357">
        <v>250000</v>
      </c>
    </row>
    <row r="31" spans="1:8" x14ac:dyDescent="0.3">
      <c r="A31" s="369" t="s">
        <v>1</v>
      </c>
      <c r="F31" s="357">
        <v>100000</v>
      </c>
    </row>
    <row r="33" spans="1:6" x14ac:dyDescent="0.3">
      <c r="A33" s="306" t="s">
        <v>239</v>
      </c>
      <c r="F33" s="357">
        <v>300000</v>
      </c>
    </row>
    <row r="35" spans="1:6" x14ac:dyDescent="0.3">
      <c r="A35" s="308" t="s">
        <v>238</v>
      </c>
      <c r="F35" s="357">
        <v>1000000</v>
      </c>
    </row>
    <row r="37" spans="1:6" x14ac:dyDescent="0.3">
      <c r="A37" s="306" t="s">
        <v>230</v>
      </c>
    </row>
    <row r="38" spans="1:6" x14ac:dyDescent="0.3">
      <c r="A38" s="306" t="s">
        <v>483</v>
      </c>
      <c r="F38" s="310">
        <f>D7</f>
        <v>1250000</v>
      </c>
    </row>
    <row r="39" spans="1:6" x14ac:dyDescent="0.3">
      <c r="A39" s="306" t="s">
        <v>508</v>
      </c>
      <c r="F39" s="310">
        <v>1650000</v>
      </c>
    </row>
    <row r="40" spans="1:6" x14ac:dyDescent="0.3">
      <c r="A40" s="306" t="s">
        <v>237</v>
      </c>
      <c r="F40" s="310">
        <f>F39-F38</f>
        <v>400000</v>
      </c>
    </row>
    <row r="42" spans="1:6" x14ac:dyDescent="0.3">
      <c r="A42" s="306" t="s">
        <v>236</v>
      </c>
      <c r="F42" s="357">
        <v>100000</v>
      </c>
    </row>
    <row r="44" spans="1:6" x14ac:dyDescent="0.3">
      <c r="A44" s="306" t="s">
        <v>235</v>
      </c>
      <c r="F44" s="357">
        <v>150000</v>
      </c>
    </row>
    <row r="49" spans="1:6" x14ac:dyDescent="0.3">
      <c r="A49" s="308" t="s">
        <v>234</v>
      </c>
      <c r="F49" s="310">
        <v>250000</v>
      </c>
    </row>
    <row r="50" spans="1:6" x14ac:dyDescent="0.3">
      <c r="A50" s="364" t="s">
        <v>2</v>
      </c>
      <c r="F50" s="310">
        <f>F22</f>
        <v>200000</v>
      </c>
    </row>
    <row r="51" spans="1:6" x14ac:dyDescent="0.3">
      <c r="A51" s="306" t="s">
        <v>233</v>
      </c>
      <c r="F51" s="310">
        <f>F27</f>
        <v>600000</v>
      </c>
    </row>
    <row r="52" spans="1:6" x14ac:dyDescent="0.3">
      <c r="A52" s="306" t="s">
        <v>232</v>
      </c>
      <c r="F52" s="310">
        <f>F29</f>
        <v>250000</v>
      </c>
    </row>
    <row r="53" spans="1:6" x14ac:dyDescent="0.3">
      <c r="A53" s="306" t="s">
        <v>231</v>
      </c>
      <c r="F53" s="310">
        <f>F31</f>
        <v>100000</v>
      </c>
    </row>
    <row r="54" spans="1:6" x14ac:dyDescent="0.3">
      <c r="A54" s="306" t="s">
        <v>230</v>
      </c>
      <c r="F54" s="310">
        <f>-F40</f>
        <v>-400000</v>
      </c>
    </row>
    <row r="55" spans="1:6" x14ac:dyDescent="0.3">
      <c r="A55" s="306" t="s">
        <v>480</v>
      </c>
      <c r="F55" s="310">
        <f>F33</f>
        <v>300000</v>
      </c>
    </row>
    <row r="56" spans="1:6" x14ac:dyDescent="0.3">
      <c r="A56" s="306" t="s">
        <v>229</v>
      </c>
      <c r="F56" s="310">
        <f>-F35</f>
        <v>-1000000</v>
      </c>
    </row>
    <row r="57" spans="1:6" x14ac:dyDescent="0.3">
      <c r="A57" s="306" t="s">
        <v>276</v>
      </c>
      <c r="F57" s="310">
        <f>-F44</f>
        <v>-150000</v>
      </c>
    </row>
    <row r="58" spans="1:6" x14ac:dyDescent="0.3">
      <c r="A58" s="306" t="s">
        <v>228</v>
      </c>
      <c r="F58" s="310">
        <f>-F42</f>
        <v>-100000</v>
      </c>
    </row>
    <row r="59" spans="1:6" x14ac:dyDescent="0.3">
      <c r="A59" s="306" t="s">
        <v>227</v>
      </c>
      <c r="F59" s="310">
        <f>SUM(F49:F58)</f>
        <v>50000</v>
      </c>
    </row>
  </sheetData>
  <mergeCells count="1">
    <mergeCell ref="A3:G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&amp;A&amp;RSide &amp;P</oddHeader>
    <oddFooter>&amp;CLøsninger kapittel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9"/>
  <sheetViews>
    <sheetView workbookViewId="0">
      <selection activeCell="H30" sqref="H30"/>
    </sheetView>
  </sheetViews>
  <sheetFormatPr baseColWidth="10" defaultColWidth="12" defaultRowHeight="13.2" x14ac:dyDescent="0.25"/>
  <cols>
    <col min="1" max="1" width="3.6640625" style="158" customWidth="1"/>
    <col min="2" max="2" width="26.77734375" style="158" bestFit="1" customWidth="1"/>
    <col min="3" max="3" width="15" style="158" bestFit="1" customWidth="1"/>
    <col min="4" max="4" width="15" style="158" customWidth="1"/>
    <col min="5" max="16384" width="12" style="158"/>
  </cols>
  <sheetData>
    <row r="1" spans="1:8" x14ac:dyDescent="0.25">
      <c r="A1" s="157" t="s">
        <v>418</v>
      </c>
    </row>
    <row r="2" spans="1:8" x14ac:dyDescent="0.25">
      <c r="A2" s="157"/>
      <c r="C2" s="158" t="s">
        <v>492</v>
      </c>
      <c r="D2" s="159">
        <v>0.25</v>
      </c>
    </row>
    <row r="3" spans="1:8" x14ac:dyDescent="0.25">
      <c r="A3" s="157"/>
    </row>
    <row r="4" spans="1:8" x14ac:dyDescent="0.25">
      <c r="A4" s="160" t="s">
        <v>395</v>
      </c>
      <c r="B4" s="161"/>
      <c r="C4" s="405" t="s">
        <v>403</v>
      </c>
      <c r="D4" s="406"/>
      <c r="E4" s="405" t="s">
        <v>404</v>
      </c>
      <c r="F4" s="406"/>
    </row>
    <row r="5" spans="1:8" x14ac:dyDescent="0.25">
      <c r="B5" s="162"/>
      <c r="C5" s="407" t="s">
        <v>352</v>
      </c>
      <c r="D5" s="408"/>
      <c r="E5" s="407" t="s">
        <v>405</v>
      </c>
      <c r="F5" s="408"/>
    </row>
    <row r="6" spans="1:8" x14ac:dyDescent="0.25">
      <c r="B6" s="162"/>
      <c r="C6" s="163" t="s">
        <v>406</v>
      </c>
      <c r="D6" s="164" t="s">
        <v>407</v>
      </c>
      <c r="E6" s="164" t="str">
        <f>C6</f>
        <v>Kr</v>
      </c>
      <c r="F6" s="164" t="str">
        <f>D6</f>
        <v>%</v>
      </c>
    </row>
    <row r="7" spans="1:8" x14ac:dyDescent="0.25">
      <c r="B7" s="162" t="s">
        <v>471</v>
      </c>
      <c r="C7" s="165">
        <v>5000000</v>
      </c>
      <c r="D7" s="166">
        <f>C7/C7</f>
        <v>1</v>
      </c>
      <c r="E7" s="167">
        <f>C7*1.05</f>
        <v>5250000</v>
      </c>
      <c r="F7" s="166">
        <f>E7/E7</f>
        <v>1</v>
      </c>
    </row>
    <row r="8" spans="1:8" x14ac:dyDescent="0.25">
      <c r="B8" s="162"/>
      <c r="C8" s="165"/>
      <c r="D8" s="166"/>
      <c r="E8" s="167"/>
      <c r="F8" s="166"/>
    </row>
    <row r="9" spans="1:8" x14ac:dyDescent="0.25">
      <c r="B9" s="168" t="s">
        <v>184</v>
      </c>
      <c r="C9" s="165">
        <v>3200000</v>
      </c>
      <c r="D9" s="166">
        <f>C9/$C$7</f>
        <v>0.64</v>
      </c>
      <c r="E9" s="167">
        <f>E7*F9</f>
        <v>3360000</v>
      </c>
      <c r="F9" s="166">
        <f>D9</f>
        <v>0.64</v>
      </c>
    </row>
    <row r="10" spans="1:8" x14ac:dyDescent="0.25">
      <c r="B10" s="162" t="s">
        <v>475</v>
      </c>
      <c r="C10" s="165">
        <v>1000000</v>
      </c>
      <c r="D10" s="166">
        <f>C10/$C$7</f>
        <v>0.2</v>
      </c>
      <c r="E10" s="167">
        <f>(C10*1.05)</f>
        <v>1050000</v>
      </c>
      <c r="F10" s="166">
        <f>E10/$E$7</f>
        <v>0.2</v>
      </c>
      <c r="H10" s="193"/>
    </row>
    <row r="11" spans="1:8" x14ac:dyDescent="0.25">
      <c r="B11" s="162" t="s">
        <v>476</v>
      </c>
      <c r="C11" s="165">
        <f>C10*0.12</f>
        <v>120000</v>
      </c>
      <c r="D11" s="166">
        <f t="shared" ref="D11:D16" si="0">C11/$C$7</f>
        <v>2.4E-2</v>
      </c>
      <c r="E11" s="167">
        <f>(C11*1.05)</f>
        <v>126000</v>
      </c>
      <c r="F11" s="166">
        <f>E11/$E$7</f>
        <v>2.4E-2</v>
      </c>
    </row>
    <row r="12" spans="1:8" x14ac:dyDescent="0.25">
      <c r="B12" s="191" t="s">
        <v>477</v>
      </c>
      <c r="C12" s="165">
        <v>158000</v>
      </c>
      <c r="D12" s="166">
        <f t="shared" si="0"/>
        <v>3.1600000000000003E-2</v>
      </c>
      <c r="E12" s="167">
        <f>(C12*1.05)</f>
        <v>165900</v>
      </c>
      <c r="F12" s="166">
        <f>E12/$E$7</f>
        <v>3.1600000000000003E-2</v>
      </c>
    </row>
    <row r="13" spans="1:8" x14ac:dyDescent="0.25">
      <c r="B13" s="162" t="s">
        <v>478</v>
      </c>
      <c r="C13" s="165">
        <v>150000</v>
      </c>
      <c r="D13" s="166">
        <f t="shared" si="0"/>
        <v>0.03</v>
      </c>
      <c r="E13" s="167">
        <f>C13+12000</f>
        <v>162000</v>
      </c>
      <c r="F13" s="166">
        <f>E13/$E$7</f>
        <v>3.0857142857142857E-2</v>
      </c>
    </row>
    <row r="14" spans="1:8" x14ac:dyDescent="0.25">
      <c r="B14" s="162" t="s">
        <v>409</v>
      </c>
      <c r="C14" s="165">
        <v>150000</v>
      </c>
      <c r="D14" s="166">
        <f t="shared" si="0"/>
        <v>0.03</v>
      </c>
      <c r="E14" s="167">
        <f>C14*1.05</f>
        <v>157500</v>
      </c>
      <c r="F14" s="166"/>
    </row>
    <row r="15" spans="1:8" x14ac:dyDescent="0.25">
      <c r="B15" s="162" t="s">
        <v>417</v>
      </c>
      <c r="C15" s="165">
        <v>0</v>
      </c>
      <c r="D15" s="166">
        <f t="shared" si="0"/>
        <v>0</v>
      </c>
      <c r="E15" s="167">
        <f>C15+50000</f>
        <v>50000</v>
      </c>
      <c r="F15" s="166">
        <f>E15/$E$7</f>
        <v>9.5238095238095247E-3</v>
      </c>
    </row>
    <row r="16" spans="1:8" x14ac:dyDescent="0.25">
      <c r="B16" s="169" t="s">
        <v>480</v>
      </c>
      <c r="C16" s="170">
        <v>90000</v>
      </c>
      <c r="D16" s="171">
        <f t="shared" si="0"/>
        <v>1.7999999999999999E-2</v>
      </c>
      <c r="E16" s="172">
        <f>C16+40000</f>
        <v>130000</v>
      </c>
      <c r="F16" s="171">
        <f>E16/$E$7</f>
        <v>2.4761904761904763E-2</v>
      </c>
    </row>
    <row r="17" spans="1:6" x14ac:dyDescent="0.25">
      <c r="B17" s="168" t="s">
        <v>209</v>
      </c>
      <c r="C17" s="173">
        <f>SUM(C9:C16)</f>
        <v>4868000</v>
      </c>
      <c r="D17" s="166">
        <f>C17/$C$7</f>
        <v>0.97360000000000002</v>
      </c>
      <c r="E17" s="174">
        <f>SUM(E9:E16)</f>
        <v>5201400</v>
      </c>
      <c r="F17" s="166">
        <f>E17/$E$7</f>
        <v>0.99074285714285715</v>
      </c>
    </row>
    <row r="18" spans="1:6" x14ac:dyDescent="0.25">
      <c r="B18" s="175"/>
      <c r="C18" s="170"/>
      <c r="D18" s="171"/>
      <c r="E18" s="172"/>
      <c r="F18" s="171"/>
    </row>
    <row r="19" spans="1:6" x14ac:dyDescent="0.25">
      <c r="B19" s="162" t="s">
        <v>481</v>
      </c>
      <c r="C19" s="165">
        <f>C7-C17</f>
        <v>132000</v>
      </c>
      <c r="D19" s="166">
        <f>C19/$C$7</f>
        <v>2.64E-2</v>
      </c>
      <c r="E19" s="167">
        <f>E7-E17</f>
        <v>48600</v>
      </c>
      <c r="F19" s="166">
        <f>E19/$E$7</f>
        <v>9.2571428571428579E-3</v>
      </c>
    </row>
    <row r="20" spans="1:6" x14ac:dyDescent="0.25">
      <c r="B20" s="162"/>
      <c r="C20" s="165"/>
      <c r="D20" s="166"/>
      <c r="E20" s="167"/>
      <c r="F20" s="166"/>
    </row>
    <row r="21" spans="1:6" x14ac:dyDescent="0.25">
      <c r="B21" s="162" t="s">
        <v>410</v>
      </c>
      <c r="C21" s="165">
        <v>28500</v>
      </c>
      <c r="D21" s="166">
        <f>C21/$C$7</f>
        <v>5.7000000000000002E-3</v>
      </c>
      <c r="E21" s="167">
        <f>C21+20000</f>
        <v>48500</v>
      </c>
      <c r="F21" s="166">
        <f>E21/$E$7</f>
        <v>9.238095238095238E-3</v>
      </c>
    </row>
    <row r="22" spans="1:6" x14ac:dyDescent="0.25">
      <c r="B22" s="175"/>
      <c r="C22" s="170"/>
      <c r="D22" s="171"/>
      <c r="E22" s="172"/>
      <c r="F22" s="171"/>
    </row>
    <row r="23" spans="1:6" x14ac:dyDescent="0.25">
      <c r="B23" s="177" t="s">
        <v>411</v>
      </c>
      <c r="C23" s="178">
        <f>C19-C21</f>
        <v>103500</v>
      </c>
      <c r="D23" s="179">
        <f>C23/$C$7</f>
        <v>2.07E-2</v>
      </c>
      <c r="E23" s="178">
        <f>E19-E21</f>
        <v>100</v>
      </c>
      <c r="F23" s="179">
        <f>E23/$E$7</f>
        <v>1.9047619047619046E-5</v>
      </c>
    </row>
    <row r="24" spans="1:6" x14ac:dyDescent="0.25">
      <c r="C24" s="180"/>
      <c r="D24" s="180"/>
      <c r="E24" s="180"/>
      <c r="F24" s="180"/>
    </row>
    <row r="25" spans="1:6" x14ac:dyDescent="0.25">
      <c r="A25" s="157"/>
      <c r="C25" s="180"/>
      <c r="D25" s="180"/>
      <c r="E25" s="180"/>
      <c r="F25" s="180"/>
    </row>
    <row r="26" spans="1:6" x14ac:dyDescent="0.25">
      <c r="C26" s="180"/>
      <c r="D26" s="180"/>
      <c r="E26" s="180"/>
      <c r="F26" s="180"/>
    </row>
    <row r="27" spans="1:6" x14ac:dyDescent="0.25">
      <c r="C27" s="180"/>
      <c r="D27" s="180"/>
      <c r="E27" s="180"/>
      <c r="F27" s="180"/>
    </row>
    <row r="28" spans="1:6" x14ac:dyDescent="0.25">
      <c r="C28" s="180"/>
      <c r="D28" s="180"/>
      <c r="E28" s="180"/>
      <c r="F28" s="180"/>
    </row>
    <row r="29" spans="1:6" x14ac:dyDescent="0.25">
      <c r="C29" s="180"/>
      <c r="D29" s="180"/>
      <c r="E29" s="180"/>
      <c r="F29" s="180"/>
    </row>
    <row r="30" spans="1:6" x14ac:dyDescent="0.25">
      <c r="A30" s="158" t="s">
        <v>394</v>
      </c>
      <c r="C30" s="180"/>
      <c r="D30" s="180"/>
      <c r="E30" s="180"/>
      <c r="F30" s="180"/>
    </row>
    <row r="31" spans="1:6" x14ac:dyDescent="0.25">
      <c r="A31" s="157"/>
      <c r="B31" s="161"/>
      <c r="C31" s="409" t="s">
        <v>413</v>
      </c>
      <c r="D31" s="406"/>
      <c r="E31" s="180"/>
      <c r="F31" s="180"/>
    </row>
    <row r="32" spans="1:6" x14ac:dyDescent="0.25">
      <c r="B32" s="162"/>
      <c r="C32" s="403" t="s">
        <v>405</v>
      </c>
      <c r="D32" s="404"/>
      <c r="E32" s="180"/>
      <c r="F32" s="180"/>
    </row>
    <row r="33" spans="2:4" x14ac:dyDescent="0.25">
      <c r="B33" s="175"/>
      <c r="C33" s="164" t="str">
        <f>C6</f>
        <v>Kr</v>
      </c>
      <c r="D33" s="164" t="str">
        <f>D6</f>
        <v>%</v>
      </c>
    </row>
    <row r="34" spans="2:4" x14ac:dyDescent="0.25">
      <c r="B34" s="162" t="s">
        <v>471</v>
      </c>
      <c r="C34" s="167">
        <f>E7</f>
        <v>5250000</v>
      </c>
      <c r="D34" s="166">
        <f>C34/C34</f>
        <v>1</v>
      </c>
    </row>
    <row r="35" spans="2:4" x14ac:dyDescent="0.25">
      <c r="B35" s="162"/>
      <c r="C35" s="167"/>
      <c r="D35" s="166"/>
    </row>
    <row r="36" spans="2:4" x14ac:dyDescent="0.25">
      <c r="B36" s="168" t="s">
        <v>408</v>
      </c>
      <c r="C36" s="167">
        <f>E9</f>
        <v>3360000</v>
      </c>
      <c r="D36" s="166">
        <f>C36/$E$7</f>
        <v>0.64</v>
      </c>
    </row>
    <row r="37" spans="2:4" x14ac:dyDescent="0.25">
      <c r="B37" s="162" t="s">
        <v>475</v>
      </c>
      <c r="C37" s="167">
        <f>C10-80000</f>
        <v>920000</v>
      </c>
      <c r="D37" s="166">
        <f>C37/$E$7</f>
        <v>0.17523809523809525</v>
      </c>
    </row>
    <row r="38" spans="2:4" x14ac:dyDescent="0.25">
      <c r="B38" s="162" t="str">
        <f>B11</f>
        <v>Feriepenger</v>
      </c>
      <c r="C38" s="167">
        <f>C37*0.12</f>
        <v>110400</v>
      </c>
      <c r="D38" s="166">
        <f t="shared" ref="D38:D43" si="1">C38/$E$7</f>
        <v>2.1028571428571428E-2</v>
      </c>
    </row>
    <row r="39" spans="2:4" x14ac:dyDescent="0.25">
      <c r="B39" s="162" t="str">
        <f>B12</f>
        <v>Arbeidsgiveravgift</v>
      </c>
      <c r="C39" s="167">
        <v>145300</v>
      </c>
      <c r="D39" s="166">
        <f t="shared" si="1"/>
        <v>2.7676190476190476E-2</v>
      </c>
    </row>
    <row r="40" spans="2:4" x14ac:dyDescent="0.25">
      <c r="B40" s="162" t="str">
        <f>B13</f>
        <v>Husleie</v>
      </c>
      <c r="C40" s="167">
        <f>E13</f>
        <v>162000</v>
      </c>
      <c r="D40" s="166">
        <f t="shared" si="1"/>
        <v>3.0857142857142857E-2</v>
      </c>
    </row>
    <row r="41" spans="2:4" x14ac:dyDescent="0.25">
      <c r="B41" s="176" t="s">
        <v>409</v>
      </c>
      <c r="C41" s="165">
        <f>C14*0.9</f>
        <v>135000</v>
      </c>
      <c r="D41" s="166">
        <f t="shared" si="1"/>
        <v>2.5714285714285714E-2</v>
      </c>
    </row>
    <row r="42" spans="2:4" x14ac:dyDescent="0.25">
      <c r="B42" s="191" t="str">
        <f>B15</f>
        <v>Bilkostnader</v>
      </c>
      <c r="C42" s="165">
        <f>E15</f>
        <v>50000</v>
      </c>
      <c r="D42" s="166">
        <f t="shared" si="1"/>
        <v>9.5238095238095247E-3</v>
      </c>
    </row>
    <row r="43" spans="2:4" x14ac:dyDescent="0.25">
      <c r="B43" s="175" t="s">
        <v>480</v>
      </c>
      <c r="C43" s="172">
        <f>E16</f>
        <v>130000</v>
      </c>
      <c r="D43" s="171">
        <f t="shared" si="1"/>
        <v>2.4761904761904763E-2</v>
      </c>
    </row>
    <row r="44" spans="2:4" x14ac:dyDescent="0.25">
      <c r="B44" s="168" t="s">
        <v>209</v>
      </c>
      <c r="C44" s="174">
        <f>SUM(C36:C43)</f>
        <v>5012700</v>
      </c>
      <c r="D44" s="166">
        <f>C44/$E$7</f>
        <v>0.95479999999999998</v>
      </c>
    </row>
    <row r="45" spans="2:4" x14ac:dyDescent="0.25">
      <c r="B45" s="175"/>
      <c r="C45" s="172"/>
      <c r="D45" s="171"/>
    </row>
    <row r="46" spans="2:4" x14ac:dyDescent="0.25">
      <c r="B46" s="162" t="s">
        <v>481</v>
      </c>
      <c r="C46" s="167">
        <f>C34-C44</f>
        <v>237300</v>
      </c>
      <c r="D46" s="166">
        <f>C46/$E$7</f>
        <v>4.5199999999999997E-2</v>
      </c>
    </row>
    <row r="47" spans="2:4" x14ac:dyDescent="0.25">
      <c r="B47" s="162"/>
      <c r="C47" s="167"/>
      <c r="D47" s="166"/>
    </row>
    <row r="48" spans="2:4" x14ac:dyDescent="0.25">
      <c r="B48" s="162" t="s">
        <v>410</v>
      </c>
      <c r="C48" s="167">
        <f>C21+12000</f>
        <v>40500</v>
      </c>
      <c r="D48" s="166">
        <f>C48/$E$7</f>
        <v>7.7142857142857143E-3</v>
      </c>
    </row>
    <row r="49" spans="1:6" x14ac:dyDescent="0.25">
      <c r="B49" s="175"/>
      <c r="C49" s="172"/>
      <c r="D49" s="171"/>
    </row>
    <row r="50" spans="1:6" x14ac:dyDescent="0.25">
      <c r="B50" s="177" t="s">
        <v>411</v>
      </c>
      <c r="C50" s="178">
        <f>C46-C48</f>
        <v>196800</v>
      </c>
      <c r="D50" s="179">
        <f>C50/$E$7</f>
        <v>3.7485714285714289E-2</v>
      </c>
    </row>
    <row r="51" spans="1:6" x14ac:dyDescent="0.25">
      <c r="C51" s="180"/>
      <c r="D51" s="181"/>
    </row>
    <row r="52" spans="1:6" x14ac:dyDescent="0.25">
      <c r="B52" s="192" t="s">
        <v>185</v>
      </c>
      <c r="C52" s="180"/>
      <c r="D52" s="181"/>
    </row>
    <row r="53" spans="1:6" x14ac:dyDescent="0.25">
      <c r="B53" s="192" t="s">
        <v>546</v>
      </c>
      <c r="C53" s="180"/>
      <c r="D53" s="181"/>
    </row>
    <row r="54" spans="1:6" x14ac:dyDescent="0.25">
      <c r="C54" s="180"/>
      <c r="D54" s="181"/>
    </row>
    <row r="55" spans="1:6" x14ac:dyDescent="0.25">
      <c r="C55" s="180"/>
      <c r="D55" s="181"/>
    </row>
    <row r="56" spans="1:6" x14ac:dyDescent="0.25">
      <c r="A56" s="157" t="s">
        <v>399</v>
      </c>
      <c r="B56" s="160" t="s">
        <v>414</v>
      </c>
    </row>
    <row r="57" spans="1:6" x14ac:dyDescent="0.25">
      <c r="B57" s="161"/>
      <c r="C57" s="164" t="s">
        <v>472</v>
      </c>
      <c r="D57" s="164" t="s">
        <v>473</v>
      </c>
      <c r="E57" s="164" t="s">
        <v>503</v>
      </c>
      <c r="F57" s="164" t="s">
        <v>186</v>
      </c>
    </row>
    <row r="58" spans="1:6" x14ac:dyDescent="0.25">
      <c r="B58" s="162" t="s">
        <v>415</v>
      </c>
      <c r="C58" s="182">
        <v>8.5000000000000006E-2</v>
      </c>
      <c r="D58" s="182">
        <v>7.4999999999999997E-2</v>
      </c>
      <c r="E58" s="182">
        <v>0.09</v>
      </c>
      <c r="F58" s="176"/>
    </row>
    <row r="59" spans="1:6" x14ac:dyDescent="0.25">
      <c r="B59" s="175" t="s">
        <v>416</v>
      </c>
      <c r="C59" s="183">
        <f>1/12</f>
        <v>8.3333333333333329E-2</v>
      </c>
      <c r="D59" s="183">
        <f>1/12</f>
        <v>8.3333333333333329E-2</v>
      </c>
      <c r="E59" s="183">
        <f>1/12</f>
        <v>8.3333333333333329E-2</v>
      </c>
      <c r="F59" s="169"/>
    </row>
    <row r="60" spans="1:6" x14ac:dyDescent="0.25">
      <c r="B60" s="162"/>
      <c r="C60" s="176"/>
      <c r="D60" s="176"/>
      <c r="E60" s="176"/>
      <c r="F60" s="176"/>
    </row>
    <row r="61" spans="1:6" x14ac:dyDescent="0.25">
      <c r="B61" s="162"/>
      <c r="C61" s="176"/>
      <c r="D61" s="176"/>
      <c r="E61" s="176"/>
      <c r="F61" s="176"/>
    </row>
    <row r="62" spans="1:6" x14ac:dyDescent="0.25">
      <c r="B62" s="162" t="s">
        <v>471</v>
      </c>
      <c r="C62" s="184">
        <f>$C$34*C58</f>
        <v>446250.00000000006</v>
      </c>
      <c r="D62" s="184">
        <f>$C$34*D58</f>
        <v>393750</v>
      </c>
      <c r="E62" s="184">
        <f>$C$34*E58</f>
        <v>472500</v>
      </c>
      <c r="F62" s="185">
        <f>SUM(C62:E62)</f>
        <v>1312500</v>
      </c>
    </row>
    <row r="63" spans="1:6" x14ac:dyDescent="0.25">
      <c r="B63" s="162"/>
      <c r="C63" s="184"/>
      <c r="D63" s="185"/>
      <c r="E63" s="185"/>
      <c r="F63" s="185"/>
    </row>
    <row r="64" spans="1:6" x14ac:dyDescent="0.25">
      <c r="B64" s="168" t="s">
        <v>408</v>
      </c>
      <c r="C64" s="184">
        <f>$C$36*C58</f>
        <v>285600</v>
      </c>
      <c r="D64" s="184">
        <f>$C$36*D58</f>
        <v>252000</v>
      </c>
      <c r="E64" s="184">
        <f>$C$36*E58</f>
        <v>302400</v>
      </c>
      <c r="F64" s="185">
        <f t="shared" ref="F64:F78" si="2">SUM(C64:E64)</f>
        <v>840000</v>
      </c>
    </row>
    <row r="65" spans="2:6" x14ac:dyDescent="0.25">
      <c r="B65" s="162" t="s">
        <v>475</v>
      </c>
      <c r="C65" s="184">
        <f>$C$37*C59</f>
        <v>76666.666666666657</v>
      </c>
      <c r="D65" s="184">
        <f>$C$37*D59</f>
        <v>76666.666666666657</v>
      </c>
      <c r="E65" s="184">
        <f>$C$37*E59</f>
        <v>76666.666666666657</v>
      </c>
      <c r="F65" s="185">
        <f t="shared" si="2"/>
        <v>229999.99999999997</v>
      </c>
    </row>
    <row r="66" spans="2:6" x14ac:dyDescent="0.25">
      <c r="B66" s="162" t="str">
        <f t="shared" ref="B66:B71" si="3">B38</f>
        <v>Feriepenger</v>
      </c>
      <c r="C66" s="184">
        <f>$C$38*C59</f>
        <v>9200</v>
      </c>
      <c r="D66" s="184">
        <f>$C$38*D59</f>
        <v>9200</v>
      </c>
      <c r="E66" s="184">
        <f>$C$38*E59</f>
        <v>9200</v>
      </c>
      <c r="F66" s="185">
        <f t="shared" si="2"/>
        <v>27600</v>
      </c>
    </row>
    <row r="67" spans="2:6" x14ac:dyDescent="0.25">
      <c r="B67" s="162" t="str">
        <f t="shared" si="3"/>
        <v>Arbeidsgiveravgift</v>
      </c>
      <c r="C67" s="184">
        <f>$C$39*C59</f>
        <v>12108.333333333332</v>
      </c>
      <c r="D67" s="184">
        <f>$C$39*D59</f>
        <v>12108.333333333332</v>
      </c>
      <c r="E67" s="184">
        <f>$C$39*E59</f>
        <v>12108.333333333332</v>
      </c>
      <c r="F67" s="185">
        <f t="shared" si="2"/>
        <v>36325</v>
      </c>
    </row>
    <row r="68" spans="2:6" x14ac:dyDescent="0.25">
      <c r="B68" s="162" t="str">
        <f t="shared" si="3"/>
        <v>Husleie</v>
      </c>
      <c r="C68" s="184">
        <f>$C$40*C59</f>
        <v>13500</v>
      </c>
      <c r="D68" s="184">
        <f>$C$40*D59</f>
        <v>13500</v>
      </c>
      <c r="E68" s="184">
        <f>$C$40*E59</f>
        <v>13500</v>
      </c>
      <c r="F68" s="185">
        <f t="shared" si="2"/>
        <v>40500</v>
      </c>
    </row>
    <row r="69" spans="2:6" x14ac:dyDescent="0.25">
      <c r="B69" s="162" t="str">
        <f t="shared" si="3"/>
        <v>ADK</v>
      </c>
      <c r="C69" s="184">
        <f>$C$41*C59</f>
        <v>11250</v>
      </c>
      <c r="D69" s="184">
        <f>$C$41*D59</f>
        <v>11250</v>
      </c>
      <c r="E69" s="184">
        <f>$C$41*E59</f>
        <v>11250</v>
      </c>
      <c r="F69" s="185">
        <f t="shared" si="2"/>
        <v>33750</v>
      </c>
    </row>
    <row r="70" spans="2:6" x14ac:dyDescent="0.25">
      <c r="B70" s="162" t="str">
        <f t="shared" si="3"/>
        <v>Bilkostnader</v>
      </c>
      <c r="C70" s="184">
        <f>$C$42*C59</f>
        <v>4166.6666666666661</v>
      </c>
      <c r="D70" s="184">
        <f>$C$42*D59</f>
        <v>4166.6666666666661</v>
      </c>
      <c r="E70" s="184">
        <f>$C$42*E59</f>
        <v>4166.6666666666661</v>
      </c>
      <c r="F70" s="185">
        <f t="shared" si="2"/>
        <v>12499.999999999998</v>
      </c>
    </row>
    <row r="71" spans="2:6" x14ac:dyDescent="0.25">
      <c r="B71" s="162" t="str">
        <f t="shared" si="3"/>
        <v>Avskrivninger</v>
      </c>
      <c r="C71" s="186">
        <f>$C$43*C59</f>
        <v>10833.333333333332</v>
      </c>
      <c r="D71" s="186">
        <f>$C$43*D59</f>
        <v>10833.333333333332</v>
      </c>
      <c r="E71" s="186">
        <f>$C$43*E59</f>
        <v>10833.333333333332</v>
      </c>
      <c r="F71" s="187">
        <f t="shared" si="2"/>
        <v>32499.999999999996</v>
      </c>
    </row>
    <row r="72" spans="2:6" x14ac:dyDescent="0.25">
      <c r="B72" s="168" t="s">
        <v>209</v>
      </c>
      <c r="C72" s="184">
        <f>SUM(C64:C71)</f>
        <v>423324.99999999994</v>
      </c>
      <c r="D72" s="184">
        <f>SUM(D64:D71)</f>
        <v>389724.99999999994</v>
      </c>
      <c r="E72" s="184">
        <f>SUM(E64:E71)</f>
        <v>440124.99999999994</v>
      </c>
      <c r="F72" s="185">
        <f t="shared" si="2"/>
        <v>1253174.9999999998</v>
      </c>
    </row>
    <row r="73" spans="2:6" x14ac:dyDescent="0.25">
      <c r="B73" s="175"/>
      <c r="C73" s="186"/>
      <c r="D73" s="187"/>
      <c r="E73" s="187"/>
      <c r="F73" s="187"/>
    </row>
    <row r="74" spans="2:6" x14ac:dyDescent="0.25">
      <c r="B74" s="162" t="s">
        <v>481</v>
      </c>
      <c r="C74" s="184">
        <f>C62-C72</f>
        <v>22925.000000000116</v>
      </c>
      <c r="D74" s="184">
        <f>D62-D72</f>
        <v>4025.0000000000582</v>
      </c>
      <c r="E74" s="184">
        <f>E62-E72</f>
        <v>32375.000000000058</v>
      </c>
      <c r="F74" s="185">
        <f t="shared" si="2"/>
        <v>59325.000000000233</v>
      </c>
    </row>
    <row r="75" spans="2:6" x14ac:dyDescent="0.25">
      <c r="B75" s="162"/>
      <c r="C75" s="184"/>
      <c r="D75" s="185"/>
      <c r="E75" s="185"/>
      <c r="F75" s="185"/>
    </row>
    <row r="76" spans="2:6" x14ac:dyDescent="0.25">
      <c r="B76" s="162" t="s">
        <v>410</v>
      </c>
      <c r="C76" s="184">
        <f>$C$48*C59</f>
        <v>3375</v>
      </c>
      <c r="D76" s="184">
        <f>$C$48*D59</f>
        <v>3375</v>
      </c>
      <c r="E76" s="184">
        <f>$C$48*E59</f>
        <v>3375</v>
      </c>
      <c r="F76" s="185">
        <f t="shared" si="2"/>
        <v>10125</v>
      </c>
    </row>
    <row r="77" spans="2:6" x14ac:dyDescent="0.25">
      <c r="B77" s="175"/>
      <c r="C77" s="186"/>
      <c r="D77" s="187"/>
      <c r="E77" s="187"/>
      <c r="F77" s="187"/>
    </row>
    <row r="78" spans="2:6" x14ac:dyDescent="0.25">
      <c r="B78" s="194" t="s">
        <v>411</v>
      </c>
      <c r="C78" s="188">
        <f>C74-C76</f>
        <v>19550.000000000116</v>
      </c>
      <c r="D78" s="188">
        <f>D74-D76</f>
        <v>650.00000000005821</v>
      </c>
      <c r="E78" s="188">
        <f>E74-E76</f>
        <v>29000.000000000058</v>
      </c>
      <c r="F78" s="195">
        <f t="shared" si="2"/>
        <v>49200.000000000233</v>
      </c>
    </row>
    <row r="79" spans="2:6" x14ac:dyDescent="0.25">
      <c r="C79" s="189"/>
      <c r="D79" s="189"/>
      <c r="E79" s="189"/>
      <c r="F79" s="190"/>
    </row>
    <row r="80" spans="2:6" x14ac:dyDescent="0.25">
      <c r="C80" s="189"/>
      <c r="D80" s="189"/>
      <c r="E80" s="189"/>
      <c r="F80" s="190"/>
    </row>
    <row r="81" spans="1:6" x14ac:dyDescent="0.25">
      <c r="A81" s="192" t="s">
        <v>400</v>
      </c>
      <c r="B81" s="192" t="s">
        <v>419</v>
      </c>
      <c r="C81" s="189">
        <v>240</v>
      </c>
      <c r="D81" s="189"/>
      <c r="E81" s="189"/>
      <c r="F81" s="190"/>
    </row>
    <row r="82" spans="1:6" x14ac:dyDescent="0.25">
      <c r="B82" s="192" t="s">
        <v>420</v>
      </c>
      <c r="C82" s="158">
        <v>3</v>
      </c>
    </row>
    <row r="83" spans="1:6" x14ac:dyDescent="0.25">
      <c r="B83" s="192" t="s">
        <v>421</v>
      </c>
      <c r="C83" s="158">
        <v>150</v>
      </c>
    </row>
    <row r="85" spans="1:6" x14ac:dyDescent="0.25">
      <c r="B85" s="196" t="s">
        <v>422</v>
      </c>
      <c r="C85" s="197">
        <f>C81*C82*C83</f>
        <v>108000</v>
      </c>
    </row>
    <row r="87" spans="1:6" x14ac:dyDescent="0.25">
      <c r="B87" s="192" t="s">
        <v>423</v>
      </c>
    </row>
    <row r="88" spans="1:6" x14ac:dyDescent="0.25">
      <c r="B88" s="192" t="s">
        <v>424</v>
      </c>
      <c r="C88" s="193">
        <f>C42</f>
        <v>50000</v>
      </c>
    </row>
    <row r="89" spans="1:6" x14ac:dyDescent="0.25">
      <c r="B89" s="192" t="s">
        <v>480</v>
      </c>
      <c r="C89" s="193">
        <v>40000</v>
      </c>
    </row>
    <row r="90" spans="1:6" x14ac:dyDescent="0.25">
      <c r="B90" s="192" t="s">
        <v>425</v>
      </c>
      <c r="C90" s="193">
        <v>12000</v>
      </c>
      <c r="D90" s="192" t="s">
        <v>426</v>
      </c>
    </row>
    <row r="91" spans="1:6" x14ac:dyDescent="0.25">
      <c r="B91" s="196" t="s">
        <v>427</v>
      </c>
      <c r="C91" s="197">
        <f>SUM(C88:C90)</f>
        <v>102000</v>
      </c>
    </row>
    <row r="92" spans="1:6" x14ac:dyDescent="0.25">
      <c r="C92" s="193"/>
    </row>
    <row r="93" spans="1:6" x14ac:dyDescent="0.25">
      <c r="B93" s="192" t="s">
        <v>187</v>
      </c>
    </row>
    <row r="94" spans="1:6" x14ac:dyDescent="0.25">
      <c r="B94" s="192" t="s">
        <v>188</v>
      </c>
    </row>
    <row r="95" spans="1:6" x14ac:dyDescent="0.25">
      <c r="B95" s="192" t="s">
        <v>189</v>
      </c>
    </row>
    <row r="96" spans="1:6" x14ac:dyDescent="0.25">
      <c r="B96" s="192" t="s">
        <v>428</v>
      </c>
    </row>
    <row r="98" spans="1:2" x14ac:dyDescent="0.25">
      <c r="B98" s="192" t="s">
        <v>351</v>
      </c>
    </row>
    <row r="99" spans="1:2" x14ac:dyDescent="0.25">
      <c r="B99" s="192" t="s">
        <v>429</v>
      </c>
    </row>
    <row r="100" spans="1:2" x14ac:dyDescent="0.25">
      <c r="B100" s="192" t="s">
        <v>350</v>
      </c>
    </row>
    <row r="102" spans="1:2" x14ac:dyDescent="0.25">
      <c r="A102" s="192" t="s">
        <v>402</v>
      </c>
      <c r="B102" s="192" t="s">
        <v>190</v>
      </c>
    </row>
    <row r="104" spans="1:2" x14ac:dyDescent="0.25">
      <c r="B104" s="192" t="s">
        <v>157</v>
      </c>
    </row>
    <row r="105" spans="1:2" x14ac:dyDescent="0.25">
      <c r="B105" s="192" t="s">
        <v>155</v>
      </c>
    </row>
    <row r="106" spans="1:2" x14ac:dyDescent="0.25">
      <c r="B106" s="192" t="s">
        <v>156</v>
      </c>
    </row>
    <row r="107" spans="1:2" x14ac:dyDescent="0.25">
      <c r="B107" s="192" t="s">
        <v>158</v>
      </c>
    </row>
    <row r="109" spans="1:2" x14ac:dyDescent="0.25">
      <c r="B109" s="192" t="s">
        <v>159</v>
      </c>
    </row>
  </sheetData>
  <mergeCells count="6">
    <mergeCell ref="C32:D32"/>
    <mergeCell ref="C4:D4"/>
    <mergeCell ref="E4:F4"/>
    <mergeCell ref="C5:D5"/>
    <mergeCell ref="E5:F5"/>
    <mergeCell ref="C31:D31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98" fitToHeight="0" orientation="portrait" r:id="rId1"/>
  <headerFooter alignWithMargins="0">
    <oddHeader>&amp;A&amp;RSide &amp;P</oddHeader>
    <oddFooter>&amp;CLøsninger kapittel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workbookViewId="0">
      <selection activeCell="F15" sqref="F15"/>
    </sheetView>
  </sheetViews>
  <sheetFormatPr baseColWidth="10" defaultColWidth="12" defaultRowHeight="13.2" x14ac:dyDescent="0.25"/>
  <cols>
    <col min="1" max="1" width="3.6640625" style="260" customWidth="1"/>
    <col min="2" max="2" width="25.33203125" style="260" customWidth="1"/>
    <col min="3" max="3" width="14.77734375" style="260" customWidth="1"/>
    <col min="4" max="4" width="13.44140625" style="260" bestFit="1" customWidth="1"/>
    <col min="5" max="5" width="14.33203125" style="260" customWidth="1"/>
    <col min="6" max="16384" width="12" style="260"/>
  </cols>
  <sheetData>
    <row r="1" spans="1:7" x14ac:dyDescent="0.25">
      <c r="A1" s="278" t="s">
        <v>347</v>
      </c>
    </row>
    <row r="2" spans="1:7" s="190" customFormat="1" x14ac:dyDescent="0.25">
      <c r="A2" s="260"/>
      <c r="B2" s="260"/>
      <c r="D2" s="261"/>
      <c r="G2" s="260"/>
    </row>
    <row r="3" spans="1:7" x14ac:dyDescent="0.25">
      <c r="C3" s="277" t="s">
        <v>472</v>
      </c>
      <c r="D3" s="277" t="s">
        <v>473</v>
      </c>
      <c r="E3" s="277" t="s">
        <v>503</v>
      </c>
    </row>
    <row r="4" spans="1:7" s="190" customFormat="1" x14ac:dyDescent="0.25">
      <c r="A4" s="260"/>
      <c r="B4" s="359" t="s">
        <v>220</v>
      </c>
      <c r="C4" s="195">
        <v>567000</v>
      </c>
      <c r="D4" s="195">
        <v>661500</v>
      </c>
      <c r="E4" s="195">
        <v>819000</v>
      </c>
      <c r="G4" s="260"/>
    </row>
    <row r="7" spans="1:7" s="190" customFormat="1" x14ac:dyDescent="0.25">
      <c r="A7" s="260" t="s">
        <v>395</v>
      </c>
      <c r="B7" s="260" t="s">
        <v>330</v>
      </c>
      <c r="G7" s="260"/>
    </row>
    <row r="8" spans="1:7" s="190" customFormat="1" x14ac:dyDescent="0.25">
      <c r="A8" s="260"/>
      <c r="B8" s="260" t="s">
        <v>331</v>
      </c>
      <c r="C8" s="190">
        <f>E4</f>
        <v>819000</v>
      </c>
      <c r="G8" s="260"/>
    </row>
    <row r="10" spans="1:7" s="190" customFormat="1" x14ac:dyDescent="0.25">
      <c r="A10" s="260"/>
      <c r="B10" s="260" t="s">
        <v>221</v>
      </c>
      <c r="C10" s="190">
        <f>D4</f>
        <v>661500</v>
      </c>
      <c r="G10" s="260"/>
    </row>
    <row r="12" spans="1:7" x14ac:dyDescent="0.25">
      <c r="B12" s="260" t="s">
        <v>332</v>
      </c>
    </row>
    <row r="13" spans="1:7" x14ac:dyDescent="0.25">
      <c r="B13" s="360" t="s">
        <v>191</v>
      </c>
      <c r="E13" s="190">
        <f>C4/2</f>
        <v>283500</v>
      </c>
    </row>
    <row r="14" spans="1:7" x14ac:dyDescent="0.25">
      <c r="B14" s="360" t="s">
        <v>194</v>
      </c>
      <c r="C14" s="262"/>
      <c r="E14" s="190">
        <f>D4/2</f>
        <v>330750</v>
      </c>
    </row>
    <row r="15" spans="1:7" x14ac:dyDescent="0.25">
      <c r="E15" s="263">
        <f>SUM(E13:E14)</f>
        <v>614250</v>
      </c>
    </row>
    <row r="17" spans="2:7" x14ac:dyDescent="0.25">
      <c r="B17" s="260" t="s">
        <v>333</v>
      </c>
    </row>
    <row r="18" spans="2:7" x14ac:dyDescent="0.25">
      <c r="B18" s="360" t="s">
        <v>192</v>
      </c>
      <c r="C18" s="262"/>
      <c r="E18" s="190">
        <f>E4*0.2</f>
        <v>163800</v>
      </c>
    </row>
    <row r="19" spans="2:7" x14ac:dyDescent="0.25">
      <c r="B19" s="360" t="s">
        <v>193</v>
      </c>
      <c r="E19" s="190">
        <f>D4*0.8</f>
        <v>529200</v>
      </c>
    </row>
    <row r="20" spans="2:7" x14ac:dyDescent="0.25">
      <c r="E20" s="263">
        <f>SUM(E18:E19)</f>
        <v>693000</v>
      </c>
    </row>
    <row r="22" spans="2:7" x14ac:dyDescent="0.25">
      <c r="B22" s="260" t="s">
        <v>334</v>
      </c>
    </row>
    <row r="23" spans="2:7" x14ac:dyDescent="0.25">
      <c r="C23" s="410" t="s">
        <v>335</v>
      </c>
      <c r="D23" s="411"/>
      <c r="F23" s="265" t="s">
        <v>336</v>
      </c>
    </row>
    <row r="24" spans="2:7" x14ac:dyDescent="0.25">
      <c r="B24" s="266" t="s">
        <v>337</v>
      </c>
      <c r="C24" s="264" t="s">
        <v>338</v>
      </c>
      <c r="D24" s="267" t="s">
        <v>339</v>
      </c>
      <c r="E24" s="268"/>
      <c r="F24" s="269" t="s">
        <v>340</v>
      </c>
    </row>
    <row r="25" spans="2:7" x14ac:dyDescent="0.25">
      <c r="B25" s="270" t="s">
        <v>341</v>
      </c>
      <c r="C25" s="271">
        <f>C4*0.25</f>
        <v>141750</v>
      </c>
      <c r="D25" s="271">
        <f>C4*0.75</f>
        <v>425250</v>
      </c>
      <c r="E25" s="190"/>
      <c r="F25" s="272">
        <f>D25/2</f>
        <v>212625</v>
      </c>
      <c r="G25" s="260" t="s">
        <v>388</v>
      </c>
    </row>
    <row r="26" spans="2:7" x14ac:dyDescent="0.25">
      <c r="B26" s="270" t="s">
        <v>342</v>
      </c>
      <c r="C26" s="185">
        <f>D4*0.25</f>
        <v>165375</v>
      </c>
      <c r="D26" s="185">
        <f>D4*0.75</f>
        <v>496125</v>
      </c>
      <c r="E26" s="190"/>
      <c r="F26" s="272">
        <f>(D26/2)+(C26/2)</f>
        <v>330750</v>
      </c>
      <c r="G26" s="260" t="s">
        <v>343</v>
      </c>
    </row>
    <row r="27" spans="2:7" x14ac:dyDescent="0.25">
      <c r="B27" s="273" t="s">
        <v>344</v>
      </c>
      <c r="C27" s="187">
        <f>E4*0.25</f>
        <v>204750</v>
      </c>
      <c r="D27" s="187">
        <f>E4*0.75</f>
        <v>614250</v>
      </c>
      <c r="E27" s="274"/>
      <c r="F27" s="275">
        <f>C27/2</f>
        <v>102375</v>
      </c>
      <c r="G27" s="260" t="s">
        <v>345</v>
      </c>
    </row>
    <row r="28" spans="2:7" x14ac:dyDescent="0.25">
      <c r="F28" s="276">
        <f>SUM(F25:F27)</f>
        <v>645750</v>
      </c>
    </row>
    <row r="30" spans="2:7" x14ac:dyDescent="0.25">
      <c r="B30" s="260" t="s">
        <v>346</v>
      </c>
    </row>
    <row r="31" spans="2:7" x14ac:dyDescent="0.25">
      <c r="B31" s="260" t="s">
        <v>195</v>
      </c>
    </row>
    <row r="32" spans="2:7" x14ac:dyDescent="0.25">
      <c r="B32" s="260" t="s">
        <v>196</v>
      </c>
    </row>
    <row r="33" spans="2:2" x14ac:dyDescent="0.25">
      <c r="B33" s="260" t="s">
        <v>197</v>
      </c>
    </row>
    <row r="34" spans="2:2" x14ac:dyDescent="0.25">
      <c r="B34" s="260" t="s">
        <v>198</v>
      </c>
    </row>
  </sheetData>
  <mergeCells count="1">
    <mergeCell ref="C23:D23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99" fitToHeight="2" orientation="portrait" r:id="rId1"/>
  <headerFooter alignWithMargins="0">
    <oddHeader>&amp;A</oddHeader>
    <oddFooter>&amp;CLøsninger kapittel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zoomScale="150" workbookViewId="0">
      <selection activeCell="D60" sqref="D60"/>
    </sheetView>
  </sheetViews>
  <sheetFormatPr baseColWidth="10" defaultColWidth="12" defaultRowHeight="13.2" x14ac:dyDescent="0.25"/>
  <cols>
    <col min="1" max="1" width="3.44140625" style="128" customWidth="1"/>
    <col min="2" max="2" width="17.77734375" style="128" customWidth="1"/>
    <col min="3" max="3" width="14.77734375" style="128" customWidth="1"/>
    <col min="4" max="4" width="14" style="128" bestFit="1" customWidth="1"/>
    <col min="5" max="5" width="12.77734375" style="128" bestFit="1" customWidth="1"/>
    <col min="6" max="16384" width="12" style="128"/>
  </cols>
  <sheetData>
    <row r="1" spans="1:7" x14ac:dyDescent="0.25">
      <c r="B1" s="128" t="s">
        <v>199</v>
      </c>
      <c r="C1" s="128">
        <v>0.25</v>
      </c>
    </row>
    <row r="3" spans="1:7" ht="13.8" x14ac:dyDescent="0.25">
      <c r="B3" s="129" t="s">
        <v>391</v>
      </c>
      <c r="C3" s="130"/>
      <c r="D3" s="130"/>
      <c r="E3" s="130"/>
      <c r="F3" s="130"/>
    </row>
    <row r="4" spans="1:7" ht="13.8" x14ac:dyDescent="0.25">
      <c r="B4" s="131"/>
      <c r="C4" s="132"/>
      <c r="D4" s="133" t="s">
        <v>202</v>
      </c>
      <c r="E4" s="133" t="s">
        <v>203</v>
      </c>
      <c r="F4" s="134" t="s">
        <v>204</v>
      </c>
      <c r="G4" s="134" t="s">
        <v>205</v>
      </c>
    </row>
    <row r="5" spans="1:7" ht="13.8" x14ac:dyDescent="0.25">
      <c r="B5" s="127" t="s">
        <v>200</v>
      </c>
      <c r="C5" s="130"/>
      <c r="D5" s="135">
        <f>D7+D6</f>
        <v>675000</v>
      </c>
      <c r="E5" s="135">
        <f>E7+E6</f>
        <v>637500</v>
      </c>
      <c r="F5" s="136">
        <f>F7+F6</f>
        <v>675000</v>
      </c>
      <c r="G5" s="136">
        <f>G7+G6</f>
        <v>750000</v>
      </c>
    </row>
    <row r="6" spans="1:7" ht="13.8" x14ac:dyDescent="0.25">
      <c r="B6" s="137" t="s">
        <v>492</v>
      </c>
      <c r="C6" s="138"/>
      <c r="D6" s="139">
        <f>D7*$C$1</f>
        <v>135000</v>
      </c>
      <c r="E6" s="139">
        <f>E7*$C$1</f>
        <v>127500</v>
      </c>
      <c r="F6" s="140">
        <f>F7*$C$1</f>
        <v>135000</v>
      </c>
      <c r="G6" s="140">
        <f>G7*$C$1</f>
        <v>150000</v>
      </c>
    </row>
    <row r="7" spans="1:7" ht="13.8" x14ac:dyDescent="0.25">
      <c r="B7" s="127" t="s">
        <v>201</v>
      </c>
      <c r="C7" s="130"/>
      <c r="D7" s="135">
        <v>540000</v>
      </c>
      <c r="E7" s="135">
        <v>510000</v>
      </c>
      <c r="F7" s="136">
        <v>540000</v>
      </c>
      <c r="G7" s="136">
        <v>600000</v>
      </c>
    </row>
    <row r="8" spans="1:7" ht="13.8" x14ac:dyDescent="0.25">
      <c r="B8" s="137" t="s">
        <v>505</v>
      </c>
      <c r="C8" s="138"/>
      <c r="D8" s="139">
        <f>D7-D9</f>
        <v>180000</v>
      </c>
      <c r="E8" s="139">
        <f>E7-E9</f>
        <v>170000</v>
      </c>
      <c r="F8" s="140">
        <f>F7-F9</f>
        <v>180000</v>
      </c>
      <c r="G8" s="140">
        <f>G7-G9</f>
        <v>200000</v>
      </c>
    </row>
    <row r="9" spans="1:7" ht="13.8" x14ac:dyDescent="0.25">
      <c r="B9" s="127" t="s">
        <v>506</v>
      </c>
      <c r="C9" s="130"/>
      <c r="D9" s="135">
        <f>D7/1.5</f>
        <v>360000</v>
      </c>
      <c r="E9" s="135">
        <f>E7/1.5</f>
        <v>340000</v>
      </c>
      <c r="F9" s="136">
        <f>F7/1.5</f>
        <v>360000</v>
      </c>
      <c r="G9" s="136">
        <f>G7/1.5</f>
        <v>400000</v>
      </c>
    </row>
    <row r="10" spans="1:7" ht="13.8" x14ac:dyDescent="0.25">
      <c r="B10" s="137" t="s">
        <v>528</v>
      </c>
      <c r="C10" s="138"/>
      <c r="D10" s="139">
        <v>0</v>
      </c>
      <c r="E10" s="139">
        <v>30000</v>
      </c>
      <c r="F10" s="140">
        <v>20000</v>
      </c>
      <c r="G10" s="140">
        <v>0</v>
      </c>
    </row>
    <row r="11" spans="1:7" ht="13.8" x14ac:dyDescent="0.25">
      <c r="B11" s="127" t="s">
        <v>529</v>
      </c>
      <c r="C11" s="130"/>
      <c r="D11" s="135">
        <f>SUM(D9:D10)</f>
        <v>360000</v>
      </c>
      <c r="E11" s="135">
        <f>SUM(E9:E10)</f>
        <v>370000</v>
      </c>
      <c r="F11" s="136">
        <f>SUM(F9:F10)</f>
        <v>380000</v>
      </c>
      <c r="G11" s="136">
        <f>SUM(G9:G10)</f>
        <v>400000</v>
      </c>
    </row>
    <row r="12" spans="1:7" ht="13.8" x14ac:dyDescent="0.25">
      <c r="B12" s="137" t="s">
        <v>492</v>
      </c>
      <c r="C12" s="138"/>
      <c r="D12" s="135">
        <f>D11*$C$1</f>
        <v>90000</v>
      </c>
      <c r="E12" s="135">
        <f>E11*$C$1</f>
        <v>92500</v>
      </c>
      <c r="F12" s="136">
        <f>F11*$C$1</f>
        <v>95000</v>
      </c>
      <c r="G12" s="136">
        <f>G11*$C$1</f>
        <v>100000</v>
      </c>
    </row>
    <row r="13" spans="1:7" ht="13.8" x14ac:dyDescent="0.25">
      <c r="B13" s="137" t="s">
        <v>530</v>
      </c>
      <c r="C13" s="138"/>
      <c r="D13" s="132">
        <f>SUM(D11:D12)</f>
        <v>450000</v>
      </c>
      <c r="E13" s="141">
        <f>SUM(E11:E12)</f>
        <v>462500</v>
      </c>
      <c r="F13" s="142">
        <f>SUM(F11:F12)</f>
        <v>475000</v>
      </c>
      <c r="G13" s="142">
        <f>SUM(G11:G12)</f>
        <v>500000</v>
      </c>
    </row>
    <row r="15" spans="1:7" ht="13.8" x14ac:dyDescent="0.25">
      <c r="A15" s="129" t="s">
        <v>395</v>
      </c>
      <c r="B15" s="129" t="s">
        <v>396</v>
      </c>
      <c r="D15" s="154">
        <f>D8/D9</f>
        <v>0.5</v>
      </c>
      <c r="E15" s="154">
        <f>E8/E9</f>
        <v>0.5</v>
      </c>
      <c r="F15" s="154">
        <f>F8/F9</f>
        <v>0.5</v>
      </c>
    </row>
    <row r="17" spans="1:9" ht="13.8" x14ac:dyDescent="0.25">
      <c r="A17" s="129" t="s">
        <v>394</v>
      </c>
      <c r="B17" s="150"/>
      <c r="C17" s="143"/>
      <c r="D17" s="143"/>
      <c r="E17" s="143"/>
      <c r="F17" s="412" t="s">
        <v>482</v>
      </c>
      <c r="G17" s="413"/>
      <c r="H17" s="413"/>
      <c r="I17" s="144" t="s">
        <v>392</v>
      </c>
    </row>
    <row r="18" spans="1:9" ht="13.8" x14ac:dyDescent="0.25">
      <c r="B18" s="151" t="s">
        <v>522</v>
      </c>
      <c r="C18" s="145" t="s">
        <v>523</v>
      </c>
      <c r="D18" s="145" t="s">
        <v>524</v>
      </c>
      <c r="E18" s="145" t="s">
        <v>525</v>
      </c>
      <c r="F18" s="133" t="s">
        <v>472</v>
      </c>
      <c r="G18" s="133" t="s">
        <v>473</v>
      </c>
      <c r="H18" s="133" t="s">
        <v>503</v>
      </c>
      <c r="I18" s="145" t="s">
        <v>393</v>
      </c>
    </row>
    <row r="19" spans="1:9" ht="13.8" x14ac:dyDescent="0.25">
      <c r="B19" s="152" t="s">
        <v>526</v>
      </c>
      <c r="C19" s="143">
        <v>750000</v>
      </c>
      <c r="D19" s="146"/>
      <c r="E19" s="136">
        <f>C19</f>
        <v>750000</v>
      </c>
      <c r="F19" s="130">
        <f>E19</f>
        <v>750000</v>
      </c>
      <c r="G19" s="136"/>
      <c r="H19" s="146"/>
      <c r="I19" s="147"/>
    </row>
    <row r="20" spans="1:9" ht="13.8" x14ac:dyDescent="0.25">
      <c r="B20" s="152" t="s">
        <v>472</v>
      </c>
      <c r="C20" s="136">
        <f>D5</f>
        <v>675000</v>
      </c>
      <c r="D20" s="146"/>
      <c r="E20" s="136">
        <f>C20</f>
        <v>675000</v>
      </c>
      <c r="F20" s="130"/>
      <c r="G20" s="136">
        <f>E20</f>
        <v>675000</v>
      </c>
      <c r="H20" s="146"/>
      <c r="I20" s="146"/>
    </row>
    <row r="21" spans="1:9" ht="13.8" x14ac:dyDescent="0.25">
      <c r="B21" s="152" t="s">
        <v>473</v>
      </c>
      <c r="C21" s="136">
        <f>E5</f>
        <v>637500</v>
      </c>
      <c r="D21" s="146"/>
      <c r="E21" s="136">
        <f>C21</f>
        <v>637500</v>
      </c>
      <c r="F21" s="130"/>
      <c r="G21" s="136"/>
      <c r="H21" s="146">
        <f>E21</f>
        <v>637500</v>
      </c>
      <c r="I21" s="146"/>
    </row>
    <row r="22" spans="1:9" ht="13.8" x14ac:dyDescent="0.25">
      <c r="B22" s="152" t="s">
        <v>503</v>
      </c>
      <c r="C22" s="140">
        <f>F5</f>
        <v>675000</v>
      </c>
      <c r="D22" s="146"/>
      <c r="E22" s="136">
        <f>C22</f>
        <v>675000</v>
      </c>
      <c r="F22" s="130"/>
      <c r="G22" s="136"/>
      <c r="H22" s="146"/>
      <c r="I22" s="146">
        <f>E22</f>
        <v>675000</v>
      </c>
    </row>
    <row r="23" spans="1:9" ht="14.4" thickBot="1" x14ac:dyDescent="0.3">
      <c r="B23" s="153"/>
      <c r="C23" s="148"/>
      <c r="D23" s="149"/>
      <c r="E23" s="149"/>
      <c r="F23" s="149">
        <f>SUM(F19:F22)</f>
        <v>750000</v>
      </c>
      <c r="G23" s="149">
        <f>SUM(G19:G22)</f>
        <v>675000</v>
      </c>
      <c r="H23" s="149">
        <f>SUM(H19:H22)</f>
        <v>637500</v>
      </c>
      <c r="I23" s="149">
        <f>SUM(I19:I22)</f>
        <v>675000</v>
      </c>
    </row>
    <row r="26" spans="1:9" ht="13.8" x14ac:dyDescent="0.25">
      <c r="B26" s="150"/>
      <c r="C26" s="143"/>
      <c r="D26" s="143"/>
      <c r="E26" s="143"/>
      <c r="F26" s="412" t="s">
        <v>154</v>
      </c>
      <c r="G26" s="413"/>
      <c r="H26" s="413"/>
      <c r="I26" s="144" t="s">
        <v>392</v>
      </c>
    </row>
    <row r="27" spans="1:9" ht="13.8" x14ac:dyDescent="0.25">
      <c r="B27" s="151" t="s">
        <v>522</v>
      </c>
      <c r="C27" s="145" t="s">
        <v>401</v>
      </c>
      <c r="D27" s="145" t="s">
        <v>397</v>
      </c>
      <c r="E27" s="145" t="s">
        <v>206</v>
      </c>
      <c r="F27" s="133" t="s">
        <v>472</v>
      </c>
      <c r="G27" s="133" t="s">
        <v>473</v>
      </c>
      <c r="H27" s="133" t="s">
        <v>503</v>
      </c>
      <c r="I27" s="145" t="s">
        <v>393</v>
      </c>
    </row>
    <row r="28" spans="1:9" ht="13.8" x14ac:dyDescent="0.25">
      <c r="B28" s="152" t="s">
        <v>398</v>
      </c>
      <c r="C28" s="143">
        <v>430000</v>
      </c>
      <c r="D28" s="146"/>
      <c r="E28" s="136">
        <f>C28</f>
        <v>430000</v>
      </c>
      <c r="F28" s="130">
        <f>E28/2</f>
        <v>215000</v>
      </c>
      <c r="G28" s="136"/>
      <c r="H28" s="146"/>
      <c r="I28" s="147"/>
    </row>
    <row r="29" spans="1:9" ht="13.8" x14ac:dyDescent="0.25">
      <c r="B29" s="152" t="s">
        <v>526</v>
      </c>
      <c r="C29" s="136">
        <v>500000</v>
      </c>
      <c r="D29" s="146"/>
      <c r="E29" s="136">
        <f>C29</f>
        <v>500000</v>
      </c>
      <c r="F29" s="130">
        <f>E29/2</f>
        <v>250000</v>
      </c>
      <c r="G29" s="136">
        <f>E29/2</f>
        <v>250000</v>
      </c>
      <c r="H29" s="146"/>
      <c r="I29" s="155"/>
    </row>
    <row r="30" spans="1:9" ht="13.8" x14ac:dyDescent="0.25">
      <c r="B30" s="152" t="s">
        <v>472</v>
      </c>
      <c r="C30" s="136">
        <f>D13</f>
        <v>450000</v>
      </c>
      <c r="D30" s="146"/>
      <c r="E30" s="136">
        <f>C30</f>
        <v>450000</v>
      </c>
      <c r="F30" s="130"/>
      <c r="G30" s="136">
        <f>E30/2</f>
        <v>225000</v>
      </c>
      <c r="H30" s="146">
        <f>E30/2</f>
        <v>225000</v>
      </c>
      <c r="I30" s="146"/>
    </row>
    <row r="31" spans="1:9" ht="13.8" x14ac:dyDescent="0.25">
      <c r="B31" s="152" t="s">
        <v>473</v>
      </c>
      <c r="C31" s="136">
        <f>E13</f>
        <v>462500</v>
      </c>
      <c r="D31" s="146"/>
      <c r="E31" s="136">
        <f>C31</f>
        <v>462500</v>
      </c>
      <c r="F31" s="130"/>
      <c r="G31" s="136"/>
      <c r="H31" s="146">
        <f>E31/2</f>
        <v>231250</v>
      </c>
      <c r="I31" s="146">
        <f>E31/2</f>
        <v>231250</v>
      </c>
    </row>
    <row r="32" spans="1:9" ht="13.8" x14ac:dyDescent="0.25">
      <c r="B32" s="152" t="s">
        <v>503</v>
      </c>
      <c r="C32" s="140">
        <f>F13</f>
        <v>475000</v>
      </c>
      <c r="D32" s="146"/>
      <c r="E32" s="136">
        <f>C32</f>
        <v>475000</v>
      </c>
      <c r="F32" s="130"/>
      <c r="G32" s="136"/>
      <c r="H32" s="146"/>
      <c r="I32" s="146">
        <f>E32</f>
        <v>475000</v>
      </c>
    </row>
    <row r="33" spans="1:9" ht="14.4" thickBot="1" x14ac:dyDescent="0.3">
      <c r="B33" s="153"/>
      <c r="C33" s="148"/>
      <c r="D33" s="149"/>
      <c r="E33" s="149"/>
      <c r="F33" s="149">
        <f>SUM(F28:F32)</f>
        <v>465000</v>
      </c>
      <c r="G33" s="149">
        <f>SUM(G28:G32)</f>
        <v>475000</v>
      </c>
      <c r="H33" s="149">
        <f>SUM(H28:H32)</f>
        <v>456250</v>
      </c>
      <c r="I33" s="149">
        <f>SUM(I28:I32)</f>
        <v>706250</v>
      </c>
    </row>
    <row r="36" spans="1:9" ht="13.8" x14ac:dyDescent="0.25">
      <c r="A36" s="129" t="s">
        <v>399</v>
      </c>
      <c r="B36" s="150"/>
      <c r="C36" s="143"/>
      <c r="D36" s="143"/>
      <c r="E36" s="143"/>
      <c r="F36" s="412" t="s">
        <v>154</v>
      </c>
      <c r="G36" s="413"/>
      <c r="H36" s="413"/>
      <c r="I36" s="144" t="s">
        <v>392</v>
      </c>
    </row>
    <row r="37" spans="1:9" ht="13.8" x14ac:dyDescent="0.25">
      <c r="B37" s="151" t="s">
        <v>522</v>
      </c>
      <c r="C37" s="145" t="str">
        <f>C27</f>
        <v>Varekjøp</v>
      </c>
      <c r="D37" s="145" t="s">
        <v>397</v>
      </c>
      <c r="E37" s="145" t="s">
        <v>206</v>
      </c>
      <c r="F37" s="133" t="s">
        <v>472</v>
      </c>
      <c r="G37" s="133" t="s">
        <v>473</v>
      </c>
      <c r="H37" s="133" t="s">
        <v>503</v>
      </c>
      <c r="I37" s="145" t="s">
        <v>393</v>
      </c>
    </row>
    <row r="38" spans="1:9" ht="13.8" x14ac:dyDescent="0.25">
      <c r="B38" s="127" t="s">
        <v>526</v>
      </c>
      <c r="C38" s="136">
        <f>C29</f>
        <v>500000</v>
      </c>
      <c r="D38" s="146"/>
      <c r="E38" s="136">
        <f>C38</f>
        <v>500000</v>
      </c>
      <c r="F38" s="130">
        <f>E38</f>
        <v>500000</v>
      </c>
      <c r="G38" s="136"/>
      <c r="H38" s="146"/>
      <c r="I38" s="155"/>
    </row>
    <row r="39" spans="1:9" ht="13.8" x14ac:dyDescent="0.25">
      <c r="B39" s="127" t="s">
        <v>472</v>
      </c>
      <c r="C39" s="136">
        <f>C30</f>
        <v>450000</v>
      </c>
      <c r="D39" s="146"/>
      <c r="E39" s="136">
        <f>C39</f>
        <v>450000</v>
      </c>
      <c r="F39" s="130"/>
      <c r="G39" s="136">
        <f>E39</f>
        <v>450000</v>
      </c>
      <c r="H39" s="146"/>
      <c r="I39" s="146"/>
    </row>
    <row r="40" spans="1:9" ht="13.8" x14ac:dyDescent="0.25">
      <c r="B40" s="127" t="s">
        <v>473</v>
      </c>
      <c r="C40" s="136">
        <f>C31</f>
        <v>462500</v>
      </c>
      <c r="D40" s="146"/>
      <c r="E40" s="136">
        <f>C40</f>
        <v>462500</v>
      </c>
      <c r="F40" s="130"/>
      <c r="G40" s="136"/>
      <c r="H40" s="146">
        <f>E40</f>
        <v>462500</v>
      </c>
      <c r="I40" s="146"/>
    </row>
    <row r="41" spans="1:9" ht="13.8" x14ac:dyDescent="0.25">
      <c r="B41" s="127" t="s">
        <v>503</v>
      </c>
      <c r="C41" s="140">
        <f>C32</f>
        <v>475000</v>
      </c>
      <c r="D41" s="146"/>
      <c r="E41" s="136">
        <f>C41</f>
        <v>475000</v>
      </c>
      <c r="F41" s="130"/>
      <c r="G41" s="136"/>
      <c r="H41" s="146"/>
      <c r="I41" s="146">
        <f>E41</f>
        <v>475000</v>
      </c>
    </row>
    <row r="42" spans="1:9" ht="14.4" thickBot="1" x14ac:dyDescent="0.3">
      <c r="B42" s="153"/>
      <c r="C42" s="148"/>
      <c r="D42" s="149"/>
      <c r="E42" s="149"/>
      <c r="F42" s="149">
        <f>SUM(F38:F41)</f>
        <v>500000</v>
      </c>
      <c r="G42" s="149">
        <f>SUM(G38:G41)</f>
        <v>450000</v>
      </c>
      <c r="H42" s="149">
        <f>SUM(H38:H41)</f>
        <v>462500</v>
      </c>
      <c r="I42" s="149">
        <f>SUM(I38:I41)</f>
        <v>475000</v>
      </c>
    </row>
    <row r="44" spans="1:9" ht="13.8" x14ac:dyDescent="0.25">
      <c r="A44" s="129" t="s">
        <v>400</v>
      </c>
      <c r="B44" s="150"/>
      <c r="C44" s="143"/>
      <c r="D44" s="143"/>
      <c r="E44" s="143"/>
      <c r="F44" s="412" t="s">
        <v>154</v>
      </c>
      <c r="G44" s="413"/>
      <c r="H44" s="413"/>
      <c r="I44" s="144" t="s">
        <v>392</v>
      </c>
    </row>
    <row r="45" spans="1:9" ht="13.8" x14ac:dyDescent="0.25">
      <c r="B45" s="151" t="s">
        <v>522</v>
      </c>
      <c r="C45" s="156" t="str">
        <f>C37</f>
        <v>Varekjøp</v>
      </c>
      <c r="D45" s="145" t="s">
        <v>397</v>
      </c>
      <c r="E45" s="145" t="s">
        <v>206</v>
      </c>
      <c r="F45" s="133" t="s">
        <v>472</v>
      </c>
      <c r="G45" s="133" t="s">
        <v>473</v>
      </c>
      <c r="H45" s="133" t="s">
        <v>503</v>
      </c>
      <c r="I45" s="145" t="s">
        <v>393</v>
      </c>
    </row>
    <row r="46" spans="1:9" ht="13.8" x14ac:dyDescent="0.25">
      <c r="B46" s="127" t="s">
        <v>526</v>
      </c>
      <c r="C46" s="144">
        <f>C38</f>
        <v>500000</v>
      </c>
      <c r="D46" s="146"/>
      <c r="E46" s="136">
        <f>C46</f>
        <v>500000</v>
      </c>
      <c r="F46" s="130">
        <f>E46*2/3</f>
        <v>333333.33333333331</v>
      </c>
      <c r="G46" s="136"/>
      <c r="H46" s="146"/>
      <c r="I46" s="155"/>
    </row>
    <row r="47" spans="1:9" ht="13.8" x14ac:dyDescent="0.25">
      <c r="B47" s="127" t="s">
        <v>472</v>
      </c>
      <c r="C47" s="156">
        <f>C39</f>
        <v>450000</v>
      </c>
      <c r="D47" s="146"/>
      <c r="E47" s="136">
        <f>C47</f>
        <v>450000</v>
      </c>
      <c r="F47" s="130">
        <f>E47/3</f>
        <v>150000</v>
      </c>
      <c r="G47" s="136">
        <f>E47*2/3</f>
        <v>300000</v>
      </c>
      <c r="H47" s="146"/>
      <c r="I47" s="146"/>
    </row>
    <row r="48" spans="1:9" ht="13.8" x14ac:dyDescent="0.25">
      <c r="B48" s="127" t="s">
        <v>473</v>
      </c>
      <c r="C48" s="156">
        <f>C40</f>
        <v>462500</v>
      </c>
      <c r="D48" s="146"/>
      <c r="E48" s="136">
        <f>C48</f>
        <v>462500</v>
      </c>
      <c r="F48" s="130"/>
      <c r="G48" s="136">
        <f>E48/3</f>
        <v>154166.66666666666</v>
      </c>
      <c r="H48" s="146">
        <f>E48*2/3</f>
        <v>308333.33333333331</v>
      </c>
      <c r="I48" s="146"/>
    </row>
    <row r="49" spans="1:9" ht="13.8" x14ac:dyDescent="0.25">
      <c r="B49" s="127" t="s">
        <v>503</v>
      </c>
      <c r="C49" s="145">
        <f>C41</f>
        <v>475000</v>
      </c>
      <c r="D49" s="146"/>
      <c r="E49" s="136">
        <f>C49</f>
        <v>475000</v>
      </c>
      <c r="F49" s="130"/>
      <c r="G49" s="136"/>
      <c r="H49" s="146">
        <f>E49/3</f>
        <v>158333.33333333334</v>
      </c>
      <c r="I49" s="146">
        <f>E49*2/3</f>
        <v>316666.66666666669</v>
      </c>
    </row>
    <row r="50" spans="1:9" ht="14.4" thickBot="1" x14ac:dyDescent="0.3">
      <c r="B50" s="153"/>
      <c r="C50" s="148"/>
      <c r="D50" s="149"/>
      <c r="E50" s="149"/>
      <c r="F50" s="149">
        <f>SUM(F46:F49)</f>
        <v>483333.33333333331</v>
      </c>
      <c r="G50" s="149">
        <f>SUM(G46:G49)</f>
        <v>454166.66666666663</v>
      </c>
      <c r="H50" s="149">
        <f>SUM(H46:H49)</f>
        <v>466666.66666666663</v>
      </c>
      <c r="I50" s="149">
        <f>SUM(I46:I49)</f>
        <v>316666.66666666669</v>
      </c>
    </row>
    <row r="52" spans="1:9" ht="13.8" x14ac:dyDescent="0.25">
      <c r="A52" s="129" t="s">
        <v>402</v>
      </c>
      <c r="B52" s="150"/>
      <c r="C52" s="143"/>
      <c r="D52" s="143"/>
      <c r="E52" s="143"/>
      <c r="F52" s="412" t="s">
        <v>154</v>
      </c>
      <c r="G52" s="413"/>
      <c r="H52" s="413"/>
      <c r="I52" s="144" t="s">
        <v>392</v>
      </c>
    </row>
    <row r="53" spans="1:9" ht="13.8" x14ac:dyDescent="0.25">
      <c r="B53" s="151" t="s">
        <v>522</v>
      </c>
      <c r="C53" s="156" t="s">
        <v>401</v>
      </c>
      <c r="D53" s="145" t="s">
        <v>207</v>
      </c>
      <c r="E53" s="145" t="s">
        <v>208</v>
      </c>
      <c r="F53" s="133" t="s">
        <v>472</v>
      </c>
      <c r="G53" s="133" t="s">
        <v>473</v>
      </c>
      <c r="H53" s="133" t="s">
        <v>503</v>
      </c>
      <c r="I53" s="145" t="s">
        <v>393</v>
      </c>
    </row>
    <row r="54" spans="1:9" ht="13.8" x14ac:dyDescent="0.25">
      <c r="B54" s="127" t="s">
        <v>398</v>
      </c>
      <c r="C54" s="143">
        <f>C28</f>
        <v>430000</v>
      </c>
      <c r="D54" s="146">
        <f>C54*0.5*0.9</f>
        <v>193500</v>
      </c>
      <c r="E54" s="136">
        <f>C54/2</f>
        <v>215000</v>
      </c>
      <c r="F54" s="130">
        <f>E54/2</f>
        <v>107500</v>
      </c>
      <c r="G54" s="136"/>
      <c r="H54" s="146"/>
      <c r="I54" s="147"/>
    </row>
    <row r="55" spans="1:9" ht="13.8" x14ac:dyDescent="0.25">
      <c r="B55" s="127" t="s">
        <v>526</v>
      </c>
      <c r="C55" s="136">
        <f>C29</f>
        <v>500000</v>
      </c>
      <c r="D55" s="146">
        <f>C55*0.5*0.9</f>
        <v>225000</v>
      </c>
      <c r="E55" s="136">
        <f>C55/2</f>
        <v>250000</v>
      </c>
      <c r="F55" s="130">
        <f>(D55/3)+(E55/2)</f>
        <v>200000</v>
      </c>
      <c r="G55" s="136">
        <f>E55/2</f>
        <v>125000</v>
      </c>
      <c r="H55" s="146"/>
      <c r="I55" s="155"/>
    </row>
    <row r="56" spans="1:9" ht="13.8" x14ac:dyDescent="0.25">
      <c r="B56" s="127" t="s">
        <v>472</v>
      </c>
      <c r="C56" s="136">
        <f>C30</f>
        <v>450000</v>
      </c>
      <c r="D56" s="146">
        <f>C56*0.5*0.9</f>
        <v>202500</v>
      </c>
      <c r="E56" s="136">
        <f>C56/2</f>
        <v>225000</v>
      </c>
      <c r="F56" s="130">
        <f>D56*2/3</f>
        <v>135000</v>
      </c>
      <c r="G56" s="136">
        <f>(D56/3)+(E56/2)</f>
        <v>180000</v>
      </c>
      <c r="H56" s="146">
        <f>E56/2</f>
        <v>112500</v>
      </c>
      <c r="I56" s="146"/>
    </row>
    <row r="57" spans="1:9" ht="13.8" x14ac:dyDescent="0.25">
      <c r="B57" s="127" t="s">
        <v>473</v>
      </c>
      <c r="C57" s="136">
        <f>C31</f>
        <v>462500</v>
      </c>
      <c r="D57" s="146">
        <f>C57*0.5*0.9</f>
        <v>208125</v>
      </c>
      <c r="E57" s="136">
        <f>C57/2</f>
        <v>231250</v>
      </c>
      <c r="F57" s="130"/>
      <c r="G57" s="136">
        <f>D57*2/3</f>
        <v>138750</v>
      </c>
      <c r="H57" s="146">
        <f>(D57/3)+(E57/2)</f>
        <v>185000</v>
      </c>
      <c r="I57" s="146">
        <f>E57/2</f>
        <v>115625</v>
      </c>
    </row>
    <row r="58" spans="1:9" ht="13.8" x14ac:dyDescent="0.25">
      <c r="B58" s="127" t="s">
        <v>503</v>
      </c>
      <c r="C58" s="140">
        <f>C32</f>
        <v>475000</v>
      </c>
      <c r="D58" s="146">
        <f>C58*0.5*0.9</f>
        <v>213750</v>
      </c>
      <c r="E58" s="136">
        <f>C58/2</f>
        <v>237500</v>
      </c>
      <c r="F58" s="130"/>
      <c r="G58" s="136"/>
      <c r="H58" s="146">
        <f>D58*2/3</f>
        <v>142500</v>
      </c>
      <c r="I58" s="146">
        <f>D58+E58-H58</f>
        <v>308750</v>
      </c>
    </row>
    <row r="59" spans="1:9" ht="14.4" thickBot="1" x14ac:dyDescent="0.3">
      <c r="B59" s="153"/>
      <c r="C59" s="148"/>
      <c r="D59" s="149"/>
      <c r="E59" s="149"/>
      <c r="F59" s="149">
        <f>SUM(F54:F58)</f>
        <v>442500</v>
      </c>
      <c r="G59" s="149">
        <f>SUM(G54:G58)</f>
        <v>443750</v>
      </c>
      <c r="H59" s="149">
        <f>SUM(H54:H58)</f>
        <v>440000</v>
      </c>
      <c r="I59" s="149">
        <f>SUM(I54:I58)</f>
        <v>424375</v>
      </c>
    </row>
    <row r="60" spans="1:9" x14ac:dyDescent="0.25">
      <c r="D60" s="361"/>
    </row>
  </sheetData>
  <mergeCells count="5">
    <mergeCell ref="F17:H17"/>
    <mergeCell ref="F26:H26"/>
    <mergeCell ref="F36:H36"/>
    <mergeCell ref="F44:H44"/>
    <mergeCell ref="F52:H52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&amp;A&amp;RSide &amp;P</oddHeader>
    <oddFooter>&amp;CLøsninger kapittel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1"/>
  <sheetViews>
    <sheetView zoomScale="125" workbookViewId="0">
      <selection activeCell="H12" sqref="H12"/>
    </sheetView>
  </sheetViews>
  <sheetFormatPr baseColWidth="10" defaultColWidth="12" defaultRowHeight="13.2" x14ac:dyDescent="0.25"/>
  <cols>
    <col min="1" max="1" width="3.6640625" style="158" customWidth="1"/>
    <col min="2" max="2" width="28.6640625" style="158" customWidth="1"/>
    <col min="3" max="3" width="15" style="158" bestFit="1" customWidth="1"/>
    <col min="4" max="4" width="15" style="158" customWidth="1"/>
    <col min="5" max="5" width="14.109375" style="158" customWidth="1"/>
    <col min="6" max="16384" width="12" style="158"/>
  </cols>
  <sheetData>
    <row r="1" spans="1:8" x14ac:dyDescent="0.25">
      <c r="A1" s="157" t="s">
        <v>304</v>
      </c>
    </row>
    <row r="2" spans="1:8" x14ac:dyDescent="0.25">
      <c r="A2" s="157"/>
      <c r="C2" s="158" t="s">
        <v>492</v>
      </c>
      <c r="D2" s="159">
        <v>0.25</v>
      </c>
    </row>
    <row r="3" spans="1:8" x14ac:dyDescent="0.25">
      <c r="A3" s="157"/>
    </row>
    <row r="4" spans="1:8" x14ac:dyDescent="0.25">
      <c r="A4" s="160" t="s">
        <v>395</v>
      </c>
      <c r="B4" s="161"/>
      <c r="C4" s="405" t="s">
        <v>403</v>
      </c>
      <c r="D4" s="406"/>
      <c r="E4" s="405" t="s">
        <v>404</v>
      </c>
      <c r="F4" s="406"/>
    </row>
    <row r="5" spans="1:8" x14ac:dyDescent="0.25">
      <c r="B5" s="162"/>
      <c r="C5" s="407" t="s">
        <v>352</v>
      </c>
      <c r="D5" s="408"/>
      <c r="E5" s="407" t="s">
        <v>405</v>
      </c>
      <c r="F5" s="408"/>
    </row>
    <row r="6" spans="1:8" x14ac:dyDescent="0.25">
      <c r="B6" s="162"/>
      <c r="C6" s="163" t="s">
        <v>406</v>
      </c>
      <c r="D6" s="164" t="s">
        <v>407</v>
      </c>
      <c r="E6" s="164" t="str">
        <f>C6</f>
        <v>Kr</v>
      </c>
      <c r="F6" s="164" t="str">
        <f>D6</f>
        <v>%</v>
      </c>
    </row>
    <row r="7" spans="1:8" x14ac:dyDescent="0.25">
      <c r="B7" s="162" t="s">
        <v>471</v>
      </c>
      <c r="C7" s="165">
        <v>10000000</v>
      </c>
      <c r="D7" s="166">
        <f>C7/C7</f>
        <v>1</v>
      </c>
      <c r="E7" s="167">
        <f>C7*1.05</f>
        <v>10500000</v>
      </c>
      <c r="F7" s="166">
        <f>E7/E7</f>
        <v>1</v>
      </c>
    </row>
    <row r="8" spans="1:8" x14ac:dyDescent="0.25">
      <c r="B8" s="162"/>
      <c r="C8" s="165"/>
      <c r="D8" s="166"/>
      <c r="E8" s="167"/>
      <c r="F8" s="166"/>
    </row>
    <row r="9" spans="1:8" x14ac:dyDescent="0.25">
      <c r="B9" s="168" t="s">
        <v>408</v>
      </c>
      <c r="C9" s="165">
        <v>4000000</v>
      </c>
      <c r="D9" s="166">
        <f t="shared" ref="D9:D16" si="0">C9/$C$7</f>
        <v>0.4</v>
      </c>
      <c r="E9" s="167">
        <f>E7*F9</f>
        <v>3674999.9999999995</v>
      </c>
      <c r="F9" s="166">
        <v>0.35</v>
      </c>
    </row>
    <row r="10" spans="1:8" x14ac:dyDescent="0.25">
      <c r="B10" s="162" t="s">
        <v>475</v>
      </c>
      <c r="C10" s="165">
        <v>2000000</v>
      </c>
      <c r="D10" s="166">
        <f t="shared" si="0"/>
        <v>0.2</v>
      </c>
      <c r="E10" s="167">
        <f>C10</f>
        <v>2000000</v>
      </c>
      <c r="F10" s="166">
        <f t="shared" ref="F10:F16" si="1">E10/$E$7</f>
        <v>0.19047619047619047</v>
      </c>
      <c r="H10" s="193"/>
    </row>
    <row r="11" spans="1:8" x14ac:dyDescent="0.25">
      <c r="B11" s="162" t="s">
        <v>476</v>
      </c>
      <c r="C11" s="165">
        <f>C10*0.12</f>
        <v>240000</v>
      </c>
      <c r="D11" s="166">
        <f t="shared" si="0"/>
        <v>2.4E-2</v>
      </c>
      <c r="E11" s="167">
        <f>C11</f>
        <v>240000</v>
      </c>
      <c r="F11" s="166">
        <f t="shared" si="1"/>
        <v>2.2857142857142857E-2</v>
      </c>
      <c r="H11" s="193"/>
    </row>
    <row r="12" spans="1:8" x14ac:dyDescent="0.25">
      <c r="B12" s="191" t="s">
        <v>477</v>
      </c>
      <c r="C12" s="165">
        <v>316000</v>
      </c>
      <c r="D12" s="166">
        <f t="shared" si="0"/>
        <v>3.1600000000000003E-2</v>
      </c>
      <c r="E12" s="167">
        <f>C12</f>
        <v>316000</v>
      </c>
      <c r="F12" s="166">
        <f t="shared" si="1"/>
        <v>3.0095238095238095E-2</v>
      </c>
    </row>
    <row r="13" spans="1:8" x14ac:dyDescent="0.25">
      <c r="B13" s="162" t="s">
        <v>478</v>
      </c>
      <c r="C13" s="165">
        <v>1000000</v>
      </c>
      <c r="D13" s="166">
        <f t="shared" si="0"/>
        <v>0.1</v>
      </c>
      <c r="E13" s="167">
        <f>C13*1.05</f>
        <v>1050000</v>
      </c>
      <c r="F13" s="166">
        <f t="shared" si="1"/>
        <v>0.1</v>
      </c>
    </row>
    <row r="14" spans="1:8" x14ac:dyDescent="0.25">
      <c r="B14" s="162" t="s">
        <v>409</v>
      </c>
      <c r="C14" s="165">
        <v>1000000</v>
      </c>
      <c r="D14" s="166">
        <f t="shared" si="0"/>
        <v>0.1</v>
      </c>
      <c r="E14" s="167">
        <f>E7*0.08</f>
        <v>840000</v>
      </c>
      <c r="F14" s="166">
        <f t="shared" si="1"/>
        <v>0.08</v>
      </c>
    </row>
    <row r="15" spans="1:8" x14ac:dyDescent="0.25">
      <c r="B15" s="169" t="s">
        <v>480</v>
      </c>
      <c r="C15" s="170">
        <v>300000</v>
      </c>
      <c r="D15" s="171">
        <f t="shared" si="0"/>
        <v>0.03</v>
      </c>
      <c r="E15" s="172">
        <f>C15</f>
        <v>300000</v>
      </c>
      <c r="F15" s="171">
        <f t="shared" si="1"/>
        <v>2.8571428571428571E-2</v>
      </c>
    </row>
    <row r="16" spans="1:8" x14ac:dyDescent="0.25">
      <c r="B16" s="168" t="s">
        <v>209</v>
      </c>
      <c r="C16" s="173">
        <f>SUM(C9:C15)</f>
        <v>8856000</v>
      </c>
      <c r="D16" s="166">
        <f t="shared" si="0"/>
        <v>0.88560000000000005</v>
      </c>
      <c r="E16" s="174">
        <f>SUM(E9:E15)</f>
        <v>8421000</v>
      </c>
      <c r="F16" s="166">
        <f t="shared" si="1"/>
        <v>0.80200000000000005</v>
      </c>
    </row>
    <row r="17" spans="1:9" x14ac:dyDescent="0.25">
      <c r="B17" s="175"/>
      <c r="C17" s="170"/>
      <c r="D17" s="171"/>
      <c r="E17" s="172"/>
      <c r="F17" s="171"/>
    </row>
    <row r="18" spans="1:9" x14ac:dyDescent="0.25">
      <c r="B18" s="162" t="s">
        <v>481</v>
      </c>
      <c r="C18" s="165">
        <f>C7-C16</f>
        <v>1144000</v>
      </c>
      <c r="D18" s="166">
        <f>C18/$C$7</f>
        <v>0.1144</v>
      </c>
      <c r="E18" s="167">
        <f>E7-E16</f>
        <v>2079000</v>
      </c>
      <c r="F18" s="166">
        <f>E18/$E$7</f>
        <v>0.19800000000000001</v>
      </c>
    </row>
    <row r="19" spans="1:9" x14ac:dyDescent="0.25">
      <c r="B19" s="162"/>
      <c r="C19" s="165"/>
      <c r="D19" s="166"/>
      <c r="E19" s="167"/>
      <c r="F19" s="166"/>
    </row>
    <row r="20" spans="1:9" x14ac:dyDescent="0.25">
      <c r="B20" s="162" t="s">
        <v>410</v>
      </c>
      <c r="C20" s="165">
        <v>400000</v>
      </c>
      <c r="D20" s="166">
        <f>C20/$C$7</f>
        <v>0.04</v>
      </c>
      <c r="E20" s="167">
        <f>C20</f>
        <v>400000</v>
      </c>
      <c r="F20" s="166">
        <f>E20/$E$7</f>
        <v>3.8095238095238099E-2</v>
      </c>
    </row>
    <row r="21" spans="1:9" x14ac:dyDescent="0.25">
      <c r="B21" s="175"/>
      <c r="C21" s="170"/>
      <c r="D21" s="171"/>
      <c r="E21" s="172"/>
      <c r="F21" s="171"/>
    </row>
    <row r="22" spans="1:9" x14ac:dyDescent="0.25">
      <c r="B22" s="177" t="s">
        <v>411</v>
      </c>
      <c r="C22" s="178">
        <f>C18-C20</f>
        <v>744000</v>
      </c>
      <c r="D22" s="179">
        <f>C22/$C$7</f>
        <v>7.4399999999999994E-2</v>
      </c>
      <c r="E22" s="178">
        <f>E18-E20</f>
        <v>1679000</v>
      </c>
      <c r="F22" s="179">
        <f>E22/$E$7</f>
        <v>0.15990476190476191</v>
      </c>
    </row>
    <row r="23" spans="1:9" x14ac:dyDescent="0.25">
      <c r="C23" s="180"/>
      <c r="D23" s="180"/>
      <c r="E23" s="180"/>
      <c r="F23" s="180"/>
    </row>
    <row r="24" spans="1:9" x14ac:dyDescent="0.25">
      <c r="A24" s="157" t="s">
        <v>305</v>
      </c>
      <c r="C24" s="180"/>
      <c r="D24" s="180"/>
      <c r="E24" s="180"/>
      <c r="F24" s="180"/>
    </row>
    <row r="25" spans="1:9" x14ac:dyDescent="0.25">
      <c r="A25" s="157"/>
      <c r="C25" s="180"/>
      <c r="D25" s="180"/>
      <c r="E25" s="180"/>
      <c r="F25" s="180"/>
    </row>
    <row r="26" spans="1:9" x14ac:dyDescent="0.25">
      <c r="A26" s="157"/>
      <c r="B26" s="192" t="s">
        <v>306</v>
      </c>
      <c r="C26" s="180"/>
      <c r="D26" s="180"/>
      <c r="E26" s="180"/>
      <c r="F26" s="180"/>
    </row>
    <row r="27" spans="1:9" x14ac:dyDescent="0.25">
      <c r="C27" s="180"/>
      <c r="D27" s="180"/>
      <c r="E27" s="180"/>
      <c r="F27" s="180"/>
    </row>
    <row r="28" spans="1:9" ht="13.8" x14ac:dyDescent="0.25">
      <c r="B28" s="150"/>
      <c r="C28" s="143"/>
      <c r="D28" s="143"/>
      <c r="E28" s="143"/>
      <c r="F28" s="412" t="s">
        <v>482</v>
      </c>
      <c r="G28" s="413"/>
      <c r="H28" s="413"/>
      <c r="I28" s="144" t="s">
        <v>392</v>
      </c>
    </row>
    <row r="29" spans="1:9" ht="13.8" x14ac:dyDescent="0.25">
      <c r="B29" s="151" t="s">
        <v>522</v>
      </c>
      <c r="C29" s="145" t="s">
        <v>523</v>
      </c>
      <c r="D29" s="145" t="s">
        <v>524</v>
      </c>
      <c r="E29" s="145" t="s">
        <v>525</v>
      </c>
      <c r="F29" s="133" t="s">
        <v>472</v>
      </c>
      <c r="G29" s="133" t="s">
        <v>473</v>
      </c>
      <c r="H29" s="133" t="s">
        <v>503</v>
      </c>
      <c r="I29" s="145" t="s">
        <v>393</v>
      </c>
    </row>
    <row r="30" spans="1:9" ht="13.8" x14ac:dyDescent="0.25">
      <c r="B30" s="152" t="s">
        <v>526</v>
      </c>
      <c r="C30" s="143">
        <f>C7/12*(1+D2)</f>
        <v>1041666.6666666667</v>
      </c>
      <c r="D30" s="146"/>
      <c r="E30" s="136">
        <f>C30</f>
        <v>1041666.6666666667</v>
      </c>
      <c r="F30" s="130">
        <f>E30</f>
        <v>1041666.6666666667</v>
      </c>
      <c r="G30" s="136"/>
      <c r="H30" s="146"/>
      <c r="I30" s="147"/>
    </row>
    <row r="31" spans="1:9" ht="13.8" x14ac:dyDescent="0.25">
      <c r="B31" s="152" t="s">
        <v>472</v>
      </c>
      <c r="C31" s="136">
        <f>($E$7/12)*(1+$D$2)</f>
        <v>1093750</v>
      </c>
      <c r="D31" s="146"/>
      <c r="E31" s="136">
        <f>C31</f>
        <v>1093750</v>
      </c>
      <c r="F31" s="130">
        <f>E31/2</f>
        <v>546875</v>
      </c>
      <c r="G31" s="136">
        <f>E31/2</f>
        <v>546875</v>
      </c>
      <c r="H31" s="146"/>
      <c r="I31" s="146"/>
    </row>
    <row r="32" spans="1:9" ht="13.8" x14ac:dyDescent="0.25">
      <c r="B32" s="152" t="s">
        <v>473</v>
      </c>
      <c r="C32" s="136">
        <f>($E$7/12)*(1+$D$2)</f>
        <v>1093750</v>
      </c>
      <c r="D32" s="146"/>
      <c r="E32" s="136">
        <f>C32</f>
        <v>1093750</v>
      </c>
      <c r="F32" s="130"/>
      <c r="G32" s="136">
        <f>E32/2</f>
        <v>546875</v>
      </c>
      <c r="H32" s="146">
        <f>E32/2</f>
        <v>546875</v>
      </c>
      <c r="I32" s="146"/>
    </row>
    <row r="33" spans="1:9" ht="13.8" x14ac:dyDescent="0.25">
      <c r="B33" s="152" t="s">
        <v>503</v>
      </c>
      <c r="C33" s="140">
        <f>($E$7/12)*(1+$D$2)</f>
        <v>1093750</v>
      </c>
      <c r="D33" s="146"/>
      <c r="E33" s="136">
        <f>C33</f>
        <v>1093750</v>
      </c>
      <c r="F33" s="130"/>
      <c r="G33" s="136"/>
      <c r="H33" s="146">
        <f>E33/2</f>
        <v>546875</v>
      </c>
      <c r="I33" s="146">
        <f>E33/2</f>
        <v>546875</v>
      </c>
    </row>
    <row r="34" spans="1:9" ht="14.4" thickBot="1" x14ac:dyDescent="0.3">
      <c r="B34" s="153"/>
      <c r="C34" s="148"/>
      <c r="D34" s="143"/>
      <c r="E34" s="143"/>
      <c r="F34" s="143">
        <f>SUM(F30:F33)</f>
        <v>1588541.6666666667</v>
      </c>
      <c r="G34" s="143">
        <f>SUM(G30:G33)</f>
        <v>1093750</v>
      </c>
      <c r="H34" s="143">
        <f>SUM(H30:H33)</f>
        <v>1093750</v>
      </c>
      <c r="I34" s="149">
        <f>SUM(I30:I33)</f>
        <v>546875</v>
      </c>
    </row>
    <row r="35" spans="1:9" x14ac:dyDescent="0.25">
      <c r="C35" s="180"/>
      <c r="D35" s="288" t="s">
        <v>309</v>
      </c>
      <c r="E35" s="289"/>
      <c r="F35" s="410">
        <f>INT(SUM(F34:H34))</f>
        <v>3776041</v>
      </c>
      <c r="G35" s="414"/>
      <c r="H35" s="411"/>
    </row>
    <row r="36" spans="1:9" x14ac:dyDescent="0.25">
      <c r="C36" s="180"/>
      <c r="D36" s="180"/>
      <c r="E36" s="180"/>
      <c r="F36" s="180"/>
    </row>
    <row r="37" spans="1:9" ht="13.8" x14ac:dyDescent="0.25">
      <c r="B37" s="150"/>
      <c r="C37" s="143"/>
      <c r="D37" s="143"/>
      <c r="E37" s="143"/>
      <c r="F37" s="412" t="s">
        <v>89</v>
      </c>
      <c r="G37" s="413"/>
      <c r="H37" s="413"/>
      <c r="I37" s="144" t="s">
        <v>392</v>
      </c>
    </row>
    <row r="38" spans="1:9" ht="13.8" x14ac:dyDescent="0.25">
      <c r="B38" s="151" t="s">
        <v>522</v>
      </c>
      <c r="C38" s="145" t="s">
        <v>401</v>
      </c>
      <c r="D38" s="145" t="s">
        <v>397</v>
      </c>
      <c r="E38" s="145" t="s">
        <v>160</v>
      </c>
      <c r="F38" s="133" t="s">
        <v>472</v>
      </c>
      <c r="G38" s="133" t="s">
        <v>473</v>
      </c>
      <c r="H38" s="133" t="s">
        <v>503</v>
      </c>
      <c r="I38" s="145" t="s">
        <v>393</v>
      </c>
    </row>
    <row r="39" spans="1:9" ht="13.8" x14ac:dyDescent="0.25">
      <c r="A39" s="157"/>
      <c r="B39" s="152" t="s">
        <v>526</v>
      </c>
      <c r="C39" s="136">
        <v>400000</v>
      </c>
      <c r="D39" s="146"/>
      <c r="E39" s="136">
        <f>C39</f>
        <v>400000</v>
      </c>
      <c r="F39" s="130">
        <f>E39</f>
        <v>400000</v>
      </c>
      <c r="G39" s="136"/>
      <c r="H39" s="146"/>
      <c r="I39" s="155"/>
    </row>
    <row r="40" spans="1:9" ht="13.8" x14ac:dyDescent="0.25">
      <c r="B40" s="152" t="s">
        <v>472</v>
      </c>
      <c r="C40" s="136">
        <f>$E$9/12*(1+$D$2)</f>
        <v>382812.49999999994</v>
      </c>
      <c r="D40" s="146"/>
      <c r="E40" s="136">
        <f>C40</f>
        <v>382812.49999999994</v>
      </c>
      <c r="F40" s="130"/>
      <c r="G40" s="136">
        <f>E40*2/3</f>
        <v>255208.33333333328</v>
      </c>
      <c r="H40" s="146">
        <f>E40/3</f>
        <v>127604.16666666664</v>
      </c>
      <c r="I40" s="146"/>
    </row>
    <row r="41" spans="1:9" ht="13.8" x14ac:dyDescent="0.25">
      <c r="B41" s="152" t="s">
        <v>473</v>
      </c>
      <c r="C41" s="136">
        <f>$E$9/12*(1+$D$2)</f>
        <v>382812.49999999994</v>
      </c>
      <c r="D41" s="146"/>
      <c r="E41" s="136">
        <f>C41</f>
        <v>382812.49999999994</v>
      </c>
      <c r="F41" s="130"/>
      <c r="G41" s="136"/>
      <c r="H41" s="146">
        <f>E41*2/3</f>
        <v>255208.33333333328</v>
      </c>
      <c r="I41" s="146">
        <f>E41/3</f>
        <v>127604.16666666664</v>
      </c>
    </row>
    <row r="42" spans="1:9" ht="13.8" x14ac:dyDescent="0.25">
      <c r="B42" s="152" t="s">
        <v>503</v>
      </c>
      <c r="C42" s="140">
        <f>$E$9/12*(1+$D$2)</f>
        <v>382812.49999999994</v>
      </c>
      <c r="D42" s="146"/>
      <c r="E42" s="136">
        <f>C42</f>
        <v>382812.49999999994</v>
      </c>
      <c r="F42" s="130"/>
      <c r="G42" s="136"/>
      <c r="H42" s="146"/>
      <c r="I42" s="146">
        <f>E42</f>
        <v>382812.49999999994</v>
      </c>
    </row>
    <row r="43" spans="1:9" ht="14.4" thickBot="1" x14ac:dyDescent="0.3">
      <c r="B43" s="153"/>
      <c r="C43" s="148"/>
      <c r="D43" s="149"/>
      <c r="E43" s="149"/>
      <c r="F43" s="149">
        <f>SUM(F39:F42)</f>
        <v>400000</v>
      </c>
      <c r="G43" s="149">
        <f>SUM(G39:G42)</f>
        <v>255208.33333333328</v>
      </c>
      <c r="H43" s="149">
        <f>SUM(H39:H42)</f>
        <v>382812.49999999994</v>
      </c>
      <c r="I43" s="149">
        <f>SUM(I39:I42)</f>
        <v>510416.66666666657</v>
      </c>
    </row>
    <row r="44" spans="1:9" ht="13.8" x14ac:dyDescent="0.25">
      <c r="B44" s="129"/>
      <c r="C44" s="130"/>
      <c r="D44" s="288" t="str">
        <f>D35</f>
        <v>Sum 1. kvartal</v>
      </c>
      <c r="E44" s="289"/>
      <c r="F44" s="410">
        <f>INT(SUM(F43:H43))</f>
        <v>1038020</v>
      </c>
      <c r="G44" s="414"/>
      <c r="H44" s="411"/>
      <c r="I44" s="130"/>
    </row>
    <row r="45" spans="1:9" ht="13.8" x14ac:dyDescent="0.25">
      <c r="B45" s="129"/>
      <c r="C45" s="130"/>
      <c r="D45" s="239"/>
      <c r="F45" s="219"/>
      <c r="G45" s="219"/>
      <c r="H45" s="219"/>
      <c r="I45" s="130"/>
    </row>
    <row r="46" spans="1:9" ht="13.8" x14ac:dyDescent="0.25">
      <c r="B46" s="129" t="s">
        <v>161</v>
      </c>
      <c r="C46" s="130"/>
      <c r="D46" s="130"/>
      <c r="E46" s="130"/>
      <c r="F46" s="130"/>
      <c r="G46" s="130"/>
      <c r="H46" s="130"/>
      <c r="I46" s="130"/>
    </row>
    <row r="47" spans="1:9" s="290" customFormat="1" ht="13.8" x14ac:dyDescent="0.25">
      <c r="C47" s="291"/>
      <c r="D47" s="292"/>
    </row>
    <row r="48" spans="1:9" s="290" customFormat="1" ht="13.8" x14ac:dyDescent="0.25">
      <c r="A48" s="293"/>
      <c r="B48" s="290" t="s">
        <v>307</v>
      </c>
      <c r="C48" s="291"/>
      <c r="D48" s="292"/>
    </row>
    <row r="49" spans="2:3" s="290" customFormat="1" ht="13.8" x14ac:dyDescent="0.25"/>
    <row r="50" spans="2:3" s="290" customFormat="1" ht="14.4" x14ac:dyDescent="0.3">
      <c r="B50" s="294" t="s">
        <v>487</v>
      </c>
      <c r="C50" s="295"/>
    </row>
    <row r="51" spans="2:3" s="290" customFormat="1" ht="13.8" x14ac:dyDescent="0.25">
      <c r="B51" s="296" t="s">
        <v>308</v>
      </c>
      <c r="C51" s="297">
        <f>F35</f>
        <v>3776041</v>
      </c>
    </row>
    <row r="52" spans="2:3" s="290" customFormat="1" ht="13.8" x14ac:dyDescent="0.25">
      <c r="B52" s="296"/>
      <c r="C52" s="298"/>
    </row>
    <row r="53" spans="2:3" s="290" customFormat="1" ht="14.4" x14ac:dyDescent="0.3">
      <c r="B53" s="299" t="s">
        <v>489</v>
      </c>
      <c r="C53" s="300"/>
    </row>
    <row r="54" spans="2:3" s="290" customFormat="1" ht="13.8" x14ac:dyDescent="0.25">
      <c r="B54" s="296" t="s">
        <v>401</v>
      </c>
      <c r="C54" s="300">
        <f>F44</f>
        <v>1038020</v>
      </c>
    </row>
    <row r="55" spans="2:3" s="290" customFormat="1" ht="13.8" x14ac:dyDescent="0.25">
      <c r="B55" s="296" t="s">
        <v>310</v>
      </c>
      <c r="C55" s="300">
        <f>E10*3/12</f>
        <v>500000</v>
      </c>
    </row>
    <row r="56" spans="2:3" s="290" customFormat="1" ht="13.8" x14ac:dyDescent="0.25">
      <c r="B56" s="296" t="s">
        <v>478</v>
      </c>
      <c r="C56" s="300">
        <f>E13*2/12</f>
        <v>175000</v>
      </c>
    </row>
    <row r="57" spans="2:3" s="290" customFormat="1" ht="13.8" x14ac:dyDescent="0.25">
      <c r="B57" s="296" t="s">
        <v>479</v>
      </c>
      <c r="C57" s="300">
        <f>(E14*(3/12))+(10000*3)</f>
        <v>240000</v>
      </c>
    </row>
    <row r="58" spans="2:3" s="290" customFormat="1" ht="13.8" x14ac:dyDescent="0.25">
      <c r="B58" s="296" t="s">
        <v>477</v>
      </c>
      <c r="C58" s="300">
        <f>47000*2</f>
        <v>94000</v>
      </c>
    </row>
    <row r="59" spans="2:3" s="290" customFormat="1" ht="13.8" x14ac:dyDescent="0.25">
      <c r="B59" s="296" t="s">
        <v>162</v>
      </c>
      <c r="C59" s="300">
        <v>208000</v>
      </c>
    </row>
    <row r="60" spans="2:3" s="290" customFormat="1" ht="13.8" x14ac:dyDescent="0.25">
      <c r="B60" s="296" t="s">
        <v>311</v>
      </c>
      <c r="C60" s="300">
        <v>300000</v>
      </c>
    </row>
    <row r="61" spans="2:3" s="290" customFormat="1" ht="13.8" x14ac:dyDescent="0.25">
      <c r="B61" s="301" t="s">
        <v>326</v>
      </c>
      <c r="C61" s="302">
        <f>500000*1.25</f>
        <v>625000</v>
      </c>
    </row>
    <row r="62" spans="2:3" s="290" customFormat="1" ht="13.8" x14ac:dyDescent="0.25">
      <c r="B62" s="296" t="s">
        <v>494</v>
      </c>
      <c r="C62" s="297">
        <f>SUM(C54:C61)</f>
        <v>3180020</v>
      </c>
    </row>
    <row r="63" spans="2:3" s="290" customFormat="1" ht="13.8" x14ac:dyDescent="0.25">
      <c r="B63" s="296"/>
      <c r="C63" s="300"/>
    </row>
    <row r="64" spans="2:3" s="290" customFormat="1" ht="13.8" x14ac:dyDescent="0.25">
      <c r="B64" s="296" t="s">
        <v>312</v>
      </c>
      <c r="C64" s="297">
        <f>C51-C62</f>
        <v>596021</v>
      </c>
    </row>
    <row r="65" spans="2:3" s="290" customFormat="1" ht="13.8" x14ac:dyDescent="0.25">
      <c r="B65" s="296"/>
      <c r="C65" s="300"/>
    </row>
    <row r="66" spans="2:3" s="290" customFormat="1" ht="13.8" x14ac:dyDescent="0.25">
      <c r="B66" s="296" t="s">
        <v>495</v>
      </c>
      <c r="C66" s="300">
        <v>250000</v>
      </c>
    </row>
    <row r="67" spans="2:3" s="290" customFormat="1" ht="13.8" x14ac:dyDescent="0.25">
      <c r="B67" s="301" t="s">
        <v>496</v>
      </c>
      <c r="C67" s="302">
        <f>C64+C66</f>
        <v>846021</v>
      </c>
    </row>
    <row r="68" spans="2:3" s="290" customFormat="1" ht="13.8" x14ac:dyDescent="0.25"/>
    <row r="69" spans="2:3" s="290" customFormat="1" ht="13.8" x14ac:dyDescent="0.25">
      <c r="B69" s="290" t="s">
        <v>313</v>
      </c>
    </row>
    <row r="70" spans="2:3" s="290" customFormat="1" ht="13.8" x14ac:dyDescent="0.25">
      <c r="B70" s="290" t="s">
        <v>314</v>
      </c>
    </row>
    <row r="71" spans="2:3" s="290" customFormat="1" ht="13.8" x14ac:dyDescent="0.25"/>
  </sheetData>
  <mergeCells count="8">
    <mergeCell ref="F44:H44"/>
    <mergeCell ref="F37:H37"/>
    <mergeCell ref="C4:D4"/>
    <mergeCell ref="E4:F4"/>
    <mergeCell ref="C5:D5"/>
    <mergeCell ref="E5:F5"/>
    <mergeCell ref="F28:H28"/>
    <mergeCell ref="F35:H35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76" fitToHeight="0" orientation="portrait" r:id="rId1"/>
  <headerFooter alignWithMargins="0">
    <oddHeader>&amp;A&amp;RSide &amp;P</oddHeader>
    <oddFooter>&amp;CLøsninger kapittel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1"/>
  <sheetViews>
    <sheetView tabSelected="1" zoomScale="125" workbookViewId="0">
      <selection activeCell="E138" sqref="E138"/>
    </sheetView>
  </sheetViews>
  <sheetFormatPr baseColWidth="10" defaultColWidth="12" defaultRowHeight="13.2" x14ac:dyDescent="0.25"/>
  <cols>
    <col min="1" max="1" width="3.6640625" style="158" customWidth="1"/>
    <col min="2" max="2" width="26.77734375" style="158" bestFit="1" customWidth="1"/>
    <col min="3" max="3" width="15" style="158" bestFit="1" customWidth="1"/>
    <col min="4" max="4" width="15" style="158" customWidth="1"/>
    <col min="5" max="5" width="13.6640625" style="158" customWidth="1"/>
    <col min="6" max="6" width="13.33203125" style="158" customWidth="1"/>
    <col min="7" max="16384" width="12" style="158"/>
  </cols>
  <sheetData>
    <row r="1" spans="1:6" x14ac:dyDescent="0.25">
      <c r="A1" s="157" t="s">
        <v>329</v>
      </c>
      <c r="D1" s="381">
        <v>27062011</v>
      </c>
    </row>
    <row r="2" spans="1:6" x14ac:dyDescent="0.25">
      <c r="A2" s="157"/>
      <c r="C2" s="158" t="s">
        <v>492</v>
      </c>
      <c r="D2" s="159">
        <v>0.25</v>
      </c>
    </row>
    <row r="3" spans="1:6" x14ac:dyDescent="0.25">
      <c r="A3" s="157"/>
    </row>
    <row r="4" spans="1:6" x14ac:dyDescent="0.25">
      <c r="A4" s="160" t="s">
        <v>395</v>
      </c>
      <c r="B4" s="161"/>
      <c r="C4" s="405" t="s">
        <v>403</v>
      </c>
      <c r="D4" s="406"/>
      <c r="E4" s="405" t="s">
        <v>404</v>
      </c>
      <c r="F4" s="406"/>
    </row>
    <row r="5" spans="1:6" x14ac:dyDescent="0.25">
      <c r="B5" s="162"/>
      <c r="C5" s="407" t="s">
        <v>625</v>
      </c>
      <c r="D5" s="408"/>
      <c r="E5" s="437" t="s">
        <v>626</v>
      </c>
      <c r="F5" s="426"/>
    </row>
    <row r="6" spans="1:6" x14ac:dyDescent="0.25">
      <c r="B6" s="162"/>
      <c r="C6" s="163" t="s">
        <v>406</v>
      </c>
      <c r="D6" s="164" t="s">
        <v>407</v>
      </c>
      <c r="E6" s="164" t="str">
        <f>C6</f>
        <v>Kr</v>
      </c>
      <c r="F6" s="164" t="str">
        <f>D6</f>
        <v>%</v>
      </c>
    </row>
    <row r="7" spans="1:6" x14ac:dyDescent="0.25">
      <c r="B7" s="162" t="s">
        <v>471</v>
      </c>
      <c r="C7" s="165">
        <v>9400000</v>
      </c>
      <c r="D7" s="166">
        <f>C7/C7</f>
        <v>1</v>
      </c>
      <c r="E7" s="167">
        <f>C7*1.05</f>
        <v>9870000</v>
      </c>
      <c r="F7" s="166">
        <f>E7/E7</f>
        <v>1</v>
      </c>
    </row>
    <row r="8" spans="1:6" x14ac:dyDescent="0.25">
      <c r="B8" s="162"/>
      <c r="C8" s="165"/>
      <c r="D8" s="166"/>
      <c r="E8" s="167"/>
      <c r="F8" s="166"/>
    </row>
    <row r="9" spans="1:6" x14ac:dyDescent="0.25">
      <c r="B9" s="168" t="s">
        <v>408</v>
      </c>
      <c r="C9" s="165">
        <v>6000000</v>
      </c>
      <c r="D9" s="166">
        <f>C9/$C$7</f>
        <v>0.63829787234042556</v>
      </c>
      <c r="E9" s="167">
        <f>E7*F9</f>
        <v>6415500</v>
      </c>
      <c r="F9" s="166">
        <v>0.65</v>
      </c>
    </row>
    <row r="10" spans="1:6" x14ac:dyDescent="0.25">
      <c r="B10" s="162" t="s">
        <v>475</v>
      </c>
      <c r="C10" s="165">
        <v>1440000</v>
      </c>
      <c r="D10" s="166">
        <f>C10/$C$7</f>
        <v>0.15319148936170213</v>
      </c>
      <c r="E10" s="167">
        <f>(C10*1.04)</f>
        <v>1497600</v>
      </c>
      <c r="F10" s="166">
        <f>E10/$E$7</f>
        <v>0.15173252279635258</v>
      </c>
    </row>
    <row r="11" spans="1:6" x14ac:dyDescent="0.25">
      <c r="B11" s="162" t="s">
        <v>480</v>
      </c>
      <c r="C11" s="165">
        <v>360000</v>
      </c>
      <c r="D11" s="166">
        <f>C11/$C$7</f>
        <v>3.8297872340425532E-2</v>
      </c>
      <c r="E11" s="167">
        <v>390000</v>
      </c>
      <c r="F11" s="166">
        <f>E11/$E$7</f>
        <v>3.9513677811550151E-2</v>
      </c>
    </row>
    <row r="12" spans="1:6" x14ac:dyDescent="0.25">
      <c r="B12" s="169" t="s">
        <v>409</v>
      </c>
      <c r="C12" s="170">
        <v>1037000</v>
      </c>
      <c r="D12" s="171">
        <f>C12/$C$7</f>
        <v>0.11031914893617022</v>
      </c>
      <c r="E12" s="172">
        <v>1050000</v>
      </c>
      <c r="F12" s="171">
        <f>E12/$E$7</f>
        <v>0.10638297872340426</v>
      </c>
    </row>
    <row r="13" spans="1:6" x14ac:dyDescent="0.25">
      <c r="B13" s="168" t="s">
        <v>209</v>
      </c>
      <c r="C13" s="173">
        <f>SUM(C9:C12)</f>
        <v>8837000</v>
      </c>
      <c r="D13" s="166">
        <f>C13/$C$7</f>
        <v>0.9401063829787234</v>
      </c>
      <c r="E13" s="174">
        <f>SUM(E9:E12)</f>
        <v>9353100</v>
      </c>
      <c r="F13" s="166">
        <f>E13/$E$7</f>
        <v>0.94762917933130697</v>
      </c>
    </row>
    <row r="14" spans="1:6" x14ac:dyDescent="0.25">
      <c r="B14" s="175"/>
      <c r="C14" s="170"/>
      <c r="D14" s="171"/>
      <c r="E14" s="172"/>
      <c r="F14" s="171"/>
    </row>
    <row r="15" spans="1:6" x14ac:dyDescent="0.25">
      <c r="B15" s="162" t="s">
        <v>481</v>
      </c>
      <c r="C15" s="165">
        <f>C7-C13</f>
        <v>563000</v>
      </c>
      <c r="D15" s="166">
        <f>C15/$C$7</f>
        <v>5.9893617021276595E-2</v>
      </c>
      <c r="E15" s="167">
        <f>E7-E13</f>
        <v>516900</v>
      </c>
      <c r="F15" s="166">
        <f>E15/$E$7</f>
        <v>5.2370820668693009E-2</v>
      </c>
    </row>
    <row r="16" spans="1:6" x14ac:dyDescent="0.25">
      <c r="B16" s="162"/>
      <c r="C16" s="165"/>
      <c r="D16" s="166"/>
      <c r="E16" s="167"/>
      <c r="F16" s="166"/>
    </row>
    <row r="17" spans="1:6" x14ac:dyDescent="0.25">
      <c r="B17" s="162" t="s">
        <v>410</v>
      </c>
      <c r="C17" s="165">
        <v>240000</v>
      </c>
      <c r="D17" s="166">
        <f>C17/$C$7</f>
        <v>2.553191489361702E-2</v>
      </c>
      <c r="E17" s="167">
        <f>C17*0.8</f>
        <v>192000</v>
      </c>
      <c r="F17" s="166">
        <f>E17/$E$7</f>
        <v>1.9452887537993922E-2</v>
      </c>
    </row>
    <row r="18" spans="1:6" x14ac:dyDescent="0.25">
      <c r="B18" s="175"/>
      <c r="C18" s="170"/>
      <c r="D18" s="171"/>
      <c r="E18" s="172"/>
      <c r="F18" s="171"/>
    </row>
    <row r="19" spans="1:6" x14ac:dyDescent="0.25">
      <c r="B19" s="176" t="s">
        <v>411</v>
      </c>
      <c r="C19" s="167">
        <f>C15-C17</f>
        <v>323000</v>
      </c>
      <c r="D19" s="166">
        <f>C19/$C$7</f>
        <v>3.4361702127659571E-2</v>
      </c>
      <c r="E19" s="167">
        <f>E15-E17</f>
        <v>324900</v>
      </c>
      <c r="F19" s="166">
        <f>E19/$E$7</f>
        <v>3.2917933130699087E-2</v>
      </c>
    </row>
    <row r="20" spans="1:6" x14ac:dyDescent="0.25">
      <c r="B20" s="176"/>
      <c r="C20" s="167"/>
      <c r="D20" s="166"/>
      <c r="E20" s="167"/>
      <c r="F20" s="166"/>
    </row>
    <row r="21" spans="1:6" x14ac:dyDescent="0.25">
      <c r="B21" s="176" t="s">
        <v>412</v>
      </c>
      <c r="C21" s="167">
        <f>C19*0.23</f>
        <v>74290</v>
      </c>
      <c r="D21" s="166">
        <f>C21/$C$7</f>
        <v>7.9031914893617026E-3</v>
      </c>
      <c r="E21" s="167">
        <f>ROUND(E19*0.23,-1)</f>
        <v>74730</v>
      </c>
      <c r="F21" s="166">
        <f>E21/$E$7</f>
        <v>7.5714285714285718E-3</v>
      </c>
    </row>
    <row r="22" spans="1:6" x14ac:dyDescent="0.25">
      <c r="B22" s="176"/>
      <c r="C22" s="167"/>
      <c r="D22" s="166"/>
      <c r="E22" s="167"/>
      <c r="F22" s="166"/>
    </row>
    <row r="23" spans="1:6" x14ac:dyDescent="0.25">
      <c r="B23" s="177" t="s">
        <v>360</v>
      </c>
      <c r="C23" s="178">
        <f>C19-C21</f>
        <v>248710</v>
      </c>
      <c r="D23" s="179">
        <f>C23/$C$7</f>
        <v>2.6458510638297874E-2</v>
      </c>
      <c r="E23" s="178">
        <f>E19-E21</f>
        <v>250170</v>
      </c>
      <c r="F23" s="179">
        <f>E23/$E$7</f>
        <v>2.5346504559270518E-2</v>
      </c>
    </row>
    <row r="24" spans="1:6" x14ac:dyDescent="0.25">
      <c r="C24" s="180"/>
      <c r="D24" s="181"/>
      <c r="E24" s="180"/>
      <c r="F24" s="181"/>
    </row>
    <row r="25" spans="1:6" x14ac:dyDescent="0.25">
      <c r="B25" s="192" t="s">
        <v>627</v>
      </c>
      <c r="C25" s="180"/>
      <c r="D25" s="181"/>
      <c r="E25" s="180"/>
      <c r="F25" s="181"/>
    </row>
    <row r="26" spans="1:6" x14ac:dyDescent="0.25">
      <c r="B26" s="192" t="s">
        <v>300</v>
      </c>
      <c r="C26" s="180"/>
      <c r="D26" s="180"/>
      <c r="E26" s="180"/>
      <c r="F26" s="180"/>
    </row>
    <row r="27" spans="1:6" x14ac:dyDescent="0.25">
      <c r="B27" s="192"/>
      <c r="C27" s="180"/>
      <c r="D27" s="180"/>
      <c r="E27" s="180"/>
      <c r="F27" s="180"/>
    </row>
    <row r="28" spans="1:6" x14ac:dyDescent="0.25">
      <c r="B28" s="192"/>
      <c r="C28" s="180"/>
      <c r="D28" s="180"/>
      <c r="E28" s="180"/>
      <c r="F28" s="180"/>
    </row>
    <row r="29" spans="1:6" x14ac:dyDescent="0.25">
      <c r="A29" s="157" t="s">
        <v>394</v>
      </c>
      <c r="C29" s="180"/>
      <c r="D29" s="180"/>
      <c r="E29" s="180"/>
      <c r="F29" s="180"/>
    </row>
    <row r="30" spans="1:6" x14ac:dyDescent="0.25">
      <c r="C30" s="180"/>
      <c r="D30" s="180"/>
      <c r="E30" s="180"/>
      <c r="F30" s="180"/>
    </row>
    <row r="31" spans="1:6" x14ac:dyDescent="0.25">
      <c r="C31" s="180"/>
      <c r="D31" s="180"/>
      <c r="E31" s="180"/>
      <c r="F31" s="180"/>
    </row>
    <row r="32" spans="1:6" x14ac:dyDescent="0.25">
      <c r="C32" s="180"/>
      <c r="D32" s="180"/>
      <c r="E32" s="180"/>
      <c r="F32" s="180"/>
    </row>
    <row r="33" spans="1:6" x14ac:dyDescent="0.25">
      <c r="C33" s="180"/>
      <c r="D33" s="180"/>
      <c r="E33" s="180"/>
      <c r="F33" s="180"/>
    </row>
    <row r="34" spans="1:6" x14ac:dyDescent="0.25">
      <c r="C34" s="180"/>
      <c r="D34" s="180"/>
      <c r="E34" s="180"/>
      <c r="F34" s="180"/>
    </row>
    <row r="35" spans="1:6" x14ac:dyDescent="0.25">
      <c r="A35" s="157"/>
      <c r="B35" s="161"/>
      <c r="C35" s="409" t="s">
        <v>413</v>
      </c>
      <c r="D35" s="406"/>
      <c r="E35" s="180"/>
      <c r="F35" s="180"/>
    </row>
    <row r="36" spans="1:6" x14ac:dyDescent="0.25">
      <c r="B36" s="162"/>
      <c r="C36" s="438" t="s">
        <v>625</v>
      </c>
      <c r="D36" s="427"/>
      <c r="E36" s="180"/>
      <c r="F36" s="180"/>
    </row>
    <row r="37" spans="1:6" x14ac:dyDescent="0.25">
      <c r="B37" s="175"/>
      <c r="C37" s="164" t="str">
        <f>C6</f>
        <v>Kr</v>
      </c>
      <c r="D37" s="164" t="str">
        <f>D6</f>
        <v>%</v>
      </c>
    </row>
    <row r="38" spans="1:6" x14ac:dyDescent="0.25">
      <c r="B38" s="162" t="s">
        <v>471</v>
      </c>
      <c r="C38" s="167">
        <f>E7</f>
        <v>9870000</v>
      </c>
      <c r="D38" s="166">
        <f>C38/C38</f>
        <v>1</v>
      </c>
    </row>
    <row r="39" spans="1:6" x14ac:dyDescent="0.25">
      <c r="B39" s="162"/>
      <c r="C39" s="167"/>
      <c r="D39" s="166"/>
    </row>
    <row r="40" spans="1:6" x14ac:dyDescent="0.25">
      <c r="B40" s="168" t="s">
        <v>408</v>
      </c>
      <c r="C40" s="167">
        <v>6246900</v>
      </c>
      <c r="D40" s="166">
        <f>C40/$E$7</f>
        <v>0.63291793313069911</v>
      </c>
    </row>
    <row r="41" spans="1:6" x14ac:dyDescent="0.25">
      <c r="B41" s="162" t="s">
        <v>475</v>
      </c>
      <c r="C41" s="167">
        <f>E10</f>
        <v>1497600</v>
      </c>
      <c r="D41" s="166">
        <f>C41/$E$7</f>
        <v>0.15173252279635258</v>
      </c>
    </row>
    <row r="42" spans="1:6" x14ac:dyDescent="0.25">
      <c r="B42" s="162" t="s">
        <v>480</v>
      </c>
      <c r="C42" s="167">
        <f>E11</f>
        <v>390000</v>
      </c>
      <c r="D42" s="166">
        <f>C42/$E$7</f>
        <v>3.9513677811550151E-2</v>
      </c>
    </row>
    <row r="43" spans="1:6" x14ac:dyDescent="0.25">
      <c r="B43" s="176" t="s">
        <v>409</v>
      </c>
      <c r="C43" s="165">
        <f>E12</f>
        <v>1050000</v>
      </c>
      <c r="D43" s="166">
        <f>C43/$E$7</f>
        <v>0.10638297872340426</v>
      </c>
    </row>
    <row r="44" spans="1:6" x14ac:dyDescent="0.25">
      <c r="B44" s="168" t="s">
        <v>209</v>
      </c>
      <c r="C44" s="174">
        <f>SUM(C40:C43)</f>
        <v>9184500</v>
      </c>
      <c r="D44" s="166">
        <f>C44/$E$7</f>
        <v>0.93054711246200605</v>
      </c>
    </row>
    <row r="45" spans="1:6" x14ac:dyDescent="0.25">
      <c r="B45" s="175"/>
      <c r="C45" s="172"/>
      <c r="D45" s="171"/>
    </row>
    <row r="46" spans="1:6" x14ac:dyDescent="0.25">
      <c r="B46" s="162" t="s">
        <v>481</v>
      </c>
      <c r="C46" s="167">
        <f>C38-C44</f>
        <v>685500</v>
      </c>
      <c r="D46" s="166">
        <f>C46/$E$7</f>
        <v>6.9452887537993918E-2</v>
      </c>
    </row>
    <row r="47" spans="1:6" x14ac:dyDescent="0.25">
      <c r="B47" s="162"/>
      <c r="C47" s="167"/>
      <c r="D47" s="166"/>
    </row>
    <row r="48" spans="1:6" x14ac:dyDescent="0.25">
      <c r="B48" s="162" t="s">
        <v>410</v>
      </c>
      <c r="C48" s="167">
        <f>E17</f>
        <v>192000</v>
      </c>
      <c r="D48" s="166">
        <f>C48/$E$7</f>
        <v>1.9452887537993922E-2</v>
      </c>
    </row>
    <row r="49" spans="1:10" x14ac:dyDescent="0.25">
      <c r="B49" s="175"/>
      <c r="C49" s="172"/>
      <c r="D49" s="171"/>
    </row>
    <row r="50" spans="1:10" x14ac:dyDescent="0.25">
      <c r="B50" s="176" t="s">
        <v>411</v>
      </c>
      <c r="C50" s="167">
        <f>C46-C48</f>
        <v>493500</v>
      </c>
      <c r="D50" s="166">
        <f>C50/$E$7</f>
        <v>0.05</v>
      </c>
    </row>
    <row r="51" spans="1:10" x14ac:dyDescent="0.25">
      <c r="B51" s="176"/>
      <c r="C51" s="167"/>
      <c r="D51" s="166"/>
    </row>
    <row r="52" spans="1:10" x14ac:dyDescent="0.25">
      <c r="B52" s="176" t="s">
        <v>412</v>
      </c>
      <c r="C52" s="167">
        <f>ROUND(C50*0.23,-1)</f>
        <v>113510</v>
      </c>
      <c r="D52" s="166">
        <f>C52/$E$7</f>
        <v>1.1500506585612968E-2</v>
      </c>
    </row>
    <row r="53" spans="1:10" x14ac:dyDescent="0.25">
      <c r="B53" s="176"/>
      <c r="C53" s="167"/>
      <c r="D53" s="166"/>
    </row>
    <row r="54" spans="1:10" x14ac:dyDescent="0.25">
      <c r="B54" s="177" t="s">
        <v>360</v>
      </c>
      <c r="C54" s="178">
        <f>C50-C52</f>
        <v>379990</v>
      </c>
      <c r="D54" s="179">
        <f>C54/$E$7</f>
        <v>3.8499493414387034E-2</v>
      </c>
    </row>
    <row r="55" spans="1:10" x14ac:dyDescent="0.25">
      <c r="C55" s="180"/>
      <c r="D55" s="181"/>
    </row>
    <row r="56" spans="1:10" x14ac:dyDescent="0.25">
      <c r="C56" s="180"/>
      <c r="D56" s="181"/>
    </row>
    <row r="57" spans="1:10" x14ac:dyDescent="0.25">
      <c r="A57" s="157" t="s">
        <v>399</v>
      </c>
      <c r="B57" s="160" t="s">
        <v>414</v>
      </c>
    </row>
    <row r="58" spans="1:10" x14ac:dyDescent="0.25">
      <c r="B58" s="161"/>
      <c r="C58" s="164" t="s">
        <v>472</v>
      </c>
      <c r="D58" s="164" t="s">
        <v>473</v>
      </c>
      <c r="E58" s="164" t="s">
        <v>503</v>
      </c>
      <c r="F58" s="164" t="s">
        <v>186</v>
      </c>
    </row>
    <row r="59" spans="1:10" x14ac:dyDescent="0.25">
      <c r="B59" s="162" t="s">
        <v>415</v>
      </c>
      <c r="C59" s="182">
        <v>8.5000000000000006E-2</v>
      </c>
      <c r="D59" s="182">
        <v>7.0000000000000007E-2</v>
      </c>
      <c r="E59" s="182">
        <v>0.09</v>
      </c>
      <c r="F59" s="176"/>
    </row>
    <row r="60" spans="1:10" x14ac:dyDescent="0.25">
      <c r="B60" s="162" t="s">
        <v>361</v>
      </c>
      <c r="C60" s="280">
        <f>$D$40</f>
        <v>0.63291793313069911</v>
      </c>
      <c r="D60" s="280">
        <f>$D$40</f>
        <v>0.63291793313069911</v>
      </c>
      <c r="E60" s="280">
        <f>$D$40</f>
        <v>0.63291793313069911</v>
      </c>
      <c r="F60" s="176"/>
    </row>
    <row r="61" spans="1:10" x14ac:dyDescent="0.25">
      <c r="B61" s="175" t="s">
        <v>416</v>
      </c>
      <c r="C61" s="281">
        <f>1/12</f>
        <v>8.3333333333333329E-2</v>
      </c>
      <c r="D61" s="281">
        <f>1/12</f>
        <v>8.3333333333333329E-2</v>
      </c>
      <c r="E61" s="281">
        <f>1/12</f>
        <v>8.3333333333333329E-2</v>
      </c>
      <c r="F61" s="169"/>
    </row>
    <row r="62" spans="1:10" x14ac:dyDescent="0.25">
      <c r="B62" s="162"/>
      <c r="C62" s="176"/>
      <c r="D62" s="176"/>
      <c r="E62" s="176"/>
      <c r="F62" s="176"/>
    </row>
    <row r="63" spans="1:10" x14ac:dyDescent="0.25">
      <c r="B63" s="162"/>
      <c r="C63" s="176"/>
      <c r="D63" s="176"/>
      <c r="E63" s="176"/>
      <c r="F63" s="176"/>
      <c r="J63" s="192"/>
    </row>
    <row r="64" spans="1:10" x14ac:dyDescent="0.25">
      <c r="B64" s="162" t="s">
        <v>471</v>
      </c>
      <c r="C64" s="184">
        <f>$C$38*C59</f>
        <v>838950.00000000012</v>
      </c>
      <c r="D64" s="184">
        <f>$C$38*D59</f>
        <v>690900.00000000012</v>
      </c>
      <c r="E64" s="184">
        <f>$C$38*E59</f>
        <v>888300</v>
      </c>
      <c r="F64" s="185">
        <f>SUM(C64:E64)</f>
        <v>2418150</v>
      </c>
      <c r="J64" s="192"/>
    </row>
    <row r="65" spans="2:6" x14ac:dyDescent="0.25">
      <c r="B65" s="162"/>
      <c r="C65" s="184"/>
      <c r="D65" s="185"/>
      <c r="E65" s="185"/>
      <c r="F65" s="185"/>
    </row>
    <row r="66" spans="2:6" x14ac:dyDescent="0.25">
      <c r="B66" s="168" t="s">
        <v>408</v>
      </c>
      <c r="C66" s="184">
        <f>ROUND(C64*C60,-1)</f>
        <v>530990</v>
      </c>
      <c r="D66" s="184">
        <f>ROUND(D64*D60,-1)</f>
        <v>437280</v>
      </c>
      <c r="E66" s="184">
        <f>ROUND(E64*E60,-1)</f>
        <v>562220</v>
      </c>
      <c r="F66" s="185">
        <f t="shared" ref="F66:F80" si="0">SUM(C66:E66)</f>
        <v>1530490</v>
      </c>
    </row>
    <row r="67" spans="2:6" x14ac:dyDescent="0.25">
      <c r="B67" s="162" t="s">
        <v>475</v>
      </c>
      <c r="C67" s="184">
        <f>$C$41*C61</f>
        <v>124800</v>
      </c>
      <c r="D67" s="184">
        <f>$C$41*D61</f>
        <v>124800</v>
      </c>
      <c r="E67" s="184">
        <f>$C$41*E61</f>
        <v>124800</v>
      </c>
      <c r="F67" s="185">
        <f t="shared" si="0"/>
        <v>374400</v>
      </c>
    </row>
    <row r="68" spans="2:6" x14ac:dyDescent="0.25">
      <c r="B68" s="162" t="s">
        <v>480</v>
      </c>
      <c r="C68" s="184">
        <f>$C$42*C61</f>
        <v>32500</v>
      </c>
      <c r="D68" s="184">
        <f>$C$42*D61</f>
        <v>32500</v>
      </c>
      <c r="E68" s="184">
        <f>$C$42*E61</f>
        <v>32500</v>
      </c>
      <c r="F68" s="185">
        <f t="shared" si="0"/>
        <v>97500</v>
      </c>
    </row>
    <row r="69" spans="2:6" x14ac:dyDescent="0.25">
      <c r="B69" s="175" t="s">
        <v>409</v>
      </c>
      <c r="C69" s="186">
        <f>$C$43*C61</f>
        <v>87500</v>
      </c>
      <c r="D69" s="186">
        <f>$C$43*D61</f>
        <v>87500</v>
      </c>
      <c r="E69" s="186">
        <f>$C$43*E61</f>
        <v>87500</v>
      </c>
      <c r="F69" s="187">
        <f t="shared" si="0"/>
        <v>262500</v>
      </c>
    </row>
    <row r="70" spans="2:6" x14ac:dyDescent="0.25">
      <c r="B70" s="168" t="s">
        <v>163</v>
      </c>
      <c r="C70" s="184">
        <f>SUM(C66:C69)</f>
        <v>775790</v>
      </c>
      <c r="D70" s="184">
        <f>SUM(D66:D69)</f>
        <v>682080</v>
      </c>
      <c r="E70" s="184">
        <f>SUM(E66:E69)</f>
        <v>807020</v>
      </c>
      <c r="F70" s="185">
        <f t="shared" si="0"/>
        <v>2264890</v>
      </c>
    </row>
    <row r="71" spans="2:6" x14ac:dyDescent="0.25">
      <c r="B71" s="175"/>
      <c r="C71" s="186"/>
      <c r="D71" s="187"/>
      <c r="E71" s="187"/>
      <c r="F71" s="187"/>
    </row>
    <row r="72" spans="2:6" x14ac:dyDescent="0.25">
      <c r="B72" s="162" t="s">
        <v>481</v>
      </c>
      <c r="C72" s="184">
        <f>C64-C70</f>
        <v>63160.000000000116</v>
      </c>
      <c r="D72" s="184">
        <f>D64-D70</f>
        <v>8820.0000000001164</v>
      </c>
      <c r="E72" s="184">
        <f>E64-E70</f>
        <v>81280</v>
      </c>
      <c r="F72" s="185">
        <f t="shared" si="0"/>
        <v>153260.00000000023</v>
      </c>
    </row>
    <row r="73" spans="2:6" x14ac:dyDescent="0.25">
      <c r="B73" s="162"/>
      <c r="C73" s="184"/>
      <c r="D73" s="185"/>
      <c r="E73" s="185"/>
      <c r="F73" s="185"/>
    </row>
    <row r="74" spans="2:6" x14ac:dyDescent="0.25">
      <c r="B74" s="162" t="s">
        <v>410</v>
      </c>
      <c r="C74" s="184">
        <f>$C$48*C61</f>
        <v>16000</v>
      </c>
      <c r="D74" s="184">
        <f>$C$48*D61</f>
        <v>16000</v>
      </c>
      <c r="E74" s="184">
        <f>$C$48*E61</f>
        <v>16000</v>
      </c>
      <c r="F74" s="185">
        <f t="shared" si="0"/>
        <v>48000</v>
      </c>
    </row>
    <row r="75" spans="2:6" x14ac:dyDescent="0.25">
      <c r="B75" s="175"/>
      <c r="C75" s="186"/>
      <c r="D75" s="187"/>
      <c r="E75" s="187"/>
      <c r="F75" s="187"/>
    </row>
    <row r="76" spans="2:6" x14ac:dyDescent="0.25">
      <c r="B76" s="162" t="s">
        <v>411</v>
      </c>
      <c r="C76" s="184">
        <f>C72-C74</f>
        <v>47160.000000000116</v>
      </c>
      <c r="D76" s="184">
        <f>D72-D74</f>
        <v>-7179.9999999998836</v>
      </c>
      <c r="E76" s="184">
        <f>E72-E74</f>
        <v>65280</v>
      </c>
      <c r="F76" s="185">
        <f t="shared" si="0"/>
        <v>105260.00000000023</v>
      </c>
    </row>
    <row r="77" spans="2:6" x14ac:dyDescent="0.25">
      <c r="B77" s="162"/>
      <c r="C77" s="184"/>
      <c r="D77" s="185"/>
      <c r="E77" s="185"/>
      <c r="F77" s="185"/>
    </row>
    <row r="78" spans="2:6" x14ac:dyDescent="0.25">
      <c r="B78" s="162" t="s">
        <v>412</v>
      </c>
      <c r="C78" s="184">
        <f>ROUND(C76*0.23,-1)</f>
        <v>10850</v>
      </c>
      <c r="D78" s="184">
        <f t="shared" ref="D78:F78" si="1">ROUND(D76*0.23,-1)</f>
        <v>-1650</v>
      </c>
      <c r="E78" s="184">
        <f t="shared" si="1"/>
        <v>15010</v>
      </c>
      <c r="F78" s="184">
        <f t="shared" si="1"/>
        <v>24210</v>
      </c>
    </row>
    <row r="79" spans="2:6" x14ac:dyDescent="0.25">
      <c r="B79" s="162"/>
      <c r="C79" s="186"/>
      <c r="D79" s="187"/>
      <c r="E79" s="187"/>
      <c r="F79" s="187"/>
    </row>
    <row r="80" spans="2:6" x14ac:dyDescent="0.25">
      <c r="B80" s="177" t="s">
        <v>360</v>
      </c>
      <c r="C80" s="188">
        <f>C76-C78</f>
        <v>36310.000000000116</v>
      </c>
      <c r="D80" s="188">
        <f>D76-D78</f>
        <v>-5529.9999999998836</v>
      </c>
      <c r="E80" s="188">
        <f>E76-E78</f>
        <v>50270</v>
      </c>
      <c r="F80" s="187">
        <f t="shared" si="0"/>
        <v>81050.000000000233</v>
      </c>
    </row>
    <row r="81" spans="1:7" x14ac:dyDescent="0.25">
      <c r="C81" s="189"/>
      <c r="D81" s="189"/>
      <c r="E81" s="189"/>
      <c r="F81" s="190"/>
    </row>
    <row r="82" spans="1:7" x14ac:dyDescent="0.25">
      <c r="A82" s="157" t="s">
        <v>400</v>
      </c>
      <c r="B82" s="158" t="s">
        <v>362</v>
      </c>
    </row>
    <row r="84" spans="1:7" x14ac:dyDescent="0.25">
      <c r="B84" s="415" t="s">
        <v>363</v>
      </c>
      <c r="C84" s="416"/>
      <c r="D84" s="416"/>
      <c r="E84" s="416"/>
      <c r="F84" s="416"/>
      <c r="G84" s="416"/>
    </row>
    <row r="85" spans="1:7" x14ac:dyDescent="0.25">
      <c r="B85" s="219"/>
      <c r="C85" s="219"/>
      <c r="D85" s="219"/>
      <c r="E85" s="219"/>
      <c r="F85" s="219"/>
      <c r="G85" s="219"/>
    </row>
    <row r="86" spans="1:7" x14ac:dyDescent="0.25">
      <c r="B86" s="220"/>
      <c r="C86" s="417" t="s">
        <v>166</v>
      </c>
      <c r="D86" s="419" t="s">
        <v>153</v>
      </c>
      <c r="E86" s="420"/>
      <c r="F86" s="420"/>
      <c r="G86" s="421"/>
    </row>
    <row r="87" spans="1:7" x14ac:dyDescent="0.25">
      <c r="B87" s="221"/>
      <c r="C87" s="418"/>
      <c r="D87" s="222" t="s">
        <v>472</v>
      </c>
      <c r="E87" s="222" t="s">
        <v>473</v>
      </c>
      <c r="F87" s="222" t="s">
        <v>503</v>
      </c>
      <c r="G87" s="223" t="s">
        <v>364</v>
      </c>
    </row>
    <row r="88" spans="1:7" x14ac:dyDescent="0.25">
      <c r="B88" s="162" t="s">
        <v>365</v>
      </c>
      <c r="C88" s="167">
        <v>90000</v>
      </c>
      <c r="D88" s="224">
        <v>90000</v>
      </c>
      <c r="E88" s="224"/>
      <c r="F88" s="224"/>
      <c r="G88" s="225"/>
    </row>
    <row r="89" spans="1:7" x14ac:dyDescent="0.25">
      <c r="B89" s="162" t="s">
        <v>472</v>
      </c>
      <c r="C89" s="167">
        <f>C64*(1+$D$2)*0.2</f>
        <v>209737.50000000006</v>
      </c>
      <c r="D89" s="167">
        <f>C89/2</f>
        <v>104868.75000000003</v>
      </c>
      <c r="E89" s="167">
        <f>C89-D89</f>
        <v>104868.75000000003</v>
      </c>
      <c r="F89" s="176"/>
      <c r="G89" s="225"/>
    </row>
    <row r="90" spans="1:7" x14ac:dyDescent="0.25">
      <c r="B90" s="162" t="s">
        <v>473</v>
      </c>
      <c r="C90" s="167">
        <f>D64*(1+$D$2)*0.2</f>
        <v>172725.00000000003</v>
      </c>
      <c r="D90" s="167"/>
      <c r="E90" s="167">
        <f>C90/2</f>
        <v>86362.500000000015</v>
      </c>
      <c r="F90" s="167">
        <f>SUM(D90:E90)</f>
        <v>86362.500000000015</v>
      </c>
      <c r="G90" s="226"/>
    </row>
    <row r="91" spans="1:7" x14ac:dyDescent="0.25">
      <c r="B91" s="175" t="s">
        <v>503</v>
      </c>
      <c r="C91" s="172">
        <f>E64*(1+$D$2)*0.2</f>
        <v>222075</v>
      </c>
      <c r="D91" s="172"/>
      <c r="E91" s="172"/>
      <c r="F91" s="172">
        <f>C91/2</f>
        <v>111037.5</v>
      </c>
      <c r="G91" s="172">
        <f>C91-F91</f>
        <v>111037.5</v>
      </c>
    </row>
    <row r="92" spans="1:7" x14ac:dyDescent="0.25">
      <c r="B92" s="162" t="s">
        <v>366</v>
      </c>
      <c r="C92" s="180"/>
      <c r="D92" s="167">
        <f>SUM(D88:D91)</f>
        <v>194868.75000000003</v>
      </c>
      <c r="E92" s="167">
        <f>SUM(E88:E91)</f>
        <v>191231.25000000006</v>
      </c>
      <c r="F92" s="165">
        <f>SUM(F88:F91)</f>
        <v>197400</v>
      </c>
      <c r="G92" s="165"/>
    </row>
    <row r="93" spans="1:7" x14ac:dyDescent="0.25">
      <c r="B93" s="162" t="s">
        <v>367</v>
      </c>
      <c r="C93" s="180"/>
      <c r="D93" s="167">
        <f>C64*(1+$D$2)*0.8</f>
        <v>838950.00000000023</v>
      </c>
      <c r="E93" s="167">
        <f>D64*(1+$D$2)*0.8</f>
        <v>690900.00000000012</v>
      </c>
      <c r="F93" s="165">
        <f>E64*(1+$D$2)*0.8</f>
        <v>888300</v>
      </c>
      <c r="G93" s="165"/>
    </row>
    <row r="94" spans="1:7" x14ac:dyDescent="0.25">
      <c r="B94" s="194" t="s">
        <v>164</v>
      </c>
      <c r="C94" s="227"/>
      <c r="D94" s="178">
        <f>SUM(D92:D93)</f>
        <v>1033818.7500000002</v>
      </c>
      <c r="E94" s="178">
        <f>SUM(E92:E93)</f>
        <v>882131.25000000023</v>
      </c>
      <c r="F94" s="228">
        <f>SUM(F92:F93)</f>
        <v>1085700</v>
      </c>
      <c r="G94" s="165"/>
    </row>
    <row r="96" spans="1:7" x14ac:dyDescent="0.25">
      <c r="B96" s="157" t="s">
        <v>368</v>
      </c>
    </row>
    <row r="97" spans="1:7" x14ac:dyDescent="0.25">
      <c r="B97" s="158" t="s">
        <v>0</v>
      </c>
    </row>
    <row r="99" spans="1:7" x14ac:dyDescent="0.25">
      <c r="B99" s="229"/>
      <c r="C99" s="422" t="s">
        <v>165</v>
      </c>
      <c r="D99" s="424" t="s">
        <v>90</v>
      </c>
      <c r="E99" s="424"/>
      <c r="F99" s="424"/>
      <c r="G99" s="425"/>
    </row>
    <row r="100" spans="1:7" x14ac:dyDescent="0.25">
      <c r="B100" s="230"/>
      <c r="C100" s="423"/>
      <c r="D100" s="223" t="str">
        <f>D87</f>
        <v>Januar</v>
      </c>
      <c r="E100" s="223" t="str">
        <f>E87</f>
        <v>Februar</v>
      </c>
      <c r="F100" s="223" t="str">
        <f>F87</f>
        <v>Mars</v>
      </c>
      <c r="G100" s="222" t="s">
        <v>364</v>
      </c>
    </row>
    <row r="101" spans="1:7" x14ac:dyDescent="0.25">
      <c r="B101" s="191" t="s">
        <v>369</v>
      </c>
      <c r="C101" s="231">
        <v>340000</v>
      </c>
      <c r="D101" s="232">
        <f>C101</f>
        <v>340000</v>
      </c>
      <c r="E101" s="231"/>
      <c r="F101" s="231"/>
      <c r="G101" s="231"/>
    </row>
    <row r="102" spans="1:7" x14ac:dyDescent="0.25">
      <c r="B102" s="191" t="s">
        <v>370</v>
      </c>
      <c r="C102" s="231">
        <f>C66*(1+D2)</f>
        <v>663737.5</v>
      </c>
      <c r="D102" s="232">
        <f>C102/3</f>
        <v>221245.83333333334</v>
      </c>
      <c r="E102" s="231">
        <f>C102-D102</f>
        <v>442491.66666666663</v>
      </c>
      <c r="F102" s="231"/>
      <c r="G102" s="231"/>
    </row>
    <row r="103" spans="1:7" x14ac:dyDescent="0.25">
      <c r="B103" s="191" t="s">
        <v>371</v>
      </c>
      <c r="C103" s="231">
        <f>D66*(1+D2)</f>
        <v>546600</v>
      </c>
      <c r="D103" s="232"/>
      <c r="E103" s="231">
        <f>C103/3</f>
        <v>182200</v>
      </c>
      <c r="F103" s="231">
        <f>C103-E103</f>
        <v>364400</v>
      </c>
      <c r="G103" s="231"/>
    </row>
    <row r="104" spans="1:7" x14ac:dyDescent="0.25">
      <c r="B104" s="233" t="s">
        <v>372</v>
      </c>
      <c r="C104" s="231">
        <f>E66*(1+D2)</f>
        <v>702775</v>
      </c>
      <c r="D104" s="234"/>
      <c r="E104" s="235"/>
      <c r="F104" s="235">
        <f>C104/3</f>
        <v>234258.33333333334</v>
      </c>
      <c r="G104" s="235">
        <f>C104-F104</f>
        <v>468516.66666666663</v>
      </c>
    </row>
    <row r="105" spans="1:7" x14ac:dyDescent="0.25">
      <c r="B105" s="236" t="s">
        <v>323</v>
      </c>
      <c r="C105" s="237"/>
      <c r="D105" s="238">
        <f>SUM(D101:D104)</f>
        <v>561245.83333333337</v>
      </c>
      <c r="E105" s="238">
        <f>SUM(E101:E104)</f>
        <v>624691.66666666663</v>
      </c>
      <c r="F105" s="238">
        <f>SUM(F101:F104)</f>
        <v>598658.33333333337</v>
      </c>
      <c r="G105" s="238">
        <f>SUM(G104)</f>
        <v>468516.66666666663</v>
      </c>
    </row>
    <row r="106" spans="1:7" x14ac:dyDescent="0.25">
      <c r="B106" s="192"/>
      <c r="C106" s="239"/>
      <c r="D106" s="239"/>
      <c r="E106" s="239"/>
      <c r="F106" s="239"/>
      <c r="G106" s="239"/>
    </row>
    <row r="108" spans="1:7" x14ac:dyDescent="0.25">
      <c r="A108" s="157" t="s">
        <v>402</v>
      </c>
      <c r="B108" s="240"/>
      <c r="C108" s="222" t="str">
        <f>D100</f>
        <v>Januar</v>
      </c>
      <c r="D108" s="222" t="str">
        <f>E100</f>
        <v>Februar</v>
      </c>
      <c r="E108" s="222" t="str">
        <f>F100</f>
        <v>Mars</v>
      </c>
      <c r="F108" s="222" t="s">
        <v>186</v>
      </c>
    </row>
    <row r="109" spans="1:7" x14ac:dyDescent="0.25">
      <c r="B109" s="241" t="s">
        <v>509</v>
      </c>
      <c r="C109" s="242"/>
      <c r="D109" s="242"/>
      <c r="E109" s="242"/>
      <c r="F109" s="243"/>
    </row>
    <row r="110" spans="1:7" x14ac:dyDescent="0.25">
      <c r="B110" s="244" t="s">
        <v>488</v>
      </c>
      <c r="C110" s="245">
        <f>D94</f>
        <v>1033818.7500000002</v>
      </c>
      <c r="D110" s="245">
        <f>E94</f>
        <v>882131.25000000023</v>
      </c>
      <c r="E110" s="245">
        <f>F94</f>
        <v>1085700</v>
      </c>
      <c r="F110" s="246">
        <f>SUM(C110:E110)</f>
        <v>3001650.0000000005</v>
      </c>
    </row>
    <row r="111" spans="1:7" x14ac:dyDescent="0.25">
      <c r="B111" s="191"/>
      <c r="C111" s="247"/>
      <c r="D111" s="247"/>
      <c r="E111" s="247"/>
      <c r="F111" s="246">
        <f>SUM(C111:E111)</f>
        <v>0</v>
      </c>
    </row>
    <row r="112" spans="1:7" x14ac:dyDescent="0.25">
      <c r="B112" s="240" t="s">
        <v>164</v>
      </c>
      <c r="C112" s="248">
        <f>SUM(C110:C111)</f>
        <v>1033818.7500000002</v>
      </c>
      <c r="D112" s="248">
        <f>SUM(D110:D111)</f>
        <v>882131.25000000023</v>
      </c>
      <c r="E112" s="248">
        <f>SUM(E110:E111)</f>
        <v>1085700</v>
      </c>
      <c r="F112" s="248">
        <f>SUM(F110:F111)</f>
        <v>3001650.0000000005</v>
      </c>
    </row>
    <row r="113" spans="2:6" x14ac:dyDescent="0.25">
      <c r="B113" s="241" t="s">
        <v>324</v>
      </c>
      <c r="C113" s="246"/>
      <c r="D113" s="246"/>
      <c r="E113" s="246"/>
      <c r="F113" s="246"/>
    </row>
    <row r="114" spans="2:6" x14ac:dyDescent="0.25">
      <c r="B114" s="244" t="s">
        <v>490</v>
      </c>
      <c r="C114" s="246">
        <f>D105</f>
        <v>561245.83333333337</v>
      </c>
      <c r="D114" s="246">
        <f>E105</f>
        <v>624691.66666666663</v>
      </c>
      <c r="E114" s="246">
        <f>F105</f>
        <v>598658.33333333337</v>
      </c>
      <c r="F114" s="246">
        <f>SUM(C114:E114)</f>
        <v>1784595.8333333335</v>
      </c>
    </row>
    <row r="115" spans="2:6" ht="15.6" x14ac:dyDescent="0.25">
      <c r="B115" s="244" t="s">
        <v>547</v>
      </c>
      <c r="C115" s="246">
        <v>99250</v>
      </c>
      <c r="D115" s="246">
        <v>99250</v>
      </c>
      <c r="E115" s="246">
        <v>99250</v>
      </c>
      <c r="F115" s="246">
        <f t="shared" ref="F115:F121" si="2">SUM(C115:E115)</f>
        <v>297750</v>
      </c>
    </row>
    <row r="116" spans="2:6" x14ac:dyDescent="0.25">
      <c r="B116" s="244" t="s">
        <v>477</v>
      </c>
      <c r="C116" s="246">
        <v>22000</v>
      </c>
      <c r="D116" s="246"/>
      <c r="E116" s="246">
        <f>ROUND((C115+D115)*0.141,-3)</f>
        <v>28000</v>
      </c>
      <c r="F116" s="246">
        <f t="shared" si="2"/>
        <v>50000</v>
      </c>
    </row>
    <row r="117" spans="2:6" ht="15.6" x14ac:dyDescent="0.25">
      <c r="B117" s="249" t="s">
        <v>325</v>
      </c>
      <c r="C117" s="246">
        <f>C69*(1+$D$2*0.8)</f>
        <v>105000</v>
      </c>
      <c r="D117" s="246">
        <f>D69*(1+$D$2*0.8)</f>
        <v>105000</v>
      </c>
      <c r="E117" s="246">
        <f>E69*(1+$D$2*0.8)</f>
        <v>105000</v>
      </c>
      <c r="F117" s="246">
        <f t="shared" si="2"/>
        <v>315000</v>
      </c>
    </row>
    <row r="118" spans="2:6" x14ac:dyDescent="0.25">
      <c r="B118" s="244" t="s">
        <v>326</v>
      </c>
      <c r="C118" s="246"/>
      <c r="D118" s="246"/>
      <c r="E118" s="246">
        <v>185000</v>
      </c>
      <c r="F118" s="246">
        <f t="shared" si="2"/>
        <v>185000</v>
      </c>
    </row>
    <row r="119" spans="2:6" x14ac:dyDescent="0.25">
      <c r="B119" s="244" t="s">
        <v>491</v>
      </c>
      <c r="C119" s="246"/>
      <c r="D119" s="246">
        <v>34500</v>
      </c>
      <c r="E119" s="246"/>
      <c r="F119" s="246">
        <f t="shared" si="2"/>
        <v>34500</v>
      </c>
    </row>
    <row r="120" spans="2:6" x14ac:dyDescent="0.25">
      <c r="B120" s="250" t="s">
        <v>493</v>
      </c>
      <c r="C120" s="246"/>
      <c r="D120" s="246">
        <v>17600</v>
      </c>
      <c r="E120" s="246"/>
      <c r="F120" s="246">
        <f t="shared" si="2"/>
        <v>17600</v>
      </c>
    </row>
    <row r="121" spans="2:6" x14ac:dyDescent="0.25">
      <c r="B121" s="240" t="s">
        <v>167</v>
      </c>
      <c r="C121" s="248">
        <f>SUM(C114:C120)</f>
        <v>787495.83333333337</v>
      </c>
      <c r="D121" s="248">
        <f>SUM(D114:D120)</f>
        <v>881041.66666666663</v>
      </c>
      <c r="E121" s="248">
        <f>SUM(E114:E120)</f>
        <v>1015908.3333333334</v>
      </c>
      <c r="F121" s="248">
        <f t="shared" si="2"/>
        <v>2684445.8333333335</v>
      </c>
    </row>
    <row r="122" spans="2:6" x14ac:dyDescent="0.25">
      <c r="B122" s="244"/>
      <c r="C122" s="246"/>
      <c r="D122" s="246"/>
      <c r="E122" s="246"/>
      <c r="F122" s="246"/>
    </row>
    <row r="123" spans="2:6" x14ac:dyDescent="0.25">
      <c r="B123" s="244" t="s">
        <v>168</v>
      </c>
      <c r="C123" s="246">
        <f>C112-C121</f>
        <v>246322.91666666686</v>
      </c>
      <c r="D123" s="246">
        <f>D112-D121</f>
        <v>1089.583333333605</v>
      </c>
      <c r="E123" s="246">
        <f>E112-E121</f>
        <v>69791.666666666628</v>
      </c>
      <c r="F123" s="246">
        <f>F112-F121</f>
        <v>317204.16666666698</v>
      </c>
    </row>
    <row r="124" spans="2:6" x14ac:dyDescent="0.25">
      <c r="B124" s="244"/>
      <c r="C124" s="246"/>
      <c r="D124" s="246"/>
      <c r="E124" s="246"/>
      <c r="F124" s="246"/>
    </row>
    <row r="125" spans="2:6" x14ac:dyDescent="0.25">
      <c r="B125" s="244" t="s">
        <v>495</v>
      </c>
      <c r="C125" s="246">
        <v>120000</v>
      </c>
      <c r="D125" s="246">
        <f>C126</f>
        <v>366322.91666666686</v>
      </c>
      <c r="E125" s="246">
        <f>D126</f>
        <v>367412.50000000047</v>
      </c>
      <c r="F125" s="246">
        <f>C125</f>
        <v>120000</v>
      </c>
    </row>
    <row r="126" spans="2:6" x14ac:dyDescent="0.25">
      <c r="B126" s="230" t="s">
        <v>496</v>
      </c>
      <c r="C126" s="251">
        <f>C125+C123</f>
        <v>366322.91666666686</v>
      </c>
      <c r="D126" s="251">
        <f>D125+D123</f>
        <v>367412.50000000047</v>
      </c>
      <c r="E126" s="251">
        <f>E125+E123</f>
        <v>437204.16666666709</v>
      </c>
      <c r="F126" s="251">
        <f>SUM(F123:F125)</f>
        <v>437204.16666666698</v>
      </c>
    </row>
    <row r="127" spans="2:6" x14ac:dyDescent="0.25">
      <c r="B127" s="252"/>
      <c r="C127" s="253"/>
      <c r="D127" s="253"/>
      <c r="E127" s="253"/>
      <c r="F127" s="254"/>
    </row>
    <row r="128" spans="2:6" x14ac:dyDescent="0.25">
      <c r="B128" s="255" t="s">
        <v>169</v>
      </c>
      <c r="C128" s="246">
        <f>C64*(1+$D$2)</f>
        <v>1048687.5000000002</v>
      </c>
      <c r="D128" s="246">
        <f>D64*(1+$D$2)</f>
        <v>863625.00000000012</v>
      </c>
      <c r="E128" s="246">
        <f>E64*(1+$D$2)</f>
        <v>1110375</v>
      </c>
      <c r="F128" s="254"/>
    </row>
    <row r="129" spans="2:7" x14ac:dyDescent="0.25">
      <c r="B129" s="191" t="s">
        <v>327</v>
      </c>
      <c r="C129" s="256">
        <v>0.3</v>
      </c>
      <c r="D129" s="256">
        <v>0.3</v>
      </c>
      <c r="E129" s="256">
        <v>0.3</v>
      </c>
      <c r="F129" s="257"/>
    </row>
    <row r="130" spans="2:7" x14ac:dyDescent="0.25">
      <c r="B130" s="258" t="s">
        <v>328</v>
      </c>
      <c r="C130" s="259">
        <f>C126/C128</f>
        <v>0.34931561276993078</v>
      </c>
      <c r="D130" s="259">
        <f>D126/D128</f>
        <v>0.42543059777102377</v>
      </c>
      <c r="E130" s="259">
        <f>E126/E128</f>
        <v>0.39374460580134379</v>
      </c>
      <c r="F130" s="257"/>
    </row>
    <row r="132" spans="2:7" x14ac:dyDescent="0.25">
      <c r="B132" s="374" t="s">
        <v>15</v>
      </c>
    </row>
    <row r="134" spans="2:7" ht="15.6" x14ac:dyDescent="0.25">
      <c r="B134" s="192" t="s">
        <v>553</v>
      </c>
    </row>
    <row r="135" spans="2:7" x14ac:dyDescent="0.25">
      <c r="B135" s="192" t="s">
        <v>549</v>
      </c>
    </row>
    <row r="137" spans="2:7" x14ac:dyDescent="0.25">
      <c r="B137" s="192" t="s">
        <v>552</v>
      </c>
      <c r="E137" s="190">
        <f>C67</f>
        <v>124800</v>
      </c>
    </row>
    <row r="138" spans="2:7" x14ac:dyDescent="0.25">
      <c r="B138" s="375" t="s">
        <v>548</v>
      </c>
      <c r="C138" s="376"/>
      <c r="D138" s="376"/>
      <c r="E138" s="274">
        <f>E137/1.141*0.141</f>
        <v>15422.261174408412</v>
      </c>
    </row>
    <row r="139" spans="2:7" x14ac:dyDescent="0.25">
      <c r="B139" s="192" t="s">
        <v>550</v>
      </c>
      <c r="E139" s="190">
        <f>E137-E138</f>
        <v>109377.73882559159</v>
      </c>
    </row>
    <row r="140" spans="2:7" x14ac:dyDescent="0.25">
      <c r="B140" s="192" t="s">
        <v>555</v>
      </c>
      <c r="E140" s="190">
        <f>E139/1.102*0.102</f>
        <v>10123.892341388693</v>
      </c>
    </row>
    <row r="141" spans="2:7" x14ac:dyDescent="0.25">
      <c r="B141" s="196" t="s">
        <v>551</v>
      </c>
      <c r="C141" s="377"/>
      <c r="D141" s="377"/>
      <c r="E141" s="378">
        <f>E139-E140</f>
        <v>99253.846484202892</v>
      </c>
      <c r="F141" s="192" t="s">
        <v>554</v>
      </c>
      <c r="G141" s="379">
        <v>99250</v>
      </c>
    </row>
  </sheetData>
  <mergeCells count="11">
    <mergeCell ref="C36:D36"/>
    <mergeCell ref="C4:D4"/>
    <mergeCell ref="E4:F4"/>
    <mergeCell ref="C5:D5"/>
    <mergeCell ref="E5:F5"/>
    <mergeCell ref="C35:D35"/>
    <mergeCell ref="B84:G84"/>
    <mergeCell ref="C86:C87"/>
    <mergeCell ref="D86:G86"/>
    <mergeCell ref="C99:C100"/>
    <mergeCell ref="D99:G99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headerFooter alignWithMargins="0">
    <oddHeader>&amp;A&amp;RSide &amp;P</oddHeader>
    <oddFooter>&amp;CLøsninger kapittel 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showGridLines="0" workbookViewId="0"/>
  </sheetViews>
  <sheetFormatPr baseColWidth="10" defaultColWidth="13.44140625" defaultRowHeight="13.8" x14ac:dyDescent="0.25"/>
  <cols>
    <col min="1" max="1" width="15" style="42" customWidth="1"/>
    <col min="2" max="6" width="13.44140625" style="42" customWidth="1"/>
    <col min="7" max="16384" width="13.44140625" style="42"/>
  </cols>
  <sheetData>
    <row r="1" spans="1:7" x14ac:dyDescent="0.25">
      <c r="A1" s="40" t="s">
        <v>301</v>
      </c>
    </row>
    <row r="3" spans="1:7" x14ac:dyDescent="0.25">
      <c r="A3" s="42" t="s">
        <v>170</v>
      </c>
      <c r="B3" s="112">
        <v>0.25</v>
      </c>
      <c r="D3" s="41" t="s">
        <v>127</v>
      </c>
      <c r="E3" s="113">
        <v>1.25</v>
      </c>
    </row>
    <row r="5" spans="1:7" x14ac:dyDescent="0.25">
      <c r="A5" s="40" t="s">
        <v>175</v>
      </c>
    </row>
    <row r="7" spans="1:7" x14ac:dyDescent="0.25">
      <c r="A7" s="43"/>
      <c r="B7" s="44"/>
      <c r="C7" s="44"/>
      <c r="D7" s="44"/>
      <c r="E7" s="428" t="s">
        <v>482</v>
      </c>
      <c r="F7" s="429"/>
      <c r="G7" s="46" t="s">
        <v>498</v>
      </c>
    </row>
    <row r="8" spans="1:7" x14ac:dyDescent="0.25">
      <c r="A8" s="47" t="s">
        <v>522</v>
      </c>
      <c r="B8" s="48" t="s">
        <v>523</v>
      </c>
      <c r="C8" s="49" t="s">
        <v>524</v>
      </c>
      <c r="D8" s="49" t="s">
        <v>525</v>
      </c>
      <c r="E8" s="45" t="s">
        <v>472</v>
      </c>
      <c r="F8" s="45" t="s">
        <v>473</v>
      </c>
      <c r="G8" s="50" t="s">
        <v>171</v>
      </c>
    </row>
    <row r="9" spans="1:7" x14ac:dyDescent="0.25">
      <c r="A9" s="51" t="s">
        <v>526</v>
      </c>
      <c r="B9" s="44">
        <v>682000</v>
      </c>
      <c r="C9" s="52">
        <f>B9*0.2</f>
        <v>136400</v>
      </c>
      <c r="D9" s="52">
        <f>B9*0.8</f>
        <v>545600</v>
      </c>
      <c r="E9" s="41">
        <f>D9</f>
        <v>545600</v>
      </c>
      <c r="F9" s="52"/>
      <c r="G9" s="53"/>
    </row>
    <row r="10" spans="1:7" x14ac:dyDescent="0.25">
      <c r="A10" s="51" t="s">
        <v>472</v>
      </c>
      <c r="B10" s="52">
        <f>C17</f>
        <v>562500</v>
      </c>
      <c r="C10" s="52">
        <f>B10*0.2</f>
        <v>112500</v>
      </c>
      <c r="D10" s="52">
        <f>B10*0.8</f>
        <v>450000</v>
      </c>
      <c r="E10" s="41">
        <f>C10</f>
        <v>112500</v>
      </c>
      <c r="F10" s="52">
        <f>D10</f>
        <v>450000</v>
      </c>
      <c r="G10" s="53"/>
    </row>
    <row r="11" spans="1:7" x14ac:dyDescent="0.25">
      <c r="A11" s="51" t="s">
        <v>473</v>
      </c>
      <c r="B11" s="48">
        <f>D17</f>
        <v>637500</v>
      </c>
      <c r="C11" s="52">
        <f>B11*0.2</f>
        <v>127500</v>
      </c>
      <c r="D11" s="52">
        <f>B11*0.8</f>
        <v>510000</v>
      </c>
      <c r="E11" s="41"/>
      <c r="F11" s="52">
        <f>C11</f>
        <v>127500</v>
      </c>
      <c r="G11" s="53">
        <f>D11</f>
        <v>510000</v>
      </c>
    </row>
    <row r="12" spans="1:7" ht="14.4" thickBot="1" x14ac:dyDescent="0.3">
      <c r="A12" s="54"/>
      <c r="B12" s="55"/>
      <c r="C12" s="55"/>
      <c r="D12" s="55"/>
      <c r="E12" s="56">
        <f>SUM(E9:E11)</f>
        <v>658100</v>
      </c>
      <c r="F12" s="55">
        <f>SUM(F9:F11)</f>
        <v>577500</v>
      </c>
      <c r="G12" s="57">
        <f>SUM(G9:G11)</f>
        <v>510000</v>
      </c>
    </row>
    <row r="15" spans="1:7" x14ac:dyDescent="0.25">
      <c r="A15" s="42" t="s">
        <v>176</v>
      </c>
    </row>
    <row r="16" spans="1:7" x14ac:dyDescent="0.25">
      <c r="A16" s="58"/>
      <c r="B16" s="59"/>
      <c r="C16" s="45" t="s">
        <v>177</v>
      </c>
      <c r="D16" s="45" t="s">
        <v>178</v>
      </c>
      <c r="E16" s="60" t="s">
        <v>179</v>
      </c>
    </row>
    <row r="17" spans="1:5" x14ac:dyDescent="0.25">
      <c r="A17" s="51" t="s">
        <v>172</v>
      </c>
      <c r="C17" s="61">
        <f>C19+C18</f>
        <v>562500</v>
      </c>
      <c r="D17" s="61">
        <f>D19+D18</f>
        <v>637500</v>
      </c>
      <c r="E17" s="52">
        <f t="shared" ref="E17:E25" si="0">SUM(C17:D17)</f>
        <v>1200000</v>
      </c>
    </row>
    <row r="18" spans="1:5" x14ac:dyDescent="0.25">
      <c r="A18" s="51" t="s">
        <v>492</v>
      </c>
      <c r="C18" s="62">
        <f>C19*$B$3</f>
        <v>112500</v>
      </c>
      <c r="D18" s="62">
        <f>D19*$B$3</f>
        <v>127500</v>
      </c>
      <c r="E18" s="48">
        <f t="shared" si="0"/>
        <v>240000</v>
      </c>
    </row>
    <row r="19" spans="1:5" x14ac:dyDescent="0.25">
      <c r="A19" s="51" t="s">
        <v>174</v>
      </c>
      <c r="C19" s="61">
        <v>450000</v>
      </c>
      <c r="D19" s="61">
        <v>510000</v>
      </c>
      <c r="E19" s="52">
        <v>960000</v>
      </c>
    </row>
    <row r="20" spans="1:5" x14ac:dyDescent="0.25">
      <c r="A20" s="51" t="s">
        <v>505</v>
      </c>
      <c r="C20" s="62">
        <f>C19-C21</f>
        <v>150000</v>
      </c>
      <c r="D20" s="62">
        <f>D19-D21</f>
        <v>170000</v>
      </c>
      <c r="E20" s="48">
        <f t="shared" si="0"/>
        <v>320000</v>
      </c>
    </row>
    <row r="21" spans="1:5" x14ac:dyDescent="0.25">
      <c r="A21" s="51" t="s">
        <v>506</v>
      </c>
      <c r="C21" s="61">
        <f>C19/1.5</f>
        <v>300000</v>
      </c>
      <c r="D21" s="61">
        <f>D19/1.5</f>
        <v>340000</v>
      </c>
      <c r="E21" s="52">
        <f t="shared" si="0"/>
        <v>640000</v>
      </c>
    </row>
    <row r="22" spans="1:5" x14ac:dyDescent="0.25">
      <c r="A22" s="51" t="s">
        <v>528</v>
      </c>
      <c r="C22" s="62">
        <v>15000</v>
      </c>
      <c r="D22" s="62">
        <v>15000</v>
      </c>
      <c r="E22" s="48">
        <f t="shared" si="0"/>
        <v>30000</v>
      </c>
    </row>
    <row r="23" spans="1:5" x14ac:dyDescent="0.25">
      <c r="A23" s="51" t="s">
        <v>529</v>
      </c>
      <c r="C23" s="61">
        <f>SUM(C21:C22)</f>
        <v>315000</v>
      </c>
      <c r="D23" s="61">
        <f>SUM(D21:D22)</f>
        <v>355000</v>
      </c>
      <c r="E23" s="52">
        <f t="shared" si="0"/>
        <v>670000</v>
      </c>
    </row>
    <row r="24" spans="1:5" x14ac:dyDescent="0.25">
      <c r="A24" s="51" t="s">
        <v>492</v>
      </c>
      <c r="C24" s="61">
        <f>C23*$B$3</f>
        <v>78750</v>
      </c>
      <c r="D24" s="61">
        <f>D23*$B$3</f>
        <v>88750</v>
      </c>
      <c r="E24" s="52">
        <f t="shared" si="0"/>
        <v>167500</v>
      </c>
    </row>
    <row r="25" spans="1:5" ht="14.4" thickBot="1" x14ac:dyDescent="0.3">
      <c r="A25" s="63" t="s">
        <v>173</v>
      </c>
      <c r="B25" s="64"/>
      <c r="C25" s="65">
        <f>SUM(C23:C24)</f>
        <v>393750</v>
      </c>
      <c r="D25" s="66">
        <f>SUM(D23:D24)</f>
        <v>443750</v>
      </c>
      <c r="E25" s="67">
        <f t="shared" si="0"/>
        <v>837500</v>
      </c>
    </row>
    <row r="26" spans="1:5" ht="14.4" thickTop="1" x14ac:dyDescent="0.25">
      <c r="C26" s="41"/>
      <c r="D26" s="41"/>
      <c r="E26" s="41"/>
    </row>
    <row r="28" spans="1:5" x14ac:dyDescent="0.25">
      <c r="A28" s="42" t="s">
        <v>531</v>
      </c>
      <c r="C28" s="68" t="s">
        <v>473</v>
      </c>
      <c r="D28" s="68" t="s">
        <v>503</v>
      </c>
    </row>
    <row r="29" spans="1:5" x14ac:dyDescent="0.25">
      <c r="C29" s="68"/>
      <c r="D29" s="68"/>
    </row>
    <row r="30" spans="1:5" x14ac:dyDescent="0.25">
      <c r="C30" s="68"/>
      <c r="D30" s="68"/>
    </row>
    <row r="31" spans="1:5" x14ac:dyDescent="0.25">
      <c r="C31" s="68"/>
      <c r="D31" s="68"/>
    </row>
    <row r="32" spans="1:5" x14ac:dyDescent="0.25">
      <c r="C32" s="68"/>
      <c r="D32" s="68"/>
    </row>
    <row r="35" spans="1:4" x14ac:dyDescent="0.25">
      <c r="A35" s="58"/>
      <c r="B35" s="59"/>
      <c r="C35" s="45" t="s">
        <v>472</v>
      </c>
      <c r="D35" s="60" t="s">
        <v>473</v>
      </c>
    </row>
    <row r="36" spans="1:4" x14ac:dyDescent="0.25">
      <c r="A36" s="69" t="s">
        <v>487</v>
      </c>
      <c r="B36" s="41"/>
      <c r="C36" s="61"/>
      <c r="D36" s="52"/>
    </row>
    <row r="37" spans="1:4" ht="14.4" thickBot="1" x14ac:dyDescent="0.3">
      <c r="A37" s="51" t="s">
        <v>488</v>
      </c>
      <c r="B37" s="41"/>
      <c r="C37" s="70">
        <f>E12</f>
        <v>658100</v>
      </c>
      <c r="D37" s="71">
        <f>F12</f>
        <v>577500</v>
      </c>
    </row>
    <row r="38" spans="1:4" x14ac:dyDescent="0.25">
      <c r="A38" s="51"/>
      <c r="B38" s="41"/>
      <c r="C38" s="61"/>
      <c r="D38" s="52"/>
    </row>
    <row r="39" spans="1:4" x14ac:dyDescent="0.25">
      <c r="A39" s="69" t="s">
        <v>489</v>
      </c>
      <c r="B39" s="41"/>
      <c r="C39" s="61"/>
      <c r="D39" s="52"/>
    </row>
    <row r="40" spans="1:4" x14ac:dyDescent="0.25">
      <c r="A40" s="51" t="s">
        <v>490</v>
      </c>
      <c r="B40" s="41"/>
      <c r="C40" s="61">
        <f>350000*E3</f>
        <v>437500</v>
      </c>
      <c r="D40" s="52">
        <f>C25</f>
        <v>393750</v>
      </c>
    </row>
    <row r="41" spans="1:4" x14ac:dyDescent="0.25">
      <c r="A41" s="51" t="s">
        <v>475</v>
      </c>
      <c r="B41" s="41"/>
      <c r="C41" s="61">
        <v>75000</v>
      </c>
      <c r="D41" s="52">
        <f>C41</f>
        <v>75000</v>
      </c>
    </row>
    <row r="42" spans="1:4" x14ac:dyDescent="0.25">
      <c r="A42" s="51" t="s">
        <v>532</v>
      </c>
      <c r="B42" s="41"/>
      <c r="C42" s="61">
        <f>B9*0.04/$E$3</f>
        <v>21824</v>
      </c>
      <c r="D42" s="52">
        <f>C19*0.04</f>
        <v>18000</v>
      </c>
    </row>
    <row r="43" spans="1:4" x14ac:dyDescent="0.25">
      <c r="A43" s="51" t="s">
        <v>533</v>
      </c>
      <c r="B43" s="41"/>
      <c r="C43" s="61">
        <v>55000</v>
      </c>
      <c r="D43" s="52">
        <v>60000</v>
      </c>
    </row>
    <row r="44" spans="1:4" x14ac:dyDescent="0.25">
      <c r="A44" s="51" t="s">
        <v>477</v>
      </c>
      <c r="B44" s="41"/>
      <c r="C44" s="61">
        <v>21000</v>
      </c>
      <c r="D44" s="52"/>
    </row>
    <row r="45" spans="1:4" x14ac:dyDescent="0.25">
      <c r="A45" s="51" t="s">
        <v>534</v>
      </c>
      <c r="B45" s="41"/>
      <c r="C45" s="61">
        <v>15000</v>
      </c>
      <c r="D45" s="52">
        <v>15000</v>
      </c>
    </row>
    <row r="46" spans="1:4" x14ac:dyDescent="0.25">
      <c r="A46" s="51" t="s">
        <v>491</v>
      </c>
      <c r="B46" s="41"/>
      <c r="C46" s="61"/>
      <c r="D46" s="52">
        <v>32000</v>
      </c>
    </row>
    <row r="47" spans="1:4" x14ac:dyDescent="0.25">
      <c r="A47" s="51" t="s">
        <v>492</v>
      </c>
      <c r="B47" s="41"/>
      <c r="C47" s="61"/>
      <c r="D47" s="52">
        <v>38000</v>
      </c>
    </row>
    <row r="48" spans="1:4" x14ac:dyDescent="0.25">
      <c r="A48" s="51" t="s">
        <v>535</v>
      </c>
      <c r="B48" s="41"/>
      <c r="C48" s="61">
        <v>30000</v>
      </c>
      <c r="D48" s="52">
        <v>40000</v>
      </c>
    </row>
    <row r="49" spans="1:4" ht="14.4" thickBot="1" x14ac:dyDescent="0.3">
      <c r="A49" s="51"/>
      <c r="B49" s="41"/>
      <c r="C49" s="72">
        <f>SUM(C40:C48)</f>
        <v>655324</v>
      </c>
      <c r="D49" s="55">
        <f>SUM(D40:D48)</f>
        <v>671750</v>
      </c>
    </row>
    <row r="50" spans="1:4" x14ac:dyDescent="0.25">
      <c r="A50" s="51"/>
      <c r="B50" s="41"/>
      <c r="C50" s="61"/>
      <c r="D50" s="52"/>
    </row>
    <row r="51" spans="1:4" x14ac:dyDescent="0.25">
      <c r="A51" s="51" t="s">
        <v>180</v>
      </c>
      <c r="B51" s="41"/>
      <c r="C51" s="61">
        <f>C37-C49</f>
        <v>2776</v>
      </c>
      <c r="D51" s="52">
        <f>D37-D49</f>
        <v>-94250</v>
      </c>
    </row>
    <row r="52" spans="1:4" x14ac:dyDescent="0.25">
      <c r="A52" s="51"/>
      <c r="B52" s="41"/>
      <c r="C52" s="61"/>
      <c r="D52" s="52"/>
    </row>
    <row r="53" spans="1:4" x14ac:dyDescent="0.25">
      <c r="A53" s="51" t="s">
        <v>495</v>
      </c>
      <c r="B53" s="41"/>
      <c r="C53" s="61">
        <v>150000</v>
      </c>
      <c r="D53" s="52">
        <f>C54</f>
        <v>152776</v>
      </c>
    </row>
    <row r="54" spans="1:4" x14ac:dyDescent="0.25">
      <c r="A54" s="47" t="s">
        <v>496</v>
      </c>
      <c r="B54" s="73"/>
      <c r="C54" s="62">
        <f>SUM(C51:C53)</f>
        <v>152776</v>
      </c>
      <c r="D54" s="48">
        <f>SUM(D51:D53)</f>
        <v>58526</v>
      </c>
    </row>
  </sheetData>
  <mergeCells count="1">
    <mergeCell ref="E7:F7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Header>&amp;A&amp;RSide &amp;P</oddHeader>
    <oddFooter>&amp;CLøsninger kapittel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81"/>
  <sheetViews>
    <sheetView showGridLines="0" workbookViewId="0">
      <selection activeCell="A65" sqref="A65"/>
    </sheetView>
  </sheetViews>
  <sheetFormatPr baseColWidth="10" defaultColWidth="12" defaultRowHeight="13.8" x14ac:dyDescent="0.25"/>
  <cols>
    <col min="1" max="1" width="4.44140625" style="1" customWidth="1"/>
    <col min="2" max="2" width="27.6640625" style="1" customWidth="1"/>
    <col min="3" max="7" width="12.109375" style="1" bestFit="1" customWidth="1"/>
    <col min="8" max="16384" width="12" style="1"/>
  </cols>
  <sheetData>
    <row r="2" spans="2:6" x14ac:dyDescent="0.25">
      <c r="C2" s="110" t="s">
        <v>125</v>
      </c>
      <c r="D2" s="111">
        <v>0.25</v>
      </c>
      <c r="E2" s="2" t="s">
        <v>126</v>
      </c>
      <c r="F2" s="109">
        <v>1.25</v>
      </c>
    </row>
    <row r="4" spans="2:6" x14ac:dyDescent="0.25">
      <c r="B4" s="19" t="s">
        <v>124</v>
      </c>
    </row>
    <row r="5" spans="2:6" x14ac:dyDescent="0.25">
      <c r="C5" s="20" t="s">
        <v>472</v>
      </c>
      <c r="D5" s="20" t="s">
        <v>473</v>
      </c>
      <c r="E5" s="20" t="s">
        <v>503</v>
      </c>
      <c r="F5" s="20" t="s">
        <v>128</v>
      </c>
    </row>
    <row r="6" spans="2:6" x14ac:dyDescent="0.25">
      <c r="B6" s="1" t="s">
        <v>181</v>
      </c>
      <c r="C6" s="2">
        <f>C8+C7</f>
        <v>900000</v>
      </c>
      <c r="D6" s="2">
        <f>D8+D7</f>
        <v>800000</v>
      </c>
      <c r="E6" s="2">
        <f>E8+E7</f>
        <v>750000</v>
      </c>
      <c r="F6" s="2">
        <f>SUM(C6:E6)</f>
        <v>2450000</v>
      </c>
    </row>
    <row r="7" spans="2:6" x14ac:dyDescent="0.25">
      <c r="B7" s="1" t="s">
        <v>492</v>
      </c>
      <c r="C7" s="13">
        <f>C8*$D$2</f>
        <v>180000</v>
      </c>
      <c r="D7" s="13">
        <f>D8*$D$2</f>
        <v>160000</v>
      </c>
      <c r="E7" s="13">
        <f>E8*$D$2</f>
        <v>150000</v>
      </c>
      <c r="F7" s="13">
        <f>SUM(C7:E7)</f>
        <v>490000</v>
      </c>
    </row>
    <row r="8" spans="2:6" x14ac:dyDescent="0.25">
      <c r="B8" s="1" t="s">
        <v>201</v>
      </c>
      <c r="C8" s="2">
        <v>720000</v>
      </c>
      <c r="D8" s="2">
        <v>640000</v>
      </c>
      <c r="E8" s="2">
        <v>600000</v>
      </c>
      <c r="F8" s="2">
        <f>SUM(C8:E8)</f>
        <v>1960000</v>
      </c>
    </row>
    <row r="9" spans="2:6" x14ac:dyDescent="0.25">
      <c r="B9" s="1" t="s">
        <v>505</v>
      </c>
      <c r="C9" s="13">
        <f>C10/3</f>
        <v>180000</v>
      </c>
      <c r="D9" s="13">
        <f>D10/3</f>
        <v>160000</v>
      </c>
      <c r="E9" s="13">
        <f>E10/3</f>
        <v>150000</v>
      </c>
      <c r="F9" s="13">
        <f>F10/3</f>
        <v>490000</v>
      </c>
    </row>
    <row r="10" spans="2:6" x14ac:dyDescent="0.25">
      <c r="B10" s="1" t="s">
        <v>506</v>
      </c>
      <c r="C10" s="2">
        <f>C8*3/4</f>
        <v>540000</v>
      </c>
      <c r="D10" s="2">
        <f>D8*3/4</f>
        <v>480000</v>
      </c>
      <c r="E10" s="2">
        <f>E8*3/4</f>
        <v>450000</v>
      </c>
      <c r="F10" s="2">
        <f>F8*3/4</f>
        <v>1470000</v>
      </c>
    </row>
    <row r="11" spans="2:6" x14ac:dyDescent="0.25">
      <c r="B11" s="1" t="s">
        <v>507</v>
      </c>
      <c r="C11" s="13">
        <v>-20000</v>
      </c>
      <c r="D11" s="13">
        <v>-20000</v>
      </c>
      <c r="E11" s="13">
        <v>-20000</v>
      </c>
      <c r="F11" s="13">
        <f>SUM(C11:E11)</f>
        <v>-60000</v>
      </c>
    </row>
    <row r="12" spans="2:6" x14ac:dyDescent="0.25">
      <c r="B12" s="1" t="s">
        <v>129</v>
      </c>
      <c r="C12" s="2">
        <f>SUM(C10:C11)</f>
        <v>520000</v>
      </c>
      <c r="D12" s="2">
        <f>SUM(D10:D11)</f>
        <v>460000</v>
      </c>
      <c r="E12" s="2">
        <f>SUM(E10:E11)</f>
        <v>430000</v>
      </c>
      <c r="F12" s="2">
        <f>SUM(F10:F11)</f>
        <v>1410000</v>
      </c>
    </row>
    <row r="13" spans="2:6" x14ac:dyDescent="0.25">
      <c r="B13" s="1" t="s">
        <v>492</v>
      </c>
      <c r="C13" s="2">
        <f>C12*$D$2</f>
        <v>130000</v>
      </c>
      <c r="D13" s="2">
        <f>D12*$D$2</f>
        <v>115000</v>
      </c>
      <c r="E13" s="2">
        <f>E12*$D$2</f>
        <v>107500</v>
      </c>
      <c r="F13" s="2">
        <f>F12*0.23</f>
        <v>324300</v>
      </c>
    </row>
    <row r="14" spans="2:6" ht="14.4" thickBot="1" x14ac:dyDescent="0.3">
      <c r="B14" s="1" t="s">
        <v>130</v>
      </c>
      <c r="C14" s="21">
        <f>SUM(C12:C13)</f>
        <v>650000</v>
      </c>
      <c r="D14" s="21">
        <f>SUM(D12:D13)</f>
        <v>575000</v>
      </c>
      <c r="E14" s="21">
        <f>SUM(E12:E13)</f>
        <v>537500</v>
      </c>
      <c r="F14" s="21">
        <f>SUM(F12:F13)</f>
        <v>1734300</v>
      </c>
    </row>
    <row r="15" spans="2:6" ht="14.4" thickTop="1" x14ac:dyDescent="0.25">
      <c r="C15" s="2"/>
      <c r="D15" s="2"/>
      <c r="E15" s="2"/>
      <c r="F15" s="2"/>
    </row>
    <row r="16" spans="2:6" x14ac:dyDescent="0.25">
      <c r="C16" s="2"/>
      <c r="D16" s="2"/>
      <c r="E16" s="2"/>
      <c r="F16" s="2"/>
    </row>
    <row r="18" spans="2:7" x14ac:dyDescent="0.25">
      <c r="B18" s="19" t="s">
        <v>131</v>
      </c>
    </row>
    <row r="19" spans="2:7" x14ac:dyDescent="0.25">
      <c r="B19" s="22"/>
      <c r="C19" s="7"/>
      <c r="D19" s="430" t="s">
        <v>482</v>
      </c>
      <c r="E19" s="430"/>
      <c r="F19" s="430"/>
      <c r="G19" s="23"/>
    </row>
    <row r="20" spans="2:7" x14ac:dyDescent="0.25">
      <c r="B20" s="24"/>
      <c r="C20" s="11" t="s">
        <v>133</v>
      </c>
      <c r="D20" s="12" t="str">
        <f>C5</f>
        <v>Januar</v>
      </c>
      <c r="E20" s="12" t="str">
        <f>D5</f>
        <v>Februar</v>
      </c>
      <c r="F20" s="12" t="str">
        <f>E5</f>
        <v>Mars</v>
      </c>
      <c r="G20" s="25" t="s">
        <v>508</v>
      </c>
    </row>
    <row r="21" spans="2:7" x14ac:dyDescent="0.25">
      <c r="B21" s="9" t="s">
        <v>483</v>
      </c>
      <c r="C21" s="6">
        <v>550000</v>
      </c>
      <c r="D21" s="6">
        <f>SUM(C21)</f>
        <v>550000</v>
      </c>
      <c r="E21" s="6"/>
      <c r="F21" s="6"/>
      <c r="G21" s="9"/>
    </row>
    <row r="22" spans="2:7" x14ac:dyDescent="0.25">
      <c r="B22" s="9" t="s">
        <v>472</v>
      </c>
      <c r="C22" s="6">
        <f>C6</f>
        <v>900000</v>
      </c>
      <c r="D22" s="6">
        <f>C22*0.3</f>
        <v>270000</v>
      </c>
      <c r="E22" s="6">
        <f>C22*0.7</f>
        <v>630000</v>
      </c>
      <c r="F22" s="6"/>
      <c r="G22" s="9"/>
    </row>
    <row r="23" spans="2:7" x14ac:dyDescent="0.25">
      <c r="B23" s="9" t="s">
        <v>473</v>
      </c>
      <c r="C23" s="6">
        <f>D6</f>
        <v>800000</v>
      </c>
      <c r="D23" s="6"/>
      <c r="E23" s="6">
        <f>C23*0.3</f>
        <v>240000</v>
      </c>
      <c r="F23" s="6">
        <f>C23*0.7</f>
        <v>560000</v>
      </c>
      <c r="G23" s="9"/>
    </row>
    <row r="24" spans="2:7" x14ac:dyDescent="0.25">
      <c r="B24" s="9" t="s">
        <v>503</v>
      </c>
      <c r="C24" s="6">
        <f>E6</f>
        <v>750000</v>
      </c>
      <c r="D24" s="6"/>
      <c r="E24" s="6"/>
      <c r="F24" s="6">
        <f>C24*0.3</f>
        <v>225000</v>
      </c>
      <c r="G24" s="9">
        <f>C24*0.7</f>
        <v>525000</v>
      </c>
    </row>
    <row r="25" spans="2:7" ht="14.4" thickBot="1" x14ac:dyDescent="0.3">
      <c r="B25" s="26"/>
      <c r="C25" s="27"/>
      <c r="D25" s="27">
        <f>SUM(D21:D24)</f>
        <v>820000</v>
      </c>
      <c r="E25" s="27">
        <f>SUM(E21:E24)</f>
        <v>870000</v>
      </c>
      <c r="F25" s="27">
        <f>SUM(F21:F24)</f>
        <v>785000</v>
      </c>
      <c r="G25" s="27">
        <f>SUM(G21:G24)</f>
        <v>525000</v>
      </c>
    </row>
    <row r="26" spans="2:7" ht="14.4" thickTop="1" x14ac:dyDescent="0.25">
      <c r="C26" s="2"/>
      <c r="D26" s="2"/>
      <c r="E26" s="2"/>
      <c r="F26" s="2"/>
      <c r="G26" s="2"/>
    </row>
    <row r="27" spans="2:7" x14ac:dyDescent="0.25">
      <c r="C27" s="2"/>
      <c r="D27" s="2"/>
      <c r="E27" s="2"/>
      <c r="F27" s="2"/>
      <c r="G27" s="2"/>
    </row>
    <row r="29" spans="2:7" x14ac:dyDescent="0.25">
      <c r="B29" s="19" t="s">
        <v>132</v>
      </c>
    </row>
    <row r="30" spans="2:7" x14ac:dyDescent="0.25">
      <c r="B30" s="22"/>
      <c r="C30" s="7"/>
      <c r="D30" s="430" t="s">
        <v>485</v>
      </c>
      <c r="E30" s="430"/>
      <c r="F30" s="430"/>
      <c r="G30" s="23"/>
    </row>
    <row r="31" spans="2:7" x14ac:dyDescent="0.25">
      <c r="B31" s="24"/>
      <c r="C31" s="11" t="s">
        <v>133</v>
      </c>
      <c r="D31" s="12" t="str">
        <f>D20</f>
        <v>Januar</v>
      </c>
      <c r="E31" s="12" t="str">
        <f>E20</f>
        <v>Februar</v>
      </c>
      <c r="F31" s="12" t="str">
        <f>F20</f>
        <v>Mars</v>
      </c>
      <c r="G31" s="25" t="s">
        <v>508</v>
      </c>
    </row>
    <row r="32" spans="2:7" x14ac:dyDescent="0.25">
      <c r="B32" s="9" t="s">
        <v>483</v>
      </c>
      <c r="C32" s="6">
        <v>1160000</v>
      </c>
      <c r="D32" s="6">
        <v>600000</v>
      </c>
      <c r="E32" s="6">
        <v>560000</v>
      </c>
      <c r="F32" s="6"/>
      <c r="G32" s="9"/>
    </row>
    <row r="33" spans="1:7" x14ac:dyDescent="0.25">
      <c r="B33" s="9" t="s">
        <v>472</v>
      </c>
      <c r="C33" s="6">
        <f>C14</f>
        <v>650000</v>
      </c>
      <c r="D33" s="6"/>
      <c r="E33" s="6"/>
      <c r="F33" s="6">
        <f>C33</f>
        <v>650000</v>
      </c>
      <c r="G33" s="9"/>
    </row>
    <row r="34" spans="1:7" x14ac:dyDescent="0.25">
      <c r="B34" s="9" t="s">
        <v>473</v>
      </c>
      <c r="C34" s="6">
        <f>D14</f>
        <v>575000</v>
      </c>
      <c r="D34" s="6"/>
      <c r="E34" s="6"/>
      <c r="F34" s="6"/>
      <c r="G34" s="6">
        <f>SUM(C34:F34)</f>
        <v>575000</v>
      </c>
    </row>
    <row r="35" spans="1:7" x14ac:dyDescent="0.25">
      <c r="B35" s="9" t="s">
        <v>503</v>
      </c>
      <c r="C35" s="6">
        <f>E14</f>
        <v>537500</v>
      </c>
      <c r="D35" s="6"/>
      <c r="E35" s="6"/>
      <c r="F35" s="6"/>
      <c r="G35" s="6">
        <f>SUM(C35:F35)</f>
        <v>537500</v>
      </c>
    </row>
    <row r="36" spans="1:7" ht="14.4" thickBot="1" x14ac:dyDescent="0.3">
      <c r="B36" s="26"/>
      <c r="C36" s="27"/>
      <c r="D36" s="27">
        <f>SUM(D32:D35)</f>
        <v>600000</v>
      </c>
      <c r="E36" s="27">
        <f>SUM(E32:E35)</f>
        <v>560000</v>
      </c>
      <c r="F36" s="27">
        <f>SUM(F32:F35)</f>
        <v>650000</v>
      </c>
      <c r="G36" s="27">
        <f>SUM(G32:G35)</f>
        <v>1112500</v>
      </c>
    </row>
    <row r="37" spans="1:7" ht="14.4" thickTop="1" x14ac:dyDescent="0.25"/>
    <row r="38" spans="1:7" x14ac:dyDescent="0.25">
      <c r="A38" s="1" t="s">
        <v>395</v>
      </c>
      <c r="B38" s="19" t="s">
        <v>486</v>
      </c>
    </row>
    <row r="39" spans="1:7" ht="14.4" thickBot="1" x14ac:dyDescent="0.3">
      <c r="B39" s="282"/>
      <c r="C39" s="283" t="str">
        <f>D31</f>
        <v>Januar</v>
      </c>
      <c r="D39" s="283" t="str">
        <f>E31</f>
        <v>Februar</v>
      </c>
      <c r="E39" s="283" t="str">
        <f>F31</f>
        <v>Mars</v>
      </c>
      <c r="F39" s="284" t="s">
        <v>470</v>
      </c>
    </row>
    <row r="40" spans="1:7" x14ac:dyDescent="0.25">
      <c r="B40" s="18" t="s">
        <v>509</v>
      </c>
      <c r="C40" s="6"/>
      <c r="D40" s="6"/>
      <c r="E40" s="6"/>
      <c r="F40" s="285"/>
    </row>
    <row r="41" spans="1:7" x14ac:dyDescent="0.25">
      <c r="B41" s="4" t="s">
        <v>488</v>
      </c>
      <c r="C41" s="6">
        <f>D25</f>
        <v>820000</v>
      </c>
      <c r="D41" s="6">
        <f>E25</f>
        <v>870000</v>
      </c>
      <c r="E41" s="6">
        <f>F25</f>
        <v>785000</v>
      </c>
      <c r="F41" s="285">
        <f>SUM(C41:E41)</f>
        <v>2475000</v>
      </c>
    </row>
    <row r="42" spans="1:7" x14ac:dyDescent="0.25">
      <c r="B42" s="4" t="s">
        <v>381</v>
      </c>
      <c r="C42" s="6"/>
      <c r="D42" s="6"/>
      <c r="E42" s="6">
        <v>50000</v>
      </c>
      <c r="F42" s="285">
        <f>SUM(C42:E42)</f>
        <v>50000</v>
      </c>
    </row>
    <row r="43" spans="1:7" x14ac:dyDescent="0.25">
      <c r="B43" s="4" t="s">
        <v>382</v>
      </c>
      <c r="C43" s="6"/>
      <c r="D43" s="6"/>
      <c r="E43" s="6">
        <v>40000</v>
      </c>
      <c r="F43" s="6">
        <f>SUM(C43:E43)</f>
        <v>40000</v>
      </c>
    </row>
    <row r="44" spans="1:7" x14ac:dyDescent="0.25">
      <c r="B44" s="4"/>
      <c r="C44" s="5">
        <f>SUM(C41:C43)</f>
        <v>820000</v>
      </c>
      <c r="D44" s="5">
        <f>SUM(D41:D43)</f>
        <v>870000</v>
      </c>
      <c r="E44" s="5">
        <f>SUM(E41:E43)</f>
        <v>875000</v>
      </c>
      <c r="F44" s="5">
        <f>SUM(F41:F43)</f>
        <v>2565000</v>
      </c>
    </row>
    <row r="45" spans="1:7" x14ac:dyDescent="0.25">
      <c r="B45" s="4"/>
      <c r="C45" s="6"/>
      <c r="D45" s="6"/>
      <c r="E45" s="6"/>
      <c r="F45" s="285"/>
    </row>
    <row r="46" spans="1:7" x14ac:dyDescent="0.25">
      <c r="B46" s="18" t="s">
        <v>489</v>
      </c>
      <c r="C46" s="6"/>
      <c r="D46" s="6"/>
      <c r="E46" s="6"/>
      <c r="F46" s="285"/>
    </row>
    <row r="47" spans="1:7" x14ac:dyDescent="0.25">
      <c r="B47" s="4" t="s">
        <v>490</v>
      </c>
      <c r="C47" s="6">
        <f>D36</f>
        <v>600000</v>
      </c>
      <c r="D47" s="6">
        <f>E36</f>
        <v>560000</v>
      </c>
      <c r="E47" s="6">
        <f>F36</f>
        <v>650000</v>
      </c>
      <c r="F47" s="285">
        <f t="shared" ref="F47:F55" si="0">SUM(C47:E47)</f>
        <v>1810000</v>
      </c>
    </row>
    <row r="48" spans="1:7" x14ac:dyDescent="0.25">
      <c r="B48" s="4" t="s">
        <v>475</v>
      </c>
      <c r="C48" s="6">
        <v>75000</v>
      </c>
      <c r="D48" s="6">
        <v>75000</v>
      </c>
      <c r="E48" s="6">
        <v>70000</v>
      </c>
      <c r="F48" s="285">
        <f t="shared" si="0"/>
        <v>220000</v>
      </c>
    </row>
    <row r="49" spans="1:6" x14ac:dyDescent="0.25">
      <c r="B49" s="4" t="s">
        <v>477</v>
      </c>
      <c r="C49" s="6">
        <v>18330</v>
      </c>
      <c r="D49" s="6"/>
      <c r="E49" s="6">
        <f>(C48+D48)*0.141</f>
        <v>21149.999999999996</v>
      </c>
      <c r="F49" s="285">
        <f t="shared" si="0"/>
        <v>39480</v>
      </c>
    </row>
    <row r="50" spans="1:6" x14ac:dyDescent="0.25">
      <c r="B50" s="4" t="s">
        <v>510</v>
      </c>
      <c r="C50" s="6">
        <v>45000</v>
      </c>
      <c r="D50" s="6">
        <v>42000</v>
      </c>
      <c r="E50" s="6">
        <v>48000</v>
      </c>
      <c r="F50" s="285">
        <f t="shared" si="0"/>
        <v>135000</v>
      </c>
    </row>
    <row r="51" spans="1:6" x14ac:dyDescent="0.25">
      <c r="B51" s="4" t="s">
        <v>511</v>
      </c>
      <c r="C51" s="6"/>
      <c r="D51" s="6"/>
      <c r="E51" s="6">
        <v>180000</v>
      </c>
      <c r="F51" s="285">
        <f t="shared" si="0"/>
        <v>180000</v>
      </c>
    </row>
    <row r="52" spans="1:6" x14ac:dyDescent="0.25">
      <c r="B52" s="4" t="s">
        <v>492</v>
      </c>
      <c r="C52" s="6"/>
      <c r="D52" s="6">
        <v>68000</v>
      </c>
      <c r="E52" s="6"/>
      <c r="F52" s="285">
        <f t="shared" si="0"/>
        <v>68000</v>
      </c>
    </row>
    <row r="53" spans="1:6" x14ac:dyDescent="0.25">
      <c r="B53" s="4" t="s">
        <v>491</v>
      </c>
      <c r="C53" s="6"/>
      <c r="D53" s="6"/>
      <c r="E53" s="6">
        <v>24000</v>
      </c>
      <c r="F53" s="285">
        <f t="shared" si="0"/>
        <v>24000</v>
      </c>
    </row>
    <row r="54" spans="1:6" x14ac:dyDescent="0.25">
      <c r="B54" s="4" t="s">
        <v>513</v>
      </c>
      <c r="C54" s="6"/>
      <c r="D54" s="6"/>
      <c r="E54" s="6">
        <v>20000</v>
      </c>
      <c r="F54" s="285">
        <f t="shared" si="0"/>
        <v>20000</v>
      </c>
    </row>
    <row r="55" spans="1:6" x14ac:dyDescent="0.25">
      <c r="B55" s="4" t="s">
        <v>514</v>
      </c>
      <c r="C55" s="6"/>
      <c r="D55" s="6"/>
      <c r="E55" s="6">
        <v>5000</v>
      </c>
      <c r="F55" s="285">
        <f t="shared" si="0"/>
        <v>5000</v>
      </c>
    </row>
    <row r="56" spans="1:6" x14ac:dyDescent="0.25">
      <c r="B56" s="4"/>
      <c r="C56" s="5">
        <f>SUM(C47:C55)</f>
        <v>738330</v>
      </c>
      <c r="D56" s="5">
        <f>SUM(D47:D55)</f>
        <v>745000</v>
      </c>
      <c r="E56" s="5">
        <f>SUM(E47:E55)</f>
        <v>1018150</v>
      </c>
      <c r="F56" s="287">
        <f>SUM(F47:F55)</f>
        <v>2501480</v>
      </c>
    </row>
    <row r="57" spans="1:6" x14ac:dyDescent="0.25">
      <c r="B57" s="4"/>
      <c r="C57" s="6"/>
      <c r="D57" s="6"/>
      <c r="E57" s="6"/>
      <c r="F57" s="285"/>
    </row>
    <row r="58" spans="1:6" x14ac:dyDescent="0.25">
      <c r="B58" s="4" t="s">
        <v>515</v>
      </c>
      <c r="C58" s="6">
        <f>C44-C56</f>
        <v>81670</v>
      </c>
      <c r="D58" s="6">
        <f>D44-D56</f>
        <v>125000</v>
      </c>
      <c r="E58" s="6">
        <f>E44-E56</f>
        <v>-143150</v>
      </c>
      <c r="F58" s="6">
        <f>F44-F56</f>
        <v>63520</v>
      </c>
    </row>
    <row r="59" spans="1:6" x14ac:dyDescent="0.25">
      <c r="B59" s="4"/>
      <c r="C59" s="6"/>
      <c r="D59" s="6"/>
      <c r="E59" s="6"/>
      <c r="F59" s="285"/>
    </row>
    <row r="60" spans="1:6" x14ac:dyDescent="0.25">
      <c r="B60" s="4" t="s">
        <v>495</v>
      </c>
      <c r="C60" s="6">
        <v>310000</v>
      </c>
      <c r="D60" s="6">
        <f>C61</f>
        <v>391670</v>
      </c>
      <c r="E60" s="6">
        <f>D61</f>
        <v>516670</v>
      </c>
      <c r="F60" s="285"/>
    </row>
    <row r="61" spans="1:6" x14ac:dyDescent="0.25">
      <c r="B61" s="15" t="s">
        <v>496</v>
      </c>
      <c r="C61" s="8">
        <f>C60+C58</f>
        <v>391670</v>
      </c>
      <c r="D61" s="8">
        <f>D60+D58</f>
        <v>516670</v>
      </c>
      <c r="E61" s="8">
        <f>E60+E58</f>
        <v>373520</v>
      </c>
      <c r="F61" s="286"/>
    </row>
    <row r="64" spans="1:6" x14ac:dyDescent="0.25">
      <c r="A64" s="1" t="s">
        <v>394</v>
      </c>
      <c r="B64" s="19" t="s">
        <v>315</v>
      </c>
    </row>
    <row r="65" spans="2:6" x14ac:dyDescent="0.25">
      <c r="B65" s="17"/>
      <c r="C65" s="12" t="s">
        <v>472</v>
      </c>
      <c r="D65" s="12" t="s">
        <v>473</v>
      </c>
      <c r="E65" s="12" t="s">
        <v>503</v>
      </c>
      <c r="F65" s="12" t="s">
        <v>470</v>
      </c>
    </row>
    <row r="66" spans="2:6" x14ac:dyDescent="0.25">
      <c r="B66" s="39" t="s">
        <v>516</v>
      </c>
      <c r="C66" s="6"/>
      <c r="D66" s="6"/>
      <c r="E66" s="6"/>
      <c r="F66" s="6"/>
    </row>
    <row r="67" spans="2:6" ht="14.4" thickBot="1" x14ac:dyDescent="0.3">
      <c r="B67" s="9" t="s">
        <v>504</v>
      </c>
      <c r="C67" s="34">
        <f>C8</f>
        <v>720000</v>
      </c>
      <c r="D67" s="34">
        <f>D8</f>
        <v>640000</v>
      </c>
      <c r="E67" s="34">
        <f>E8</f>
        <v>600000</v>
      </c>
      <c r="F67" s="34">
        <f>SUM(C67:E67)</f>
        <v>1960000</v>
      </c>
    </row>
    <row r="68" spans="2:6" x14ac:dyDescent="0.25">
      <c r="B68" s="9"/>
      <c r="C68" s="6"/>
      <c r="D68" s="6"/>
      <c r="E68" s="6"/>
      <c r="F68" s="6"/>
    </row>
    <row r="69" spans="2:6" x14ac:dyDescent="0.25">
      <c r="B69" s="39" t="s">
        <v>517</v>
      </c>
      <c r="C69" s="6"/>
      <c r="D69" s="6"/>
      <c r="E69" s="6"/>
      <c r="F69" s="6"/>
    </row>
    <row r="70" spans="2:6" x14ac:dyDescent="0.25">
      <c r="B70" s="9" t="s">
        <v>474</v>
      </c>
      <c r="C70" s="6">
        <f>C10</f>
        <v>540000</v>
      </c>
      <c r="D70" s="6">
        <f>D10</f>
        <v>480000</v>
      </c>
      <c r="E70" s="6">
        <f>E10</f>
        <v>450000</v>
      </c>
      <c r="F70" s="6">
        <f t="shared" ref="F70:F76" si="1">SUM(C70:E70)</f>
        <v>1470000</v>
      </c>
    </row>
    <row r="71" spans="2:6" x14ac:dyDescent="0.25">
      <c r="B71" s="9" t="s">
        <v>475</v>
      </c>
      <c r="C71" s="6">
        <v>75000</v>
      </c>
      <c r="D71" s="6">
        <v>75000</v>
      </c>
      <c r="E71" s="6">
        <v>70000</v>
      </c>
      <c r="F71" s="6">
        <f t="shared" si="1"/>
        <v>220000</v>
      </c>
    </row>
    <row r="72" spans="2:6" x14ac:dyDescent="0.25">
      <c r="B72" s="9" t="s">
        <v>476</v>
      </c>
      <c r="C72" s="6">
        <f>C71*0.12</f>
        <v>9000</v>
      </c>
      <c r="D72" s="6">
        <f>D71*0.12</f>
        <v>9000</v>
      </c>
      <c r="E72" s="6">
        <f>E71*0.12</f>
        <v>8400</v>
      </c>
      <c r="F72" s="6">
        <f t="shared" si="1"/>
        <v>26400</v>
      </c>
    </row>
    <row r="73" spans="2:6" x14ac:dyDescent="0.25">
      <c r="B73" s="9" t="s">
        <v>477</v>
      </c>
      <c r="C73" s="6">
        <f>(C71+C72)*0.141</f>
        <v>11843.999999999998</v>
      </c>
      <c r="D73" s="6">
        <f>(D71+D72)*0.141</f>
        <v>11843.999999999998</v>
      </c>
      <c r="E73" s="6">
        <f>(E71+E72)*0.141</f>
        <v>11054.4</v>
      </c>
      <c r="F73" s="6">
        <f t="shared" si="1"/>
        <v>34742.399999999994</v>
      </c>
    </row>
    <row r="74" spans="2:6" x14ac:dyDescent="0.25">
      <c r="B74" s="9" t="s">
        <v>479</v>
      </c>
      <c r="C74" s="6">
        <f>C50/$F$2</f>
        <v>36000</v>
      </c>
      <c r="D74" s="6">
        <f>D50/$F$2</f>
        <v>33600</v>
      </c>
      <c r="E74" s="6">
        <f>E50/$F$2</f>
        <v>38400</v>
      </c>
      <c r="F74" s="6">
        <f t="shared" si="1"/>
        <v>108000</v>
      </c>
    </row>
    <row r="75" spans="2:6" x14ac:dyDescent="0.25">
      <c r="B75" s="9" t="s">
        <v>518</v>
      </c>
      <c r="C75" s="6">
        <v>5000</v>
      </c>
      <c r="D75" s="6">
        <v>5000</v>
      </c>
      <c r="E75" s="6">
        <v>5000</v>
      </c>
      <c r="F75" s="6">
        <f t="shared" si="1"/>
        <v>15000</v>
      </c>
    </row>
    <row r="76" spans="2:6" x14ac:dyDescent="0.25">
      <c r="B76" s="9" t="s">
        <v>519</v>
      </c>
      <c r="C76" s="6">
        <f>96000/12</f>
        <v>8000</v>
      </c>
      <c r="D76" s="6">
        <f>96000/12</f>
        <v>8000</v>
      </c>
      <c r="E76" s="6">
        <f>96000/12</f>
        <v>8000</v>
      </c>
      <c r="F76" s="6">
        <f t="shared" si="1"/>
        <v>24000</v>
      </c>
    </row>
    <row r="77" spans="2:6" ht="14.4" thickBot="1" x14ac:dyDescent="0.3">
      <c r="B77" s="9" t="s">
        <v>520</v>
      </c>
      <c r="C77" s="36">
        <f>SUM(C70:C76)</f>
        <v>684844</v>
      </c>
      <c r="D77" s="36">
        <f>SUM(D70:D76)</f>
        <v>622444</v>
      </c>
      <c r="E77" s="36">
        <f>SUM(E70:E76)</f>
        <v>590854.40000000002</v>
      </c>
      <c r="F77" s="36">
        <f>SUM(F70:F76)</f>
        <v>1898142.4</v>
      </c>
    </row>
    <row r="78" spans="2:6" x14ac:dyDescent="0.25">
      <c r="B78" s="9"/>
      <c r="C78" s="6"/>
      <c r="D78" s="6"/>
      <c r="E78" s="6"/>
      <c r="F78" s="6"/>
    </row>
    <row r="79" spans="2:6" x14ac:dyDescent="0.25">
      <c r="B79" s="9" t="s">
        <v>481</v>
      </c>
      <c r="C79" s="6">
        <f>C67-C77</f>
        <v>35156</v>
      </c>
      <c r="D79" s="6">
        <f>D67-D77</f>
        <v>17556</v>
      </c>
      <c r="E79" s="6">
        <f>E67-E77</f>
        <v>9145.5999999999767</v>
      </c>
      <c r="F79" s="6">
        <f>SUM(C79:E79)</f>
        <v>61857.599999999977</v>
      </c>
    </row>
    <row r="80" spans="2:6" x14ac:dyDescent="0.25">
      <c r="B80" s="9" t="s">
        <v>521</v>
      </c>
      <c r="C80" s="6">
        <f>C79</f>
        <v>35156</v>
      </c>
      <c r="D80" s="6">
        <f>D79+C80</f>
        <v>52712</v>
      </c>
      <c r="E80" s="6">
        <f>E79+D80</f>
        <v>61857.599999999977</v>
      </c>
      <c r="F80" s="6"/>
    </row>
    <row r="81" spans="2:6" x14ac:dyDescent="0.25">
      <c r="B81" s="24"/>
      <c r="C81" s="8"/>
      <c r="D81" s="8"/>
      <c r="E81" s="8"/>
      <c r="F81" s="8"/>
    </row>
  </sheetData>
  <mergeCells count="2">
    <mergeCell ref="D19:F19"/>
    <mergeCell ref="D30:F30"/>
  </mergeCells>
  <phoneticPr fontId="6" type="noConversion"/>
  <pageMargins left="0.78740157480314965" right="0.78740157480314965" top="0.78740157480314965" bottom="0.98425196850393704" header="0.70866141732283472" footer="0.51181102362204722"/>
  <pageSetup paperSize="9" fitToHeight="3" orientation="portrait" horizontalDpi="300" verticalDpi="300" r:id="rId1"/>
  <headerFooter alignWithMargins="0">
    <oddHeader>&amp;A&amp;RSide &amp;P</oddHeader>
    <oddFooter>&amp;CLøsninger kapittel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20</vt:i4>
      </vt:variant>
      <vt:variant>
        <vt:lpstr>Navngitte områder</vt:lpstr>
      </vt:variant>
      <vt:variant>
        <vt:i4>6</vt:i4>
      </vt:variant>
    </vt:vector>
  </HeadingPairs>
  <TitlesOfParts>
    <vt:vector size="26" baseType="lpstr"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8.19</vt:lpstr>
      <vt:lpstr>8.20</vt:lpstr>
      <vt:lpstr>'8.18'!BTOfortj</vt:lpstr>
      <vt:lpstr>BTOfortj</vt:lpstr>
      <vt:lpstr>Kontant</vt:lpstr>
      <vt:lpstr>Kreditt</vt:lpstr>
      <vt:lpstr>'8.18'!MVA</vt:lpstr>
      <vt:lpstr>MVA</vt:lpstr>
    </vt:vector>
  </TitlesOfParts>
  <Company>Høgskolen i Vestfold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Winther</dc:creator>
  <cp:lastModifiedBy>Trond Winther</cp:lastModifiedBy>
  <cp:lastPrinted>2011-03-15T10:02:06Z</cp:lastPrinted>
  <dcterms:created xsi:type="dcterms:W3CDTF">1998-10-22T19:46:19Z</dcterms:created>
  <dcterms:modified xsi:type="dcterms:W3CDTF">2019-04-01T10:35:24Z</dcterms:modified>
</cp:coreProperties>
</file>