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rw\Google Drive\Bokprosjekt\Driftsregnskap og budsjettering\"/>
    </mc:Choice>
  </mc:AlternateContent>
  <xr:revisionPtr revIDLastSave="0" documentId="8_{A89C29B5-8AC7-4F32-B9D5-1DD19FE7EA79}" xr6:coauthVersionLast="45" xr6:coauthVersionMax="45" xr10:uidLastSave="{00000000-0000-0000-0000-000000000000}"/>
  <bookViews>
    <workbookView xWindow="30612" yWindow="-4008" windowWidth="14616" windowHeight="22656" activeTab="1" xr2:uid="{00000000-000D-0000-FFFF-FFFF00000000}"/>
  </bookViews>
  <sheets>
    <sheet name="6.1" sheetId="16" r:id="rId1"/>
    <sheet name="6.2" sheetId="17" r:id="rId2"/>
    <sheet name="6.3" sheetId="12" r:id="rId3"/>
    <sheet name="6.4" sheetId="13" r:id="rId4"/>
    <sheet name="6.5" sheetId="14" r:id="rId5"/>
    <sheet name="6.6" sheetId="8" r:id="rId6"/>
    <sheet name="6.7" sheetId="18" r:id="rId7"/>
    <sheet name="6.8" sheetId="9" r:id="rId8"/>
    <sheet name="6.9" sheetId="10" r:id="rId9"/>
    <sheet name="6.10" sheetId="1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17" l="1"/>
  <c r="E20" i="17"/>
  <c r="H19" i="17"/>
  <c r="E19" i="17"/>
  <c r="H12" i="17"/>
  <c r="D12" i="17"/>
  <c r="C81" i="9" l="1"/>
  <c r="D83" i="9"/>
  <c r="C24" i="18" l="1"/>
  <c r="G9" i="17" l="1"/>
  <c r="F18" i="17" s="1"/>
  <c r="C9" i="17"/>
  <c r="C18" i="17" s="1"/>
  <c r="E119" i="8" l="1"/>
  <c r="F79" i="8"/>
  <c r="C14" i="8"/>
  <c r="F14" i="8" s="1"/>
  <c r="D6" i="16" l="1"/>
  <c r="E17" i="16" s="1"/>
  <c r="F6" i="16"/>
  <c r="H17" i="16" s="1"/>
  <c r="C12" i="16"/>
  <c r="E18" i="16" s="1"/>
  <c r="G12" i="16"/>
  <c r="H18" i="16" s="1"/>
  <c r="D6" i="17"/>
  <c r="F6" i="17"/>
  <c r="C12" i="17"/>
  <c r="G12" i="17"/>
  <c r="C131" i="8"/>
  <c r="D118" i="8" s="1"/>
  <c r="C126" i="8"/>
  <c r="D119" i="8" s="1"/>
  <c r="F103" i="8"/>
  <c r="F105" i="8" s="1"/>
  <c r="D110" i="8" s="1"/>
  <c r="D111" i="8"/>
  <c r="F82" i="8"/>
  <c r="D78" i="8" s="1"/>
  <c r="F83" i="8"/>
  <c r="E78" i="8" s="1"/>
  <c r="H78" i="8" s="1"/>
  <c r="D116" i="8" s="1"/>
  <c r="H68" i="8"/>
  <c r="H69" i="8"/>
  <c r="F91" i="8"/>
  <c r="E92" i="8"/>
  <c r="E93" i="8"/>
  <c r="E94" i="8"/>
  <c r="E95" i="8"/>
  <c r="H79" i="8"/>
  <c r="G46" i="8"/>
  <c r="D42" i="8"/>
  <c r="E55" i="8" s="1"/>
  <c r="F55" i="8" s="1"/>
  <c r="G55" i="8" s="1"/>
  <c r="F57" i="8"/>
  <c r="G57" i="8" s="1"/>
  <c r="D17" i="8"/>
  <c r="D19" i="8" s="1"/>
  <c r="D32" i="8"/>
  <c r="D34" i="8" s="1"/>
  <c r="F59" i="8"/>
  <c r="E46" i="8"/>
  <c r="C23" i="8"/>
  <c r="C29" i="8" s="1"/>
  <c r="F29" i="8" s="1"/>
  <c r="D113" i="8" s="1"/>
  <c r="D6" i="8"/>
  <c r="D9" i="18"/>
  <c r="D11" i="18" s="1"/>
  <c r="E37" i="18" s="1"/>
  <c r="E47" i="18" s="1"/>
  <c r="F34" i="18"/>
  <c r="E32" i="18" s="1"/>
  <c r="F27" i="18"/>
  <c r="E27" i="18"/>
  <c r="F20" i="18"/>
  <c r="E20" i="18"/>
  <c r="D7" i="18"/>
  <c r="D3" i="18"/>
  <c r="D4" i="18"/>
  <c r="D5" i="18"/>
  <c r="F15" i="9"/>
  <c r="I15" i="9" s="1"/>
  <c r="E17" i="9"/>
  <c r="F3" i="9"/>
  <c r="E18" i="9" s="1"/>
  <c r="F4" i="9"/>
  <c r="E19" i="9" s="1"/>
  <c r="E21" i="9"/>
  <c r="H16" i="9"/>
  <c r="G17" i="9"/>
  <c r="I3" i="9"/>
  <c r="G18" i="9" s="1"/>
  <c r="I4" i="9"/>
  <c r="G19" i="9" s="1"/>
  <c r="I25" i="9"/>
  <c r="C103" i="9"/>
  <c r="C104" i="9"/>
  <c r="C105" i="9"/>
  <c r="C106" i="9"/>
  <c r="D46" i="9"/>
  <c r="D57" i="9" s="1"/>
  <c r="D47" i="9"/>
  <c r="G57" i="9" s="1"/>
  <c r="G60" i="9" s="1"/>
  <c r="I60" i="9" s="1"/>
  <c r="F81" i="9"/>
  <c r="C108" i="9" s="1"/>
  <c r="L74" i="9"/>
  <c r="L75" i="9"/>
  <c r="D98" i="9"/>
  <c r="D100" i="9" s="1"/>
  <c r="C110" i="9" s="1"/>
  <c r="D91" i="9"/>
  <c r="D92" i="9" s="1"/>
  <c r="C111" i="9" s="1"/>
  <c r="F54" i="9"/>
  <c r="I54" i="9"/>
  <c r="F64" i="9"/>
  <c r="J64" i="9" s="1"/>
  <c r="K64" i="9" s="1"/>
  <c r="D42" i="9"/>
  <c r="D56" i="9" s="1"/>
  <c r="F56" i="9" s="1"/>
  <c r="G56" i="9"/>
  <c r="I56" i="9" s="1"/>
  <c r="I16" i="9"/>
  <c r="G11" i="9"/>
  <c r="F73" i="10"/>
  <c r="F74" i="10"/>
  <c r="F79" i="10"/>
  <c r="F80" i="10"/>
  <c r="F24" i="10"/>
  <c r="H24" i="10"/>
  <c r="E25" i="10"/>
  <c r="E26" i="10"/>
  <c r="E27" i="10"/>
  <c r="E18" i="10"/>
  <c r="E6" i="10"/>
  <c r="E29" i="10" s="1"/>
  <c r="G25" i="10"/>
  <c r="G26" i="10"/>
  <c r="G27" i="10"/>
  <c r="F19" i="10"/>
  <c r="F6" i="10"/>
  <c r="F10" i="10"/>
  <c r="F12" i="10" s="1"/>
  <c r="E10" i="10"/>
  <c r="E12" i="10" s="1"/>
  <c r="I17" i="16" l="1"/>
  <c r="I19" i="17"/>
  <c r="I21" i="17" s="1"/>
  <c r="G28" i="10"/>
  <c r="F5" i="9"/>
  <c r="F9" i="9" s="1"/>
  <c r="D48" i="9"/>
  <c r="I20" i="17"/>
  <c r="I18" i="16"/>
  <c r="E28" i="10"/>
  <c r="F82" i="10"/>
  <c r="D60" i="9"/>
  <c r="F60" i="9" s="1"/>
  <c r="J60" i="9" s="1"/>
  <c r="F57" i="9"/>
  <c r="L76" i="9"/>
  <c r="C109" i="9" s="1"/>
  <c r="H59" i="8"/>
  <c r="D79" i="8"/>
  <c r="G79" i="8" s="1"/>
  <c r="D49" i="8"/>
  <c r="D53" i="8" s="1"/>
  <c r="F53" i="8" s="1"/>
  <c r="H53" i="8" s="1"/>
  <c r="B29" i="8"/>
  <c r="E29" i="8" s="1"/>
  <c r="D114" i="8" s="1"/>
  <c r="G78" i="8"/>
  <c r="D115" i="8" s="1"/>
  <c r="D48" i="8"/>
  <c r="F48" i="8" s="1"/>
  <c r="B14" i="8"/>
  <c r="E14" i="8" s="1"/>
  <c r="D112" i="8" s="1"/>
  <c r="E96" i="8"/>
  <c r="F96" i="8" s="1"/>
  <c r="F97" i="8" s="1"/>
  <c r="F99" i="8" s="1"/>
  <c r="H32" i="18"/>
  <c r="G32" i="18"/>
  <c r="E30" i="10"/>
  <c r="F30" i="10" s="1"/>
  <c r="G29" i="10"/>
  <c r="G30" i="10" s="1"/>
  <c r="H30" i="10" s="1"/>
  <c r="H31" i="10" s="1"/>
  <c r="I24" i="10"/>
  <c r="I31" i="10" s="1"/>
  <c r="I5" i="9"/>
  <c r="I9" i="9" s="1"/>
  <c r="D44" i="9"/>
  <c r="J76" i="9"/>
  <c r="I57" i="9"/>
  <c r="J54" i="9"/>
  <c r="K54" i="9" s="1"/>
  <c r="K72" i="9" s="1"/>
  <c r="K77" i="9" s="1"/>
  <c r="G20" i="9"/>
  <c r="G22" i="9" s="1"/>
  <c r="H22" i="9" s="1"/>
  <c r="H23" i="9" s="1"/>
  <c r="E20" i="9"/>
  <c r="E22" i="9" s="1"/>
  <c r="F22" i="9" s="1"/>
  <c r="F23" i="9" s="1"/>
  <c r="G65" i="8"/>
  <c r="G71" i="8" s="1"/>
  <c r="H70" i="8"/>
  <c r="F70" i="8" s="1"/>
  <c r="D117" i="8" s="1"/>
  <c r="I19" i="16"/>
  <c r="I30" i="10"/>
  <c r="F31" i="10"/>
  <c r="J56" i="9"/>
  <c r="F61" i="9"/>
  <c r="F63" i="9" s="1"/>
  <c r="F65" i="9" s="1"/>
  <c r="F67" i="9" s="1"/>
  <c r="F69" i="9" s="1"/>
  <c r="F49" i="8"/>
  <c r="H49" i="8" s="1"/>
  <c r="H48" i="8"/>
  <c r="H50" i="8" s="1"/>
  <c r="F63" i="8" s="1"/>
  <c r="J57" i="9" l="1"/>
  <c r="L57" i="9" s="1"/>
  <c r="I23" i="9"/>
  <c r="I27" i="9" s="1"/>
  <c r="C102" i="9" s="1"/>
  <c r="C112" i="9" s="1"/>
  <c r="I61" i="9"/>
  <c r="I63" i="9" s="1"/>
  <c r="I65" i="9" s="1"/>
  <c r="I67" i="9" s="1"/>
  <c r="I69" i="9" s="1"/>
  <c r="D120" i="8"/>
  <c r="H64" i="8"/>
  <c r="F64" i="8" s="1"/>
  <c r="I22" i="9"/>
  <c r="H80" i="8"/>
  <c r="F54" i="8"/>
  <c r="F56" i="8" s="1"/>
  <c r="F58" i="8" s="1"/>
  <c r="F60" i="8" s="1"/>
  <c r="F62" i="8" s="1"/>
  <c r="F65" i="8" s="1"/>
  <c r="F71" i="8" s="1"/>
  <c r="B81" i="9"/>
  <c r="E81" i="9" s="1"/>
  <c r="C107" i="9" s="1"/>
  <c r="L60" i="9"/>
  <c r="L71" i="9" s="1"/>
  <c r="J71" i="9" s="1"/>
  <c r="J61" i="9"/>
  <c r="J63" i="9" s="1"/>
  <c r="J65" i="9" s="1"/>
  <c r="J67" i="9" s="1"/>
  <c r="J69" i="9" s="1"/>
  <c r="L56" i="9"/>
  <c r="L58" i="9" s="1"/>
  <c r="J70" i="9" s="1"/>
  <c r="I39" i="10"/>
  <c r="E44" i="10" s="1"/>
  <c r="H46" i="10" s="1"/>
  <c r="H48" i="10" s="1"/>
  <c r="I35" i="10"/>
  <c r="J72" i="9" l="1"/>
  <c r="J77" i="9" s="1"/>
</calcChain>
</file>

<file path=xl/sharedStrings.xml><?xml version="1.0" encoding="utf-8"?>
<sst xmlns="http://schemas.openxmlformats.org/spreadsheetml/2006/main" count="478" uniqueCount="303">
  <si>
    <t>ikke endres. Dekningsgraden på 36,9 % gjelder når salget av P = 1800</t>
    <phoneticPr fontId="14" type="noConversion"/>
  </si>
  <si>
    <t>og Q = 2100 enheter.</t>
    <phoneticPr fontId="14" type="noConversion"/>
  </si>
  <si>
    <r>
      <t>S</t>
    </r>
    <r>
      <rPr>
        <b/>
        <vertAlign val="subscript"/>
        <sz val="12"/>
        <rFont val="Times New Roman"/>
        <family val="1"/>
      </rPr>
      <t>V</t>
    </r>
    <r>
      <rPr>
        <b/>
        <sz val="12"/>
        <rFont val="Times New Roman"/>
        <family val="1"/>
      </rPr>
      <t xml:space="preserve"> (d</t>
    </r>
    <r>
      <rPr>
        <b/>
        <vertAlign val="subscript"/>
        <sz val="12"/>
        <rFont val="Times New Roman"/>
        <family val="1"/>
      </rPr>
      <t>V</t>
    </r>
    <r>
      <rPr>
        <b/>
        <sz val="12"/>
        <rFont val="Times New Roman"/>
        <family val="1"/>
      </rPr>
      <t xml:space="preserve"> – d) + d(S</t>
    </r>
    <r>
      <rPr>
        <b/>
        <vertAlign val="subscript"/>
        <sz val="12"/>
        <rFont val="Times New Roman"/>
        <family val="1"/>
      </rPr>
      <t>V</t>
    </r>
    <r>
      <rPr>
        <b/>
        <sz val="12"/>
        <rFont val="Times New Roman"/>
        <family val="1"/>
      </rPr>
      <t xml:space="preserve"> – S)</t>
    </r>
    <phoneticPr fontId="14" type="noConversion"/>
  </si>
  <si>
    <t>dekningsbidrag. Vi kan her i stedet bruke erstatt «d» med «p». Når den virkelige prisen på P</t>
    <phoneticPr fontId="14" type="noConversion"/>
  </si>
  <si>
    <t>er kr 97,50, betyr det at prisen har falt med kr 2,50 sammenlignet med budsjettert pris.</t>
    <phoneticPr fontId="14" type="noConversion"/>
  </si>
  <si>
    <t>Salgs- og adm.avdelingen</t>
    <phoneticPr fontId="0" type="noConversion"/>
  </si>
  <si>
    <t>Salgs- og adm.avdelingen</t>
    <phoneticPr fontId="0" type="noConversion"/>
  </si>
  <si>
    <t>Kommentarer utelatt.</t>
    <phoneticPr fontId="0" type="noConversion"/>
  </si>
  <si>
    <t>Eller mye enklere (og raskere):</t>
    <phoneticPr fontId="0" type="noConversion"/>
  </si>
  <si>
    <t>Vi har solgt 1 100 enheter til en pris som er kr 6 lavere enn budsjettert.</t>
    <phoneticPr fontId="0" type="noConversion"/>
  </si>
  <si>
    <t>DM 3 kg · 60 =</t>
    <phoneticPr fontId="22" type="noConversion"/>
  </si>
  <si>
    <t>Tilvirkningsmerkost</t>
    <phoneticPr fontId="22" type="noConversion"/>
  </si>
  <si>
    <t xml:space="preserve">DL 5 t · 170 = </t>
    <phoneticPr fontId="22" type="noConversion"/>
  </si>
  <si>
    <t>Indir. 5 t · 75 =</t>
    <phoneticPr fontId="22" type="noConversion"/>
  </si>
  <si>
    <t>DB = 1850 – 1405</t>
    <phoneticPr fontId="22" type="noConversion"/>
  </si>
  <si>
    <t>Totalt DB = 445 · 6 000=</t>
    <phoneticPr fontId="22" type="noConversion"/>
  </si>
  <si>
    <t>– FTK</t>
    <phoneticPr fontId="22" type="noConversion"/>
  </si>
  <si>
    <t>Materialregnskap</t>
    <phoneticPr fontId="22" type="noConversion"/>
  </si>
  <si>
    <t>Standard-</t>
    <phoneticPr fontId="22" type="noConversion"/>
  </si>
  <si>
    <t>Effektivitets-  avvik</t>
    <phoneticPr fontId="22" type="noConversion"/>
  </si>
  <si>
    <t>Forbruks-avvik</t>
    <phoneticPr fontId="22" type="noConversion"/>
  </si>
  <si>
    <t xml:space="preserve"> 445 · (7 000 – 6 000)</t>
    <phoneticPr fontId="22" type="noConversion"/>
  </si>
  <si>
    <t xml:space="preserve"> 7 000 · (1 800 – 1 850) </t>
    <phoneticPr fontId="22" type="noConversion"/>
  </si>
  <si>
    <t>Når det gjelder avviksanalysen, se læreboken.</t>
    <phoneticPr fontId="22" type="noConversion"/>
  </si>
  <si>
    <t>Dekn.diff.</t>
    <phoneticPr fontId="14" type="noConversion"/>
  </si>
  <si>
    <t>Vi står overfor proposjonale variable kostnader.</t>
    <phoneticPr fontId="14" type="noConversion"/>
  </si>
  <si>
    <t>Vi har solgt 1700 enheter Astra til en pris som er lik den budsjetterte prisen.</t>
    <phoneticPr fontId="14" type="noConversion"/>
  </si>
  <si>
    <t>MaxLight</t>
    <phoneticPr fontId="22" type="noConversion"/>
  </si>
  <si>
    <r>
      <t>(1800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2000)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20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  <phoneticPr fontId="22" type="noConversion"/>
  </si>
  <si>
    <r>
      <t>(75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80)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1800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  <phoneticPr fontId="22" type="noConversion"/>
  </si>
  <si>
    <r>
      <t>Virkelig enhetspris fremkommer ved å ta virkelig inntekt / virkelig solgt mengde</t>
    </r>
    <r>
      <rPr>
        <sz val="11"/>
        <color indexed="8"/>
        <rFont val="Calibri"/>
        <family val="2"/>
      </rPr>
      <t>.</t>
    </r>
    <phoneticPr fontId="22" type="noConversion"/>
  </si>
  <si>
    <r>
      <t>(1200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1000)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15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  <phoneticPr fontId="22" type="noConversion"/>
  </si>
  <si>
    <r>
      <t>(42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40)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1200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  <phoneticPr fontId="22" type="noConversion"/>
  </si>
  <si>
    <t xml:space="preserve">Det er satt i gang 150 enheter og ferdigprodusert 1050. Dermed må 100 enheter </t>
    <phoneticPr fontId="0" type="noConversion"/>
  </si>
  <si>
    <t>fremdeles være uferdige (halvferdige).</t>
    <phoneticPr fontId="0" type="noConversion"/>
  </si>
  <si>
    <t>Ind.var. tilv.kostn: 1 time à kr 35 =</t>
    <phoneticPr fontId="0" type="noConversion"/>
  </si>
  <si>
    <t>Dekn.diff.</t>
    <phoneticPr fontId="0" type="noConversion"/>
  </si>
  <si>
    <t>Forbruks avvik</t>
  </si>
  <si>
    <t>Effektivitets  avvik</t>
  </si>
  <si>
    <t>Salgsprisavvik:</t>
  </si>
  <si>
    <t>Total</t>
  </si>
  <si>
    <t>MinLight</t>
  </si>
  <si>
    <t>MaxLight</t>
  </si>
  <si>
    <t>Salgets resultatavvik:</t>
  </si>
  <si>
    <t>Enhetspris</t>
  </si>
  <si>
    <t>Salgsmengde</t>
  </si>
  <si>
    <t>Budsjett</t>
  </si>
  <si>
    <t>Variablekostnader</t>
  </si>
  <si>
    <t>Pris</t>
  </si>
  <si>
    <t>Veteran 2</t>
  </si>
  <si>
    <t>Veteran 1</t>
  </si>
  <si>
    <t>Modellbilprodusent</t>
  </si>
  <si>
    <t>Glimt A/S</t>
  </si>
  <si>
    <t>Lønnssats</t>
  </si>
  <si>
    <t>avvik</t>
  </si>
  <si>
    <t>Bravo</t>
    <phoneticPr fontId="14" type="noConversion"/>
  </si>
  <si>
    <t>Astra</t>
    <phoneticPr fontId="14" type="noConversion"/>
  </si>
  <si>
    <t>2 meter à kr 40 =</t>
    <phoneticPr fontId="14" type="noConversion"/>
  </si>
  <si>
    <t xml:space="preserve"> 1 meter à kr 40 =</t>
    <phoneticPr fontId="14" type="noConversion"/>
  </si>
  <si>
    <t>Indirekte variable kostnader tilvirkningsavdelingen</t>
    <phoneticPr fontId="14" type="noConversion"/>
  </si>
  <si>
    <t>Salgsinntekter Astra: 1 500 à kr 300 =</t>
    <phoneticPr fontId="14" type="noConversion"/>
  </si>
  <si>
    <t>Salgsinntekter Bravo: 500 enheter à kr 400 =</t>
    <phoneticPr fontId="14" type="noConversion"/>
  </si>
  <si>
    <t>Astra</t>
    <phoneticPr fontId="14" type="noConversion"/>
  </si>
  <si>
    <t>Bravo</t>
    <phoneticPr fontId="14" type="noConversion"/>
  </si>
  <si>
    <t>Sum</t>
    <phoneticPr fontId="14" type="noConversion"/>
  </si>
  <si>
    <t>Indirekte variable kostnader i tilvirkningsavd.</t>
    <phoneticPr fontId="14" type="noConversion"/>
  </si>
  <si>
    <t>Standard-</t>
    <phoneticPr fontId="14" type="noConversion"/>
  </si>
  <si>
    <t>Ferdigprodusert Astra: 2 000 à 2 meter =</t>
    <phoneticPr fontId="14" type="noConversion"/>
  </si>
  <si>
    <t>Ferdigprodusert Bravo: 500 à 1 meter =</t>
    <phoneticPr fontId="14" type="noConversion"/>
  </si>
  <si>
    <t>Salgs- og administrasjonsavdelingen</t>
    <phoneticPr fontId="14" type="noConversion"/>
  </si>
  <si>
    <t>Salgs- og adm.avdelingen</t>
    <phoneticPr fontId="14" type="noConversion"/>
  </si>
  <si>
    <t>Effektivitets- avvik</t>
    <phoneticPr fontId="14" type="noConversion"/>
  </si>
  <si>
    <t>Forbruks- avvik</t>
    <phoneticPr fontId="14" type="noConversion"/>
  </si>
  <si>
    <t>Det betyr igjen at virkelig dekningsbidrag går ned fra kr 40 til kr 37,50, altså med kr 2,50.</t>
  </si>
  <si>
    <t>Samlet inntektsavvik</t>
  </si>
  <si>
    <t>Det er ingen kostnadsavvik i mars.</t>
  </si>
  <si>
    <t>Dermed blir produksjonsresultatet 24 500 – 1 420 = 23 080</t>
  </si>
  <si>
    <r>
      <t>Salgsprisavvik: S</t>
    </r>
    <r>
      <rPr>
        <b/>
        <vertAlign val="subscript"/>
        <sz val="12"/>
        <rFont val="Times New Roman"/>
        <family val="1"/>
      </rPr>
      <t>V</t>
    </r>
    <r>
      <rPr>
        <b/>
        <sz val="12"/>
        <rFont val="Times New Roman"/>
        <family val="1"/>
      </rPr>
      <t>(d</t>
    </r>
    <r>
      <rPr>
        <b/>
        <vertAlign val="subscript"/>
        <sz val="12"/>
        <rFont val="Times New Roman"/>
        <family val="1"/>
      </rPr>
      <t>V</t>
    </r>
    <r>
      <rPr>
        <b/>
        <sz val="12"/>
        <rFont val="Times New Roman"/>
        <family val="1"/>
      </rPr>
      <t xml:space="preserve"> – d) </t>
    </r>
  </si>
  <si>
    <r>
      <t xml:space="preserve">Salgsprisavvik P: 1 840 </t>
    </r>
    <r>
      <rPr>
        <sz val="12"/>
        <rFont val="Arial"/>
        <family val="2"/>
      </rPr>
      <t>·</t>
    </r>
    <r>
      <rPr>
        <sz val="12"/>
        <rFont val="Times New Roman"/>
        <family val="1"/>
      </rPr>
      <t xml:space="preserve"> (37,50 – 40) =</t>
    </r>
  </si>
  <si>
    <r>
      <t xml:space="preserve">Salgsprisavvik Q: 2 080 </t>
    </r>
    <r>
      <rPr>
        <sz val="12"/>
        <rFont val="Arial"/>
        <family val="2"/>
      </rPr>
      <t>·</t>
    </r>
    <r>
      <rPr>
        <sz val="12"/>
        <rFont val="Times New Roman"/>
        <family val="1"/>
      </rPr>
      <t xml:space="preserve"> (26 – 25) =</t>
    </r>
  </si>
  <si>
    <t>Materialregnskap</t>
  </si>
  <si>
    <t>Standard -</t>
  </si>
  <si>
    <t xml:space="preserve">Virkelige </t>
  </si>
  <si>
    <t>vurdert til Ps</t>
  </si>
  <si>
    <t>PsMs</t>
  </si>
  <si>
    <t>PsMv</t>
  </si>
  <si>
    <t>PvMv</t>
  </si>
  <si>
    <t xml:space="preserve">Lønnsregnskap </t>
  </si>
  <si>
    <t>LsTs</t>
  </si>
  <si>
    <t>LsTv</t>
  </si>
  <si>
    <t>LvTv</t>
  </si>
  <si>
    <t xml:space="preserve">Se material- og lønnsregnskapet ovenfor. </t>
  </si>
  <si>
    <r>
      <t>Salgsprisavvik</t>
    </r>
    <r>
      <rPr>
        <sz val="12"/>
        <rFont val="Times New Roman"/>
        <family val="1"/>
      </rPr>
      <t>: Virkelig solgt mengde · (virkelig dekningsbidrag – budsjettert dekningsbidrag)</t>
    </r>
  </si>
  <si>
    <t>1 100 · (544 – 550) =</t>
  </si>
  <si>
    <t>550 · (1 100 – 1 000) =</t>
  </si>
  <si>
    <t>⅔ time à kr 225 =</t>
  </si>
  <si>
    <t>⅔ time à kr 45 =</t>
  </si>
  <si>
    <t>Ferdigprodusert Bravo: 500 à ⅔ time =</t>
  </si>
  <si>
    <t>1 700 · (130 – 130) =</t>
  </si>
  <si>
    <t>130 · (1 700 – 1 500) =</t>
  </si>
  <si>
    <t>180 · (500 – 500) =</t>
  </si>
  <si>
    <t>a)</t>
  </si>
  <si>
    <t>b)</t>
  </si>
  <si>
    <t>=Budsjettert resultat</t>
  </si>
  <si>
    <t>c)</t>
  </si>
  <si>
    <t>(25000*60)</t>
  </si>
  <si>
    <t>(36250*170)</t>
  </si>
  <si>
    <t>Forbruksavvik VK</t>
  </si>
  <si>
    <t>Effektivitetsavvik VK</t>
  </si>
  <si>
    <t>Forbruksavvik faste kostnader</t>
  </si>
  <si>
    <t>Virkelig resultat</t>
  </si>
  <si>
    <t>vurdert til Ls</t>
  </si>
  <si>
    <r>
      <t>(Ts ∙ k</t>
    </r>
    <r>
      <rPr>
        <vertAlign val="subscript"/>
        <sz val="11"/>
        <rFont val="Arial"/>
        <family val="2"/>
      </rPr>
      <t>s</t>
    </r>
    <r>
      <rPr>
        <vertAlign val="superscript"/>
        <sz val="11"/>
        <rFont val="Arial"/>
        <family val="2"/>
      </rPr>
      <t>var</t>
    </r>
    <r>
      <rPr>
        <sz val="11"/>
        <rFont val="Arial"/>
        <family val="2"/>
      </rPr>
      <t>)</t>
    </r>
  </si>
  <si>
    <r>
      <t>(Tv ∙ k</t>
    </r>
    <r>
      <rPr>
        <vertAlign val="subscript"/>
        <sz val="11"/>
        <rFont val="Arial"/>
        <family val="2"/>
      </rPr>
      <t>s</t>
    </r>
    <r>
      <rPr>
        <vertAlign val="superscript"/>
        <sz val="11"/>
        <rFont val="Arial"/>
        <family val="2"/>
      </rPr>
      <t>var</t>
    </r>
    <r>
      <rPr>
        <sz val="11"/>
        <rFont val="Arial"/>
        <family val="2"/>
      </rPr>
      <t>)</t>
    </r>
  </si>
  <si>
    <t>1–2</t>
  </si>
  <si>
    <t>2–3</t>
  </si>
  <si>
    <t>1 050 timer à kr 45 =</t>
  </si>
  <si>
    <r>
      <t>(Tv ∙ k</t>
    </r>
    <r>
      <rPr>
        <vertAlign val="subscript"/>
        <sz val="11"/>
        <rFont val="Arial"/>
        <family val="2"/>
      </rPr>
      <t>s</t>
    </r>
    <r>
      <rPr>
        <vertAlign val="superscript"/>
        <sz val="11"/>
        <rFont val="Arial"/>
        <family val="2"/>
      </rPr>
      <t>var</t>
    </r>
    <r>
      <rPr>
        <sz val="11"/>
        <rFont val="Arial"/>
        <family val="2"/>
      </rPr>
      <t>):</t>
    </r>
  </si>
  <si>
    <t>Vi har solgt 500 enheter Bravo til en pris som er kr 4 lavere enn budsjettert</t>
  </si>
  <si>
    <t>Astra:</t>
  </si>
  <si>
    <t>Bravo:</t>
  </si>
  <si>
    <t>500 (176 – 180) =</t>
  </si>
  <si>
    <t>Prisen er kr 4 lavere enn budsjettert. Da vil også dekningsbidraget bli kr 4 lavere.</t>
  </si>
  <si>
    <t>P</t>
  </si>
  <si>
    <t>Q</t>
  </si>
  <si>
    <t>Dekningsgrad</t>
  </si>
  <si>
    <t>Budsjettert produksjon i mars</t>
  </si>
  <si>
    <t>Budsjettert salg i mars</t>
  </si>
  <si>
    <t>Beholdningøkning ferdige varer</t>
  </si>
  <si>
    <t>Beholdningsnedgang ferdige varer</t>
  </si>
  <si>
    <t>Driftsbudsjett for mars</t>
  </si>
  <si>
    <t>Indirekte variable tilv.kostnader</t>
  </si>
  <si>
    <t>Beholdningsendring ferdige varer</t>
  </si>
  <si>
    <t>Budsjettert driftsresultat (produksjonsresultat)</t>
  </si>
  <si>
    <t>Dekningsgrad = dekningsbidrag i prosent av omsetningen = 124 500 i prosent av 337 500 =</t>
  </si>
  <si>
    <t>Nullpunktomsetning er den minste omsetningen bedriften trenger uten at den går med tap. Det</t>
  </si>
  <si>
    <t>betyr at dekningsbidraget = faste kostnader (kr 100 000).</t>
  </si>
  <si>
    <t>Nullpunktomsening: 100 000 : 0,369 =</t>
  </si>
  <si>
    <t>Sikkerhetsmargin i kroner = risikomargin i kroner = 337 500 – 271 084 =</t>
  </si>
  <si>
    <t>Sikkerhetsmargin i prosent: 66 416 i prosent av 337 500 =</t>
  </si>
  <si>
    <t>Omsetningen kan falle med kr 66 416 eller 19,7 % før bedriften går med tap.</t>
  </si>
  <si>
    <t>Forutsetninger for denne typen resonnementer:</t>
  </si>
  <si>
    <t>Beregning av dekningsgrad, nullpunktomsetning og sikkerhetsmargin</t>
  </si>
  <si>
    <t>forutsetter at forholdet mellom solgt mengde av de to produktene</t>
  </si>
  <si>
    <t>Hvis vi skulle få en dreining av salget i retning av relativt flere P og færre Q, vil</t>
  </si>
  <si>
    <t>den gjennomsnittlige dekningsgraden bli høyere enn 36,9 % fordi produktet</t>
  </si>
  <si>
    <t>P har en høyere dekningsgrad enn Q.</t>
  </si>
  <si>
    <t>Inntektsavviket kan skrives slik:</t>
  </si>
  <si>
    <t>Inne i parentesen har vi forskjellen mellom virkelig dekningsbidrag og budsjettert</t>
  </si>
  <si>
    <t>Beregning av standard tid</t>
  </si>
  <si>
    <t>Ferdigproduksjon: 1 050 stk à 2 timer =</t>
  </si>
  <si>
    <t>Økning varer i arbeid: 100 enheter à 1 time</t>
  </si>
  <si>
    <t>Standardsats indirekte variable tilvirkningskostnader: 70 : 2 = 35 per time</t>
  </si>
  <si>
    <t>Varer i arbeid</t>
  </si>
  <si>
    <t>Direkte materialer: 4 kg à kr 150 =</t>
  </si>
  <si>
    <t>Direkte lønn: 1 time à kr 240 =</t>
  </si>
  <si>
    <t>Beh.nedgang ferdigvarer</t>
  </si>
  <si>
    <t>Ind. variable salgskostnader</t>
  </si>
  <si>
    <t>Sum DD</t>
  </si>
  <si>
    <t xml:space="preserve">2 200 timer à kr 35 = </t>
  </si>
  <si>
    <t>2 300 timer à kr 35 =</t>
  </si>
  <si>
    <t>Budsjett for november</t>
  </si>
  <si>
    <t>Inntekter: 1 000 enheter à kr 1 800 =</t>
  </si>
  <si>
    <t>Direkte materialer: 1 000 enheter à kr 600 =</t>
  </si>
  <si>
    <t>Direkte lønn: 1 000 enheter à kr 480 =</t>
  </si>
  <si>
    <t>Indirekte var. tilv.kostnader: 1 000 enheter à kr 70 =</t>
  </si>
  <si>
    <t>Ind. var. salgs- og adm.kostnader: 1 000 enheter à kr 100</t>
  </si>
  <si>
    <t>Faste kostnader: 280 000 + 190 000 =</t>
  </si>
  <si>
    <t>Budsjettert dekningsbidrag: 1 000 enheter à kr (1 800 – 1 250)</t>
  </si>
  <si>
    <t>Budsjettert resultat +/– kostnadsavvik og inntektsavvik = virkelig resultat</t>
  </si>
  <si>
    <t xml:space="preserve">Vi har solgt 100 enheter mer enn budsjettert. </t>
  </si>
  <si>
    <r>
      <t>T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 xml:space="preserve"> = 542 800 : 136 =</t>
    </r>
  </si>
  <si>
    <t>⅓ time à kr 225 =</t>
  </si>
  <si>
    <t>⅓ time à kr 45 =</t>
  </si>
  <si>
    <t>Tilvirkningsmerkost = merkost per enhet</t>
  </si>
  <si>
    <t>Budsjettert pris</t>
  </si>
  <si>
    <t>Standardsats for indirekte variable kostnader i tilvirkningsavdelingen: 540 000 : 12 000 =</t>
  </si>
  <si>
    <t>Budsjett for 1. periode</t>
  </si>
  <si>
    <t>Budsjettert tilvirkningsmerkost</t>
  </si>
  <si>
    <t>Beholdningsøkning 500 Astra à kr 170 =</t>
  </si>
  <si>
    <t>1 500 000 : 12 =</t>
  </si>
  <si>
    <t>1 440 000 : 12 =</t>
  </si>
  <si>
    <t>Budsjettert driftsresultat</t>
  </si>
  <si>
    <t>Ferdigprodusert Astra: 2 000 à ⅓ time =</t>
  </si>
  <si>
    <t xml:space="preserve"> meter</t>
  </si>
  <si>
    <t>Astra</t>
  </si>
  <si>
    <t>Bravo</t>
  </si>
  <si>
    <t>Direkte materialer</t>
  </si>
  <si>
    <t>Direkte lønn</t>
  </si>
  <si>
    <t>Mengde</t>
  </si>
  <si>
    <t>Sats</t>
  </si>
  <si>
    <t>Kostnad</t>
  </si>
  <si>
    <t>Standard</t>
  </si>
  <si>
    <t>Virkelig</t>
  </si>
  <si>
    <t>kostnad</t>
  </si>
  <si>
    <t>Avvik dir.</t>
  </si>
  <si>
    <t>kostnader</t>
  </si>
  <si>
    <t>Salgsinntekter</t>
  </si>
  <si>
    <t>Tilvirkningsavdelingen</t>
  </si>
  <si>
    <t>Beh.endring varer i arbeid</t>
  </si>
  <si>
    <t>Adm. og salgsavdelingen</t>
  </si>
  <si>
    <t>SUM</t>
  </si>
  <si>
    <t>Sum avvik direkte kostnader</t>
  </si>
  <si>
    <t>Sum dekningsdifferanse</t>
  </si>
  <si>
    <t>Produksjonsresultat</t>
  </si>
  <si>
    <t>Ind. variable tilv.kostnader</t>
  </si>
  <si>
    <t>Periodens tilvirkningsmerkost</t>
  </si>
  <si>
    <t>Tilvirkningsmerkost solgte varer</t>
  </si>
  <si>
    <t>Tilvirkningsmerkost ferdigvarer</t>
  </si>
  <si>
    <t>Merkost solgte varer</t>
  </si>
  <si>
    <t>Merkost solgte varer = salgsmerkost</t>
  </si>
  <si>
    <t>Kalkulert dekningsbidrag</t>
  </si>
  <si>
    <t>Faste kostnader:</t>
  </si>
  <si>
    <t>Virkelig dekningsbidrag</t>
  </si>
  <si>
    <t>Budsjettavvik faste kostnader</t>
  </si>
  <si>
    <t>Avvik FK</t>
  </si>
  <si>
    <t>A</t>
  </si>
  <si>
    <t>Beh.økning ferdigvarer</t>
  </si>
  <si>
    <t>B</t>
  </si>
  <si>
    <t>Prisavvik</t>
  </si>
  <si>
    <t>Lønnssatsavvik</t>
  </si>
  <si>
    <t>Tidsavvik</t>
  </si>
  <si>
    <t>C</t>
  </si>
  <si>
    <t>D</t>
  </si>
  <si>
    <t>E</t>
  </si>
  <si>
    <t>Tilvirkningsmerkost</t>
  </si>
  <si>
    <t>Sum variable kostnader</t>
  </si>
  <si>
    <t>Budsjettert dekningsbidrag</t>
  </si>
  <si>
    <t>Faste kostnader</t>
  </si>
  <si>
    <t>Budsjettert resultat</t>
  </si>
  <si>
    <t xml:space="preserve"> timer</t>
  </si>
  <si>
    <t>MATERIALREGNSKAP</t>
  </si>
  <si>
    <t>Mengdeavvik</t>
  </si>
  <si>
    <t>Effektivitetsavvik</t>
  </si>
  <si>
    <t>Salgsprisavvik</t>
  </si>
  <si>
    <t>Dekningsbidrag</t>
  </si>
  <si>
    <t>Indirekte variable tilvirkningskostnader</t>
  </si>
  <si>
    <t xml:space="preserve"> kg</t>
  </si>
  <si>
    <t>Standardkostnader</t>
  </si>
  <si>
    <t>Beh.økning varer i arbeid</t>
  </si>
  <si>
    <t>F</t>
  </si>
  <si>
    <t>Kostnadsavvik</t>
  </si>
  <si>
    <t>Prisavvik materialer</t>
  </si>
  <si>
    <t>Salgets resultatavvik</t>
  </si>
  <si>
    <t>Prisen er kr 100 lavere enn budsjettert. Da vil også dekningsbidraget bli kr 100 lavere.</t>
  </si>
  <si>
    <t>Ind.var. Tilv.kostnader</t>
  </si>
  <si>
    <t>Tilv.merkost ferdigvarer</t>
  </si>
  <si>
    <t>Tilv.merkost solgte varer</t>
  </si>
  <si>
    <t>Avvik direkte kostnader</t>
  </si>
  <si>
    <t>Sum dekningsdifferanser</t>
  </si>
  <si>
    <t>Budsjettert salgspris</t>
  </si>
  <si>
    <t>Merkost: 1 150 + 100 =</t>
  </si>
  <si>
    <t xml:space="preserve"> per enhet</t>
  </si>
  <si>
    <t>Beregning av standard mengde</t>
  </si>
  <si>
    <t>Ferdigproduksjon: 1 050 stk. à 4 kg =</t>
  </si>
  <si>
    <t>Økning varer i arbeid: 100 enheter à 4 kg =</t>
  </si>
  <si>
    <t>REGNSKAP FOR DIREKTE LØNN</t>
  </si>
  <si>
    <t>Avvik på inntektssiden medfører et resultat som er  kr 7 600 mindre enn budsjettert.</t>
  </si>
  <si>
    <t>Avvik på inntektssiden medfører et resultat som er  kr 65 000 større enn budsjettert.</t>
  </si>
  <si>
    <t>kostnader (1)</t>
  </si>
  <si>
    <t>vurdert til Ps (2)</t>
  </si>
  <si>
    <t>kostnader (3)</t>
  </si>
  <si>
    <t>(1-2)</t>
  </si>
  <si>
    <t>(2-3)</t>
  </si>
  <si>
    <t>vurdert til Ls (2)</t>
  </si>
  <si>
    <t>1 Standard-kostnad</t>
  </si>
  <si>
    <t>2 Fleksibelt budsjett</t>
  </si>
  <si>
    <t>3 Virkelige kostnader</t>
  </si>
  <si>
    <t>Tilvirkningsavdelingen:</t>
  </si>
  <si>
    <t>Fleksibelt budsjett</t>
  </si>
  <si>
    <t>Salgs- og administrasjonsavdelingen:</t>
  </si>
  <si>
    <t>Siden det er et fast kronetillegg per enhet vil det ikke bli noe avvik i disse kostnadene.</t>
  </si>
  <si>
    <t>(se beregning nedenfor)</t>
  </si>
  <si>
    <r>
      <t>Fleksibelt budsjett = Tv ·  k</t>
    </r>
    <r>
      <rPr>
        <vertAlign val="subscript"/>
        <sz val="11"/>
        <rFont val="Arial"/>
        <family val="2"/>
      </rPr>
      <t>s</t>
    </r>
    <r>
      <rPr>
        <vertAlign val="superscript"/>
        <sz val="11"/>
        <rFont val="Arial"/>
        <family val="2"/>
      </rPr>
      <t>var</t>
    </r>
    <r>
      <rPr>
        <sz val="11"/>
        <rFont val="Arial"/>
        <family val="2"/>
      </rPr>
      <t xml:space="preserve"> = 36 250 timer à kr 75 =</t>
    </r>
  </si>
  <si>
    <r>
      <t>Beregning av M</t>
    </r>
    <r>
      <rPr>
        <b/>
        <vertAlign val="subscript"/>
        <sz val="11"/>
        <rFont val="Times New Roman"/>
        <family val="1"/>
      </rPr>
      <t>S</t>
    </r>
    <r>
      <rPr>
        <b/>
        <sz val="11"/>
        <rFont val="Times New Roman"/>
        <family val="1"/>
      </rPr>
      <t>:</t>
    </r>
  </si>
  <si>
    <r>
      <t>Beregning av T</t>
    </r>
    <r>
      <rPr>
        <b/>
        <vertAlign val="subscript"/>
        <sz val="11"/>
        <rFont val="Times New Roman"/>
        <family val="1"/>
      </rPr>
      <t>S</t>
    </r>
    <r>
      <rPr>
        <b/>
        <sz val="11"/>
        <rFont val="Times New Roman"/>
        <family val="1"/>
      </rPr>
      <t>:</t>
    </r>
  </si>
  <si>
    <r>
      <t>Salgsprisavvik</t>
    </r>
    <r>
      <rPr>
        <sz val="11"/>
        <rFont val="Times New Roman"/>
        <family val="1"/>
      </rPr>
      <t>: Virkelig solgt mengde · (virkelig dekningsbidrag – budsjettert dekningsbidrag)</t>
    </r>
  </si>
  <si>
    <t>(Oppgitt)</t>
  </si>
  <si>
    <r>
      <t>Volumavvik</t>
    </r>
    <r>
      <rPr>
        <sz val="11"/>
        <rFont val="Times New Roman"/>
        <family val="1"/>
      </rPr>
      <t>: Budsjettert dekningsbidrag · (budsjettert salgsvolum – virkelig salgsvolum)</t>
    </r>
  </si>
  <si>
    <t>Virkelig forbruk</t>
  </si>
  <si>
    <t>Virkelig forbr.</t>
  </si>
  <si>
    <t>PsMs (1)</t>
  </si>
  <si>
    <t>PsMv (2)</t>
  </si>
  <si>
    <t>PvMv (3)</t>
  </si>
  <si>
    <t>LsTs (1)</t>
  </si>
  <si>
    <t>LsTv (2)</t>
  </si>
  <si>
    <t>LvTv (3)</t>
  </si>
  <si>
    <t xml:space="preserve">Salgsvolumavvik: </t>
  </si>
  <si>
    <t>Se løsning 5.32</t>
  </si>
  <si>
    <t>Se løsning 5.36</t>
  </si>
  <si>
    <t>Se løsning 5.35</t>
  </si>
  <si>
    <t>Salgsvolumsavvik</t>
  </si>
  <si>
    <r>
      <t>Salgsvolumavvik</t>
    </r>
    <r>
      <rPr>
        <sz val="12"/>
        <rFont val="Times New Roman"/>
        <family val="1"/>
      </rPr>
      <t>: Budsjettert dekningsbidrag · (budsjettert salgsvolum – virkelig salgsvolum)</t>
    </r>
  </si>
  <si>
    <t>Salgsvolumavvik</t>
  </si>
  <si>
    <t>Forbruksavvik f.kost.</t>
  </si>
  <si>
    <r>
      <t>Salgsvolumavvik: d(S</t>
    </r>
    <r>
      <rPr>
        <b/>
        <vertAlign val="subscript"/>
        <sz val="12"/>
        <rFont val="Times New Roman"/>
        <family val="1"/>
      </rPr>
      <t>V</t>
    </r>
    <r>
      <rPr>
        <b/>
        <sz val="12"/>
        <rFont val="Times New Roman"/>
        <family val="1"/>
      </rPr>
      <t xml:space="preserve"> – S)</t>
    </r>
  </si>
  <si>
    <r>
      <t xml:space="preserve">Salgsvolumavvik P: 40 </t>
    </r>
    <r>
      <rPr>
        <sz val="12"/>
        <rFont val="Arial"/>
        <family val="2"/>
      </rPr>
      <t>·</t>
    </r>
    <r>
      <rPr>
        <sz val="12"/>
        <rFont val="Times New Roman"/>
        <family val="1"/>
      </rPr>
      <t xml:space="preserve"> (1 840 – 1 800) =</t>
    </r>
  </si>
  <si>
    <t>Salgsvolumavvik Q: 25 · (2 080 – 2 100) =</t>
  </si>
  <si>
    <t>Se løsningsforslag oppgave 5.34</t>
  </si>
  <si>
    <r>
      <t>(3000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2500)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200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</si>
  <si>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(450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400)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3000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</si>
  <si>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(3500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4000)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300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</si>
  <si>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(590</t>
    </r>
    <r>
      <rPr>
        <sz val="11"/>
        <color indexed="8"/>
        <rFont val="Calibri"/>
        <family val="2"/>
      </rPr>
      <t xml:space="preserve"> – </t>
    </r>
    <r>
      <rPr>
        <sz val="11"/>
        <color theme="1"/>
        <rFont val="Calibri"/>
        <family val="2"/>
        <scheme val="minor"/>
      </rPr>
      <t>600)</t>
    </r>
    <r>
      <rPr>
        <sz val="11"/>
        <color indexed="8"/>
        <rFont val="Calibri"/>
        <family val="2"/>
      </rPr>
      <t xml:space="preserve"> · </t>
    </r>
    <r>
      <rPr>
        <sz val="11"/>
        <color theme="1"/>
        <rFont val="Calibri"/>
        <family val="2"/>
        <scheme val="minor"/>
      </rPr>
      <t>3500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</si>
</sst>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"/>
    <numFmt numFmtId="166" formatCode="0.0\ %"/>
    <numFmt numFmtId="167" formatCode="_ * #,##0_ ;_ * \-#,##0_ ;_ * &quot;-&quot;??_ ;_ @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4" fillId="0" borderId="0"/>
  </cellStyleXfs>
  <cellXfs count="267">
    <xf numFmtId="0" fontId="0" fillId="0" borderId="0" xfId="0"/>
    <xf numFmtId="0" fontId="6" fillId="0" borderId="0" xfId="0" applyFont="1"/>
    <xf numFmtId="3" fontId="6" fillId="0" borderId="0" xfId="0" applyNumberFormat="1" applyFont="1"/>
    <xf numFmtId="3" fontId="6" fillId="0" borderId="2" xfId="0" applyNumberFormat="1" applyFont="1" applyBorder="1"/>
    <xf numFmtId="3" fontId="6" fillId="0" borderId="2" xfId="0" applyNumberFormat="1" applyFont="1" applyBorder="1" applyAlignment="1">
      <alignment horizontal="center"/>
    </xf>
    <xf numFmtId="0" fontId="8" fillId="0" borderId="0" xfId="0" applyFont="1"/>
    <xf numFmtId="3" fontId="6" fillId="0" borderId="3" xfId="0" applyNumberFormat="1" applyFont="1" applyBorder="1"/>
    <xf numFmtId="0" fontId="6" fillId="0" borderId="2" xfId="0" applyFont="1" applyBorder="1"/>
    <xf numFmtId="0" fontId="9" fillId="0" borderId="0" xfId="0" applyFont="1"/>
    <xf numFmtId="0" fontId="6" fillId="0" borderId="1" xfId="0" applyFont="1" applyBorder="1"/>
    <xf numFmtId="0" fontId="6" fillId="0" borderId="5" xfId="0" applyFont="1" applyBorder="1"/>
    <xf numFmtId="3" fontId="6" fillId="0" borderId="4" xfId="0" applyNumberFormat="1" applyFont="1" applyBorder="1"/>
    <xf numFmtId="3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3" fontId="6" fillId="0" borderId="5" xfId="0" applyNumberFormat="1" applyFont="1" applyBorder="1"/>
    <xf numFmtId="3" fontId="9" fillId="0" borderId="0" xfId="0" applyNumberFormat="1" applyFont="1"/>
    <xf numFmtId="0" fontId="6" fillId="0" borderId="9" xfId="0" applyFont="1" applyBorder="1"/>
    <xf numFmtId="0" fontId="6" fillId="0" borderId="10" xfId="0" applyFont="1" applyBorder="1"/>
    <xf numFmtId="2" fontId="6" fillId="0" borderId="0" xfId="0" applyNumberFormat="1" applyFont="1"/>
    <xf numFmtId="2" fontId="6" fillId="0" borderId="5" xfId="0" applyNumberFormat="1" applyFont="1" applyBorder="1"/>
    <xf numFmtId="3" fontId="6" fillId="0" borderId="10" xfId="0" applyNumberFormat="1" applyFont="1" applyBorder="1"/>
    <xf numFmtId="0" fontId="6" fillId="0" borderId="0" xfId="0" applyFont="1" applyBorder="1"/>
    <xf numFmtId="0" fontId="6" fillId="0" borderId="21" xfId="0" applyFont="1" applyBorder="1"/>
    <xf numFmtId="0" fontId="13" fillId="0" borderId="0" xfId="0" applyFont="1"/>
    <xf numFmtId="3" fontId="6" fillId="0" borderId="22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9" xfId="0" applyFont="1" applyBorder="1"/>
    <xf numFmtId="0" fontId="6" fillId="0" borderId="30" xfId="0" applyFont="1" applyBorder="1"/>
    <xf numFmtId="3" fontId="6" fillId="0" borderId="0" xfId="0" applyNumberFormat="1" applyFont="1" applyFill="1" applyBorder="1"/>
    <xf numFmtId="3" fontId="6" fillId="0" borderId="41" xfId="0" applyNumberFormat="1" applyFont="1" applyFill="1" applyBorder="1"/>
    <xf numFmtId="0" fontId="6" fillId="0" borderId="5" xfId="0" applyFont="1" applyBorder="1" applyAlignment="1">
      <alignment horizontal="center" vertical="center"/>
    </xf>
    <xf numFmtId="166" fontId="6" fillId="0" borderId="0" xfId="2" applyNumberFormat="1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/>
    <xf numFmtId="0" fontId="6" fillId="0" borderId="43" xfId="0" applyFont="1" applyBorder="1"/>
    <xf numFmtId="3" fontId="6" fillId="0" borderId="44" xfId="0" applyNumberFormat="1" applyFont="1" applyBorder="1"/>
    <xf numFmtId="3" fontId="6" fillId="0" borderId="28" xfId="0" applyNumberFormat="1" applyFont="1" applyBorder="1"/>
    <xf numFmtId="3" fontId="6" fillId="0" borderId="45" xfId="0" applyNumberFormat="1" applyFont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3" fontId="6" fillId="0" borderId="25" xfId="0" applyNumberFormat="1" applyFont="1" applyBorder="1"/>
    <xf numFmtId="0" fontId="6" fillId="0" borderId="0" xfId="0" applyFont="1" applyAlignment="1">
      <alignment horizontal="left" indent="4"/>
    </xf>
    <xf numFmtId="3" fontId="9" fillId="0" borderId="0" xfId="0" applyNumberFormat="1" applyFont="1" applyBorder="1"/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48" xfId="0" applyNumberFormat="1" applyFont="1" applyFill="1" applyBorder="1"/>
    <xf numFmtId="3" fontId="6" fillId="0" borderId="3" xfId="0" applyNumberFormat="1" applyFont="1" applyFill="1" applyBorder="1"/>
    <xf numFmtId="0" fontId="6" fillId="0" borderId="21" xfId="0" applyFont="1" applyFill="1" applyBorder="1"/>
    <xf numFmtId="0" fontId="6" fillId="0" borderId="41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3" fontId="6" fillId="0" borderId="4" xfId="0" applyNumberFormat="1" applyFont="1" applyFill="1" applyBorder="1"/>
    <xf numFmtId="0" fontId="6" fillId="0" borderId="9" xfId="0" applyFont="1" applyFill="1" applyBorder="1"/>
    <xf numFmtId="0" fontId="6" fillId="0" borderId="25" xfId="0" applyFont="1" applyFill="1" applyBorder="1"/>
    <xf numFmtId="3" fontId="6" fillId="0" borderId="49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0" fontId="6" fillId="0" borderId="49" xfId="0" applyFont="1" applyFill="1" applyBorder="1"/>
    <xf numFmtId="0" fontId="7" fillId="0" borderId="21" xfId="0" applyFont="1" applyFill="1" applyBorder="1"/>
    <xf numFmtId="0" fontId="6" fillId="0" borderId="21" xfId="0" applyFont="1" applyFill="1" applyBorder="1" applyAlignment="1">
      <alignment horizontal="left" indent="1"/>
    </xf>
    <xf numFmtId="3" fontId="6" fillId="0" borderId="10" xfId="0" applyNumberFormat="1" applyFont="1" applyFill="1" applyBorder="1"/>
    <xf numFmtId="3" fontId="6" fillId="0" borderId="25" xfId="0" applyNumberFormat="1" applyFont="1" applyFill="1" applyBorder="1"/>
    <xf numFmtId="0" fontId="6" fillId="0" borderId="6" xfId="0" applyFont="1" applyFill="1" applyBorder="1"/>
    <xf numFmtId="0" fontId="6" fillId="0" borderId="40" xfId="0" applyFont="1" applyFill="1" applyBorder="1"/>
    <xf numFmtId="0" fontId="6" fillId="0" borderId="9" xfId="0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7" fontId="6" fillId="0" borderId="2" xfId="1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9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15" fillId="0" borderId="0" xfId="0" applyNumberFormat="1" applyFont="1"/>
    <xf numFmtId="3" fontId="15" fillId="0" borderId="22" xfId="0" applyNumberFormat="1" applyFont="1" applyBorder="1"/>
    <xf numFmtId="3" fontId="15" fillId="0" borderId="2" xfId="0" applyNumberFormat="1" applyFont="1" applyBorder="1"/>
    <xf numFmtId="0" fontId="15" fillId="0" borderId="0" xfId="0" applyFont="1"/>
    <xf numFmtId="3" fontId="16" fillId="0" borderId="0" xfId="0" applyNumberFormat="1" applyFont="1"/>
    <xf numFmtId="0" fontId="15" fillId="0" borderId="0" xfId="0" quotePrefix="1" applyFont="1" applyAlignment="1">
      <alignment horizontal="left"/>
    </xf>
    <xf numFmtId="0" fontId="15" fillId="0" borderId="2" xfId="3" applyFont="1" applyFill="1" applyBorder="1" applyAlignment="1">
      <alignment horizontal="center" vertical="top" wrapText="1"/>
    </xf>
    <xf numFmtId="0" fontId="15" fillId="3" borderId="2" xfId="3" applyFont="1" applyFill="1" applyBorder="1" applyAlignment="1">
      <alignment horizontal="center" vertical="top" wrapText="1"/>
    </xf>
    <xf numFmtId="0" fontId="15" fillId="0" borderId="0" xfId="3" applyFont="1" applyFill="1" applyBorder="1" applyAlignment="1">
      <alignment horizontal="left" vertical="top" wrapText="1"/>
    </xf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9" xfId="0" applyNumberFormat="1" applyFont="1" applyFill="1" applyBorder="1"/>
    <xf numFmtId="0" fontId="6" fillId="0" borderId="48" xfId="0" applyFont="1" applyFill="1" applyBorder="1"/>
    <xf numFmtId="0" fontId="4" fillId="0" borderId="0" xfId="4"/>
    <xf numFmtId="3" fontId="4" fillId="0" borderId="5" xfId="4" applyNumberFormat="1" applyBorder="1"/>
    <xf numFmtId="0" fontId="4" fillId="0" borderId="5" xfId="4" applyBorder="1"/>
    <xf numFmtId="3" fontId="4" fillId="0" borderId="9" xfId="4" applyNumberFormat="1" applyBorder="1"/>
    <xf numFmtId="3" fontId="4" fillId="0" borderId="48" xfId="4" applyNumberFormat="1" applyBorder="1"/>
    <xf numFmtId="0" fontId="4" fillId="0" borderId="10" xfId="4" applyBorder="1"/>
    <xf numFmtId="0" fontId="4" fillId="0" borderId="9" xfId="4" applyBorder="1"/>
    <xf numFmtId="3" fontId="4" fillId="0" borderId="0" xfId="4" applyNumberFormat="1"/>
    <xf numFmtId="3" fontId="4" fillId="0" borderId="41" xfId="4" applyNumberFormat="1" applyBorder="1"/>
    <xf numFmtId="0" fontId="4" fillId="0" borderId="0" xfId="4" quotePrefix="1" applyAlignment="1">
      <alignment horizontal="left"/>
    </xf>
    <xf numFmtId="0" fontId="4" fillId="0" borderId="0" xfId="4" applyBorder="1"/>
    <xf numFmtId="0" fontId="4" fillId="0" borderId="49" xfId="4" quotePrefix="1" applyBorder="1" applyAlignment="1">
      <alignment horizontal="left"/>
    </xf>
    <xf numFmtId="0" fontId="4" fillId="0" borderId="40" xfId="4" applyBorder="1"/>
    <xf numFmtId="0" fontId="4" fillId="0" borderId="6" xfId="4" applyBorder="1" applyAlignment="1">
      <alignment horizontal="center"/>
    </xf>
    <xf numFmtId="0" fontId="4" fillId="0" borderId="49" xfId="4" applyBorder="1" applyAlignment="1">
      <alignment horizontal="center"/>
    </xf>
    <xf numFmtId="0" fontId="4" fillId="0" borderId="6" xfId="4" applyBorder="1"/>
    <xf numFmtId="0" fontId="4" fillId="0" borderId="49" xfId="4" applyBorder="1"/>
    <xf numFmtId="0" fontId="4" fillId="0" borderId="0" xfId="4" applyAlignment="1">
      <alignment horizontal="left"/>
    </xf>
    <xf numFmtId="0" fontId="20" fillId="0" borderId="5" xfId="4" applyFont="1" applyBorder="1"/>
    <xf numFmtId="0" fontId="21" fillId="0" borderId="0" xfId="0" applyFont="1"/>
    <xf numFmtId="3" fontId="6" fillId="0" borderId="11" xfId="0" applyNumberFormat="1" applyFont="1" applyFill="1" applyBorder="1" applyAlignment="1">
      <alignment horizontal="center"/>
    </xf>
    <xf numFmtId="0" fontId="4" fillId="0" borderId="10" xfId="4" applyFont="1" applyBorder="1"/>
    <xf numFmtId="0" fontId="4" fillId="0" borderId="0" xfId="4" applyFont="1" applyBorder="1" applyAlignment="1">
      <alignment horizontal="left"/>
    </xf>
    <xf numFmtId="0" fontId="4" fillId="0" borderId="0" xfId="4" applyFont="1" applyAlignment="1">
      <alignment horizontal="left"/>
    </xf>
    <xf numFmtId="0" fontId="4" fillId="0" borderId="9" xfId="4" applyFont="1" applyBorder="1"/>
    <xf numFmtId="0" fontId="4" fillId="0" borderId="0" xfId="4" applyFont="1"/>
    <xf numFmtId="0" fontId="21" fillId="0" borderId="0" xfId="0" applyFont="1" applyAlignment="1">
      <alignment horizontal="left"/>
    </xf>
    <xf numFmtId="0" fontId="3" fillId="0" borderId="0" xfId="4" applyFont="1"/>
    <xf numFmtId="0" fontId="16" fillId="4" borderId="3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167" fontId="6" fillId="0" borderId="0" xfId="1" applyNumberFormat="1" applyFont="1" applyBorder="1" applyAlignment="1">
      <alignment horizontal="center"/>
    </xf>
    <xf numFmtId="3" fontId="6" fillId="0" borderId="0" xfId="0" applyNumberFormat="1" applyFont="1" applyAlignment="1">
      <alignment horizontal="left"/>
    </xf>
    <xf numFmtId="0" fontId="16" fillId="0" borderId="0" xfId="0" applyFont="1"/>
    <xf numFmtId="0" fontId="16" fillId="0" borderId="1" xfId="0" applyFont="1" applyBorder="1"/>
    <xf numFmtId="0" fontId="16" fillId="0" borderId="5" xfId="0" applyFont="1" applyBorder="1"/>
    <xf numFmtId="0" fontId="16" fillId="0" borderId="2" xfId="0" applyFont="1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3" xfId="0" applyFont="1" applyBorder="1"/>
    <xf numFmtId="0" fontId="16" fillId="0" borderId="26" xfId="0" applyFont="1" applyBorder="1"/>
    <xf numFmtId="0" fontId="16" fillId="0" borderId="27" xfId="0" applyFont="1" applyBorder="1"/>
    <xf numFmtId="0" fontId="16" fillId="0" borderId="28" xfId="0" applyFont="1" applyBorder="1"/>
    <xf numFmtId="0" fontId="16" fillId="0" borderId="2" xfId="0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4" xfId="0" applyFont="1" applyBorder="1"/>
    <xf numFmtId="0" fontId="24" fillId="0" borderId="0" xfId="0" applyFont="1"/>
    <xf numFmtId="0" fontId="16" fillId="0" borderId="15" xfId="0" applyFont="1" applyBorder="1"/>
    <xf numFmtId="0" fontId="16" fillId="0" borderId="16" xfId="0" applyFont="1" applyBorder="1"/>
    <xf numFmtId="0" fontId="24" fillId="0" borderId="31" xfId="0" applyFont="1" applyBorder="1" applyAlignment="1">
      <alignment horizontal="center"/>
    </xf>
    <xf numFmtId="0" fontId="16" fillId="0" borderId="12" xfId="0" applyFont="1" applyBorder="1"/>
    <xf numFmtId="0" fontId="16" fillId="0" borderId="13" xfId="0" applyFont="1" applyBorder="1"/>
    <xf numFmtId="3" fontId="16" fillId="0" borderId="32" xfId="0" applyNumberFormat="1" applyFont="1" applyBorder="1"/>
    <xf numFmtId="0" fontId="16" fillId="0" borderId="14" xfId="0" applyFont="1" applyBorder="1"/>
    <xf numFmtId="3" fontId="16" fillId="0" borderId="34" xfId="0" applyNumberFormat="1" applyFont="1" applyBorder="1"/>
    <xf numFmtId="3" fontId="16" fillId="0" borderId="8" xfId="0" applyNumberFormat="1" applyFont="1" applyBorder="1"/>
    <xf numFmtId="3" fontId="16" fillId="0" borderId="35" xfId="0" applyNumberFormat="1" applyFont="1" applyBorder="1"/>
    <xf numFmtId="0" fontId="16" fillId="0" borderId="18" xfId="0" applyFont="1" applyBorder="1"/>
    <xf numFmtId="0" fontId="16" fillId="0" borderId="19" xfId="0" applyFont="1" applyBorder="1"/>
    <xf numFmtId="3" fontId="16" fillId="0" borderId="36" xfId="0" applyNumberFormat="1" applyFont="1" applyBorder="1"/>
    <xf numFmtId="3" fontId="16" fillId="0" borderId="20" xfId="0" applyNumberFormat="1" applyFont="1" applyBorder="1"/>
    <xf numFmtId="0" fontId="16" fillId="0" borderId="37" xfId="0" applyFont="1" applyBorder="1"/>
    <xf numFmtId="0" fontId="16" fillId="0" borderId="0" xfId="0" applyFont="1" applyBorder="1"/>
    <xf numFmtId="3" fontId="16" fillId="0" borderId="0" xfId="0" applyNumberFormat="1" applyFont="1" applyBorder="1"/>
    <xf numFmtId="3" fontId="16" fillId="0" borderId="5" xfId="0" applyNumberFormat="1" applyFont="1" applyBorder="1"/>
    <xf numFmtId="0" fontId="16" fillId="0" borderId="17" xfId="0" applyFont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38" xfId="0" applyFont="1" applyBorder="1"/>
    <xf numFmtId="0" fontId="16" fillId="0" borderId="7" xfId="0" applyFont="1" applyBorder="1"/>
    <xf numFmtId="3" fontId="16" fillId="0" borderId="7" xfId="0" applyNumberFormat="1" applyFont="1" applyBorder="1"/>
    <xf numFmtId="3" fontId="16" fillId="0" borderId="39" xfId="0" applyNumberFormat="1" applyFont="1" applyBorder="1"/>
    <xf numFmtId="0" fontId="16" fillId="2" borderId="3" xfId="0" applyFont="1" applyFill="1" applyBorder="1" applyAlignment="1">
      <alignment horizontal="center"/>
    </xf>
    <xf numFmtId="0" fontId="16" fillId="2" borderId="3" xfId="0" quotePrefix="1" applyFont="1" applyFill="1" applyBorder="1" applyAlignment="1">
      <alignment horizontal="center"/>
    </xf>
    <xf numFmtId="3" fontId="16" fillId="0" borderId="0" xfId="0" applyNumberFormat="1" applyFont="1" applyBorder="1" applyAlignment="1"/>
    <xf numFmtId="0" fontId="16" fillId="2" borderId="4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0" xfId="0" quotePrefix="1" applyFont="1" applyBorder="1" applyAlignment="1">
      <alignment horizontal="left"/>
    </xf>
    <xf numFmtId="0" fontId="16" fillId="2" borderId="49" xfId="0" applyFont="1" applyFill="1" applyBorder="1" applyAlignment="1">
      <alignment horizontal="center"/>
    </xf>
    <xf numFmtId="0" fontId="16" fillId="2" borderId="4" xfId="0" applyFont="1" applyFill="1" applyBorder="1"/>
    <xf numFmtId="0" fontId="16" fillId="0" borderId="49" xfId="0" applyFont="1" applyFill="1" applyBorder="1"/>
    <xf numFmtId="0" fontId="16" fillId="0" borderId="6" xfId="0" applyFont="1" applyFill="1" applyBorder="1"/>
    <xf numFmtId="3" fontId="16" fillId="0" borderId="5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/>
    </xf>
    <xf numFmtId="3" fontId="16" fillId="0" borderId="40" xfId="0" applyNumberFormat="1" applyFont="1" applyFill="1" applyBorder="1" applyAlignment="1">
      <alignment horizontal="center"/>
    </xf>
    <xf numFmtId="0" fontId="16" fillId="0" borderId="21" xfId="0" applyFont="1" applyFill="1" applyBorder="1"/>
    <xf numFmtId="0" fontId="16" fillId="0" borderId="0" xfId="0" applyFont="1" applyFill="1" applyBorder="1"/>
    <xf numFmtId="0" fontId="16" fillId="0" borderId="41" xfId="0" applyFont="1" applyFill="1" applyBorder="1"/>
    <xf numFmtId="3" fontId="16" fillId="0" borderId="25" xfId="0" applyNumberFormat="1" applyFont="1" applyFill="1" applyBorder="1" applyAlignment="1">
      <alignment horizontal="center"/>
    </xf>
    <xf numFmtId="3" fontId="16" fillId="0" borderId="41" xfId="0" applyNumberFormat="1" applyFont="1" applyFill="1" applyBorder="1" applyAlignment="1">
      <alignment horizontal="center"/>
    </xf>
    <xf numFmtId="3" fontId="16" fillId="0" borderId="3" xfId="0" applyNumberFormat="1" applyFont="1" applyFill="1" applyBorder="1" applyAlignment="1"/>
    <xf numFmtId="3" fontId="16" fillId="0" borderId="25" xfId="0" applyNumberFormat="1" applyFont="1" applyFill="1" applyBorder="1" applyAlignment="1"/>
    <xf numFmtId="3" fontId="16" fillId="0" borderId="25" xfId="0" applyNumberFormat="1" applyFont="1" applyFill="1" applyBorder="1"/>
    <xf numFmtId="165" fontId="16" fillId="0" borderId="25" xfId="0" applyNumberFormat="1" applyFont="1" applyFill="1" applyBorder="1" applyAlignment="1"/>
    <xf numFmtId="3" fontId="16" fillId="0" borderId="4" xfId="0" applyNumberFormat="1" applyFont="1" applyFill="1" applyBorder="1"/>
    <xf numFmtId="3" fontId="16" fillId="0" borderId="48" xfId="0" applyNumberFormat="1" applyFont="1" applyFill="1" applyBorder="1"/>
    <xf numFmtId="0" fontId="26" fillId="0" borderId="21" xfId="0" applyFont="1" applyFill="1" applyBorder="1"/>
    <xf numFmtId="3" fontId="26" fillId="0" borderId="25" xfId="0" applyNumberFormat="1" applyFont="1" applyFill="1" applyBorder="1" applyAlignment="1"/>
    <xf numFmtId="0" fontId="16" fillId="0" borderId="9" xfId="0" applyFont="1" applyFill="1" applyBorder="1" applyAlignment="1">
      <alignment horizontal="left" indent="1"/>
    </xf>
    <xf numFmtId="0" fontId="16" fillId="0" borderId="10" xfId="0" applyFont="1" applyFill="1" applyBorder="1"/>
    <xf numFmtId="165" fontId="16" fillId="0" borderId="4" xfId="0" applyNumberFormat="1" applyFont="1" applyFill="1" applyBorder="1" applyAlignment="1"/>
    <xf numFmtId="3" fontId="16" fillId="0" borderId="4" xfId="0" applyNumberFormat="1" applyFont="1" applyFill="1" applyBorder="1" applyAlignment="1"/>
    <xf numFmtId="3" fontId="16" fillId="0" borderId="41" xfId="0" applyNumberFormat="1" applyFont="1" applyFill="1" applyBorder="1"/>
    <xf numFmtId="3" fontId="16" fillId="0" borderId="0" xfId="0" applyNumberFormat="1" applyFont="1" applyFill="1" applyBorder="1" applyAlignment="1"/>
    <xf numFmtId="3" fontId="16" fillId="0" borderId="21" xfId="0" applyNumberFormat="1" applyFont="1" applyFill="1" applyBorder="1" applyAlignment="1"/>
    <xf numFmtId="0" fontId="16" fillId="0" borderId="9" xfId="0" applyFont="1" applyFill="1" applyBorder="1"/>
    <xf numFmtId="3" fontId="16" fillId="0" borderId="10" xfId="0" applyNumberFormat="1" applyFont="1" applyFill="1" applyBorder="1" applyAlignment="1"/>
    <xf numFmtId="3" fontId="16" fillId="0" borderId="9" xfId="0" applyNumberFormat="1" applyFont="1" applyFill="1" applyBorder="1" applyAlignment="1"/>
    <xf numFmtId="0" fontId="16" fillId="0" borderId="21" xfId="0" applyFont="1" applyFill="1" applyBorder="1" applyAlignment="1">
      <alignment horizontal="left" indent="1"/>
    </xf>
    <xf numFmtId="3" fontId="16" fillId="0" borderId="0" xfId="0" applyNumberFormat="1" applyFont="1" applyFill="1" applyBorder="1"/>
    <xf numFmtId="3" fontId="16" fillId="0" borderId="6" xfId="0" applyNumberFormat="1" applyFont="1" applyFill="1" applyBorder="1"/>
    <xf numFmtId="3" fontId="16" fillId="0" borderId="40" xfId="0" applyNumberFormat="1" applyFont="1" applyFill="1" applyBorder="1"/>
    <xf numFmtId="0" fontId="16" fillId="0" borderId="25" xfId="0" applyFont="1" applyFill="1" applyBorder="1"/>
    <xf numFmtId="3" fontId="16" fillId="0" borderId="10" xfId="0" applyNumberFormat="1" applyFont="1" applyFill="1" applyBorder="1"/>
    <xf numFmtId="3" fontId="16" fillId="0" borderId="3" xfId="0" applyNumberFormat="1" applyFont="1" applyFill="1" applyBorder="1"/>
    <xf numFmtId="0" fontId="16" fillId="0" borderId="1" xfId="0" applyFont="1" applyFill="1" applyBorder="1"/>
    <xf numFmtId="0" fontId="16" fillId="0" borderId="5" xfId="0" applyFont="1" applyFill="1" applyBorder="1"/>
    <xf numFmtId="0" fontId="16" fillId="0" borderId="11" xfId="0" applyFont="1" applyFill="1" applyBorder="1"/>
    <xf numFmtId="3" fontId="16" fillId="0" borderId="2" xfId="0" applyNumberFormat="1" applyFont="1" applyFill="1" applyBorder="1"/>
    <xf numFmtId="3" fontId="16" fillId="0" borderId="5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27" fillId="0" borderId="0" xfId="0" applyFont="1"/>
    <xf numFmtId="0" fontId="4" fillId="0" borderId="1" xfId="4" applyBorder="1"/>
    <xf numFmtId="0" fontId="4" fillId="0" borderId="5" xfId="4" applyFont="1" applyBorder="1" applyAlignment="1">
      <alignment horizontal="center"/>
    </xf>
    <xf numFmtId="0" fontId="4" fillId="0" borderId="5" xfId="4" applyBorder="1" applyAlignment="1">
      <alignment horizontal="center"/>
    </xf>
    <xf numFmtId="0" fontId="4" fillId="0" borderId="11" xfId="4" applyBorder="1"/>
    <xf numFmtId="0" fontId="4" fillId="0" borderId="1" xfId="4" applyBorder="1" applyAlignment="1">
      <alignment horizontal="center"/>
    </xf>
    <xf numFmtId="0" fontId="4" fillId="0" borderId="2" xfId="4" quotePrefix="1" applyBorder="1" applyAlignment="1">
      <alignment horizontal="left"/>
    </xf>
    <xf numFmtId="3" fontId="4" fillId="0" borderId="4" xfId="4" applyNumberFormat="1" applyBorder="1"/>
    <xf numFmtId="3" fontId="4" fillId="0" borderId="11" xfId="4" applyNumberFormat="1" applyBorder="1"/>
    <xf numFmtId="0" fontId="28" fillId="0" borderId="0" xfId="4" applyFont="1"/>
    <xf numFmtId="0" fontId="2" fillId="0" borderId="21" xfId="4" quotePrefix="1" applyFont="1" applyBorder="1" applyAlignment="1">
      <alignment horizontal="left"/>
    </xf>
    <xf numFmtId="0" fontId="20" fillId="0" borderId="0" xfId="4" applyFont="1"/>
    <xf numFmtId="0" fontId="2" fillId="0" borderId="9" xfId="4" applyFont="1" applyBorder="1"/>
    <xf numFmtId="0" fontId="29" fillId="0" borderId="0" xfId="0" applyFont="1"/>
    <xf numFmtId="3" fontId="16" fillId="0" borderId="52" xfId="0" applyNumberFormat="1" applyFont="1" applyBorder="1"/>
    <xf numFmtId="3" fontId="16" fillId="0" borderId="53" xfId="0" applyNumberFormat="1" applyFont="1" applyBorder="1"/>
    <xf numFmtId="3" fontId="16" fillId="0" borderId="51" xfId="0" applyNumberFormat="1" applyFont="1" applyBorder="1"/>
    <xf numFmtId="3" fontId="16" fillId="0" borderId="33" xfId="0" applyNumberFormat="1" applyFont="1" applyBorder="1"/>
    <xf numFmtId="3" fontId="16" fillId="0" borderId="54" xfId="0" applyNumberFormat="1" applyFont="1" applyBorder="1"/>
    <xf numFmtId="3" fontId="16" fillId="0" borderId="55" xfId="0" applyNumberFormat="1" applyFont="1" applyBorder="1"/>
    <xf numFmtId="0" fontId="16" fillId="0" borderId="10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4" fillId="0" borderId="0" xfId="4" applyAlignment="1">
      <alignment horizontal="center"/>
    </xf>
    <xf numFmtId="0" fontId="4" fillId="0" borderId="6" xfId="4" applyFont="1" applyBorder="1" applyAlignment="1">
      <alignment horizontal="center"/>
    </xf>
    <xf numFmtId="0" fontId="4" fillId="0" borderId="6" xfId="4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4" applyFont="1" applyBorder="1" applyAlignment="1">
      <alignment horizontal="left"/>
    </xf>
    <xf numFmtId="0" fontId="1" fillId="0" borderId="10" xfId="4" applyFont="1" applyBorder="1"/>
    <xf numFmtId="0" fontId="1" fillId="0" borderId="9" xfId="4" applyFont="1" applyBorder="1"/>
  </cellXfs>
  <cellStyles count="5">
    <cellStyle name="Komma" xfId="1" builtinId="3"/>
    <cellStyle name="Normal" xfId="0" builtinId="0"/>
    <cellStyle name="Normal 2" xfId="4" xr:uid="{00000000-0005-0000-0000-000002000000}"/>
    <cellStyle name="Normal 4" xfId="3" xr:uid="{00000000-0005-0000-0000-000003000000}"/>
    <cellStyle name="Pros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69</xdr:row>
      <xdr:rowOff>95250</xdr:rowOff>
    </xdr:from>
    <xdr:to>
      <xdr:col>6</xdr:col>
      <xdr:colOff>685800</xdr:colOff>
      <xdr:row>69</xdr:row>
      <xdr:rowOff>95250</xdr:rowOff>
    </xdr:to>
    <xdr:sp macro="" textlink="">
      <xdr:nvSpPr>
        <xdr:cNvPr id="8210" name="Line 2">
          <a:extLst>
            <a:ext uri="{FF2B5EF4-FFF2-40B4-BE49-F238E27FC236}">
              <a16:creationId xmlns:a16="http://schemas.microsoft.com/office/drawing/2014/main" id="{00000000-0008-0000-0500-000012200000}"/>
            </a:ext>
          </a:extLst>
        </xdr:cNvPr>
        <xdr:cNvSpPr>
          <a:spLocks noChangeShapeType="1"/>
        </xdr:cNvSpPr>
      </xdr:nvSpPr>
      <xdr:spPr bwMode="auto">
        <a:xfrm flipH="1">
          <a:off x="6991350" y="165830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63</xdr:row>
      <xdr:rowOff>114300</xdr:rowOff>
    </xdr:from>
    <xdr:to>
      <xdr:col>6</xdr:col>
      <xdr:colOff>657225</xdr:colOff>
      <xdr:row>63</xdr:row>
      <xdr:rowOff>114300</xdr:rowOff>
    </xdr:to>
    <xdr:sp macro="" textlink="">
      <xdr:nvSpPr>
        <xdr:cNvPr id="8211" name="Line 3">
          <a:extLst>
            <a:ext uri="{FF2B5EF4-FFF2-40B4-BE49-F238E27FC236}">
              <a16:creationId xmlns:a16="http://schemas.microsoft.com/office/drawing/2014/main" id="{00000000-0008-0000-0500-000013200000}"/>
            </a:ext>
          </a:extLst>
        </xdr:cNvPr>
        <xdr:cNvSpPr>
          <a:spLocks noChangeShapeType="1"/>
        </xdr:cNvSpPr>
      </xdr:nvSpPr>
      <xdr:spPr bwMode="auto">
        <a:xfrm flipH="1">
          <a:off x="7038975" y="154019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21"/>
  <sheetViews>
    <sheetView workbookViewId="0"/>
  </sheetViews>
  <sheetFormatPr baseColWidth="10" defaultColWidth="9.109375" defaultRowHeight="14.4" x14ac:dyDescent="0.3"/>
  <cols>
    <col min="1" max="16384" width="9.109375" style="97"/>
  </cols>
  <sheetData>
    <row r="1" spans="1:9" x14ac:dyDescent="0.3">
      <c r="A1" s="235" t="s">
        <v>52</v>
      </c>
      <c r="D1" s="233">
        <v>27062011</v>
      </c>
    </row>
    <row r="3" spans="1:9" x14ac:dyDescent="0.3">
      <c r="D3" s="97" t="s">
        <v>42</v>
      </c>
      <c r="F3" s="97" t="s">
        <v>41</v>
      </c>
    </row>
    <row r="4" spans="1:9" x14ac:dyDescent="0.3">
      <c r="A4" s="97" t="s">
        <v>48</v>
      </c>
      <c r="D4" s="97">
        <v>80</v>
      </c>
      <c r="F4" s="97">
        <v>40</v>
      </c>
    </row>
    <row r="5" spans="1:9" x14ac:dyDescent="0.3">
      <c r="A5" s="97" t="s">
        <v>47</v>
      </c>
      <c r="D5" s="97">
        <v>60</v>
      </c>
      <c r="F5" s="97">
        <v>25</v>
      </c>
    </row>
    <row r="6" spans="1:9" x14ac:dyDescent="0.3">
      <c r="A6" s="115" t="s">
        <v>235</v>
      </c>
      <c r="B6" s="115"/>
      <c r="C6" s="115"/>
      <c r="D6" s="115">
        <f>D4-D5</f>
        <v>20</v>
      </c>
      <c r="E6" s="115"/>
      <c r="F6" s="115">
        <f>F4-F5</f>
        <v>15</v>
      </c>
    </row>
    <row r="9" spans="1:9" x14ac:dyDescent="0.3">
      <c r="C9" s="251" t="s">
        <v>42</v>
      </c>
      <c r="D9" s="251"/>
      <c r="G9" s="251" t="s">
        <v>41</v>
      </c>
      <c r="H9" s="251"/>
    </row>
    <row r="10" spans="1:9" x14ac:dyDescent="0.3">
      <c r="C10" s="97" t="s">
        <v>46</v>
      </c>
      <c r="D10" s="97" t="s">
        <v>193</v>
      </c>
      <c r="G10" s="97" t="s">
        <v>46</v>
      </c>
      <c r="H10" s="97" t="s">
        <v>193</v>
      </c>
    </row>
    <row r="11" spans="1:9" x14ac:dyDescent="0.3">
      <c r="A11" s="97" t="s">
        <v>45</v>
      </c>
      <c r="C11" s="104">
        <v>2000</v>
      </c>
      <c r="D11" s="104">
        <v>1800</v>
      </c>
      <c r="E11" s="104"/>
      <c r="F11" s="104"/>
      <c r="G11" s="104">
        <v>1000</v>
      </c>
      <c r="H11" s="104">
        <v>1200</v>
      </c>
    </row>
    <row r="12" spans="1:9" x14ac:dyDescent="0.3">
      <c r="A12" s="97" t="s">
        <v>44</v>
      </c>
      <c r="C12" s="104">
        <f>D4</f>
        <v>80</v>
      </c>
      <c r="D12" s="104">
        <v>75</v>
      </c>
      <c r="E12" s="104"/>
      <c r="F12" s="104"/>
      <c r="G12" s="104">
        <f>F4</f>
        <v>40</v>
      </c>
      <c r="H12" s="104">
        <v>42</v>
      </c>
    </row>
    <row r="15" spans="1:9" x14ac:dyDescent="0.3">
      <c r="A15" s="114" t="s">
        <v>43</v>
      </c>
    </row>
    <row r="16" spans="1:9" x14ac:dyDescent="0.3">
      <c r="A16" s="113"/>
      <c r="B16" s="112"/>
      <c r="C16" s="252" t="s">
        <v>27</v>
      </c>
      <c r="D16" s="253"/>
      <c r="E16" s="109"/>
      <c r="F16" s="111" t="s">
        <v>41</v>
      </c>
      <c r="G16" s="110"/>
      <c r="H16" s="109"/>
      <c r="I16" s="108" t="s">
        <v>40</v>
      </c>
    </row>
    <row r="17" spans="1:9" x14ac:dyDescent="0.3">
      <c r="A17" s="234" t="s">
        <v>287</v>
      </c>
      <c r="B17" s="107"/>
      <c r="C17" s="119" t="s">
        <v>28</v>
      </c>
      <c r="D17" s="107"/>
      <c r="E17" s="105">
        <f>(D11-C11)*D6</f>
        <v>-4000</v>
      </c>
      <c r="F17" s="120" t="s">
        <v>31</v>
      </c>
      <c r="H17" s="105">
        <f>(H11-G11)*F6</f>
        <v>3000</v>
      </c>
      <c r="I17" s="104">
        <f>E17+H17</f>
        <v>-1000</v>
      </c>
    </row>
    <row r="18" spans="1:9" x14ac:dyDescent="0.3">
      <c r="A18" s="103" t="s">
        <v>39</v>
      </c>
      <c r="B18" s="102"/>
      <c r="C18" s="118" t="s">
        <v>29</v>
      </c>
      <c r="D18" s="102"/>
      <c r="E18" s="101">
        <f>(D12-C12)*D11</f>
        <v>-9000</v>
      </c>
      <c r="F18" s="121" t="s">
        <v>32</v>
      </c>
      <c r="G18" s="102"/>
      <c r="H18" s="101">
        <f>(H12-G12)*H11</f>
        <v>2400</v>
      </c>
      <c r="I18" s="100">
        <f>E18+H18</f>
        <v>-6600</v>
      </c>
    </row>
    <row r="19" spans="1:9" x14ac:dyDescent="0.3">
      <c r="A19" s="99" t="s">
        <v>243</v>
      </c>
      <c r="B19" s="99"/>
      <c r="C19" s="99"/>
      <c r="D19" s="99"/>
      <c r="E19" s="99"/>
      <c r="F19" s="99"/>
      <c r="G19" s="99"/>
      <c r="H19" s="99"/>
      <c r="I19" s="98">
        <f>I17+I18</f>
        <v>-7600</v>
      </c>
    </row>
    <row r="21" spans="1:9" x14ac:dyDescent="0.3">
      <c r="A21" s="124" t="s">
        <v>257</v>
      </c>
    </row>
  </sheetData>
  <mergeCells count="3">
    <mergeCell ref="C9:D9"/>
    <mergeCell ref="G9:H9"/>
    <mergeCell ref="C16:D16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/>
  <dimension ref="A2"/>
  <sheetViews>
    <sheetView workbookViewId="0">
      <selection activeCell="A2" sqref="A2"/>
    </sheetView>
  </sheetViews>
  <sheetFormatPr baseColWidth="10" defaultRowHeight="13.2" x14ac:dyDescent="0.25"/>
  <sheetData>
    <row r="2" spans="1:1" x14ac:dyDescent="0.25">
      <c r="A2" s="237" t="s">
        <v>298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&amp;A&amp;RSide &amp;P</oddHeader>
    <oddFooter>&amp;CLøsninger kapittel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I23"/>
  <sheetViews>
    <sheetView tabSelected="1" workbookViewId="0">
      <selection activeCell="G61" sqref="G61"/>
    </sheetView>
  </sheetViews>
  <sheetFormatPr baseColWidth="10" defaultColWidth="9.109375" defaultRowHeight="14.4" x14ac:dyDescent="0.3"/>
  <cols>
    <col min="1" max="16384" width="9.109375" style="97"/>
  </cols>
  <sheetData>
    <row r="1" spans="1:8" x14ac:dyDescent="0.3">
      <c r="A1" s="235" t="s">
        <v>51</v>
      </c>
    </row>
    <row r="3" spans="1:8" x14ac:dyDescent="0.3">
      <c r="D3" s="106" t="s">
        <v>50</v>
      </c>
      <c r="F3" s="97" t="s">
        <v>49</v>
      </c>
    </row>
    <row r="4" spans="1:8" x14ac:dyDescent="0.3">
      <c r="A4" s="97" t="s">
        <v>48</v>
      </c>
      <c r="D4" s="97">
        <v>400</v>
      </c>
      <c r="F4" s="97">
        <v>600</v>
      </c>
    </row>
    <row r="5" spans="1:8" x14ac:dyDescent="0.3">
      <c r="A5" s="97" t="s">
        <v>47</v>
      </c>
      <c r="D5" s="97">
        <v>200</v>
      </c>
      <c r="F5" s="97">
        <v>300</v>
      </c>
    </row>
    <row r="6" spans="1:8" x14ac:dyDescent="0.3">
      <c r="A6" s="115" t="s">
        <v>235</v>
      </c>
      <c r="B6" s="115"/>
      <c r="C6" s="115"/>
      <c r="D6" s="115">
        <f>D4-D5</f>
        <v>200</v>
      </c>
      <c r="E6" s="99"/>
      <c r="F6" s="115">
        <f>F4-F5</f>
        <v>300</v>
      </c>
    </row>
    <row r="9" spans="1:8" x14ac:dyDescent="0.3">
      <c r="C9" s="251" t="str">
        <f>D3</f>
        <v>Veteran 1</v>
      </c>
      <c r="D9" s="251"/>
      <c r="G9" s="251" t="str">
        <f>F3</f>
        <v>Veteran 2</v>
      </c>
      <c r="H9" s="251"/>
    </row>
    <row r="10" spans="1:8" x14ac:dyDescent="0.3">
      <c r="C10" s="97" t="s">
        <v>46</v>
      </c>
      <c r="D10" s="97" t="s">
        <v>193</v>
      </c>
      <c r="G10" s="97" t="s">
        <v>46</v>
      </c>
      <c r="H10" s="97" t="s">
        <v>193</v>
      </c>
    </row>
    <row r="11" spans="1:8" x14ac:dyDescent="0.3">
      <c r="A11" s="97" t="s">
        <v>45</v>
      </c>
      <c r="C11" s="104">
        <v>2500</v>
      </c>
      <c r="D11" s="104">
        <v>3000</v>
      </c>
      <c r="E11" s="104"/>
      <c r="F11" s="104"/>
      <c r="G11" s="104">
        <v>4000</v>
      </c>
      <c r="H11" s="104">
        <v>3500</v>
      </c>
    </row>
    <row r="12" spans="1:8" x14ac:dyDescent="0.3">
      <c r="A12" s="97" t="s">
        <v>44</v>
      </c>
      <c r="C12" s="104">
        <f>D4</f>
        <v>400</v>
      </c>
      <c r="D12" s="104">
        <f>1350000/D11</f>
        <v>450</v>
      </c>
      <c r="E12" s="104"/>
      <c r="F12" s="104"/>
      <c r="G12" s="104">
        <f>F4</f>
        <v>600</v>
      </c>
      <c r="H12" s="104">
        <f>2065000/3500</f>
        <v>590</v>
      </c>
    </row>
    <row r="13" spans="1:8" x14ac:dyDescent="0.3">
      <c r="A13" s="97" t="s">
        <v>44</v>
      </c>
    </row>
    <row r="15" spans="1:8" x14ac:dyDescent="0.3">
      <c r="A15" s="122" t="s">
        <v>30</v>
      </c>
    </row>
    <row r="17" spans="1:9" x14ac:dyDescent="0.3">
      <c r="A17" s="114" t="s">
        <v>43</v>
      </c>
    </row>
    <row r="18" spans="1:9" x14ac:dyDescent="0.3">
      <c r="A18" s="225"/>
      <c r="B18" s="99"/>
      <c r="C18" s="226" t="str">
        <f>C9</f>
        <v>Veteran 1</v>
      </c>
      <c r="D18" s="227"/>
      <c r="E18" s="228"/>
      <c r="F18" s="229" t="str">
        <f>G9</f>
        <v>Veteran 2</v>
      </c>
      <c r="G18" s="227"/>
      <c r="H18" s="228"/>
      <c r="I18" s="230" t="s">
        <v>40</v>
      </c>
    </row>
    <row r="19" spans="1:9" x14ac:dyDescent="0.3">
      <c r="A19" s="234" t="s">
        <v>287</v>
      </c>
      <c r="B19" s="107"/>
      <c r="C19" s="264" t="s">
        <v>299</v>
      </c>
      <c r="D19" s="107"/>
      <c r="E19" s="105">
        <f>(D11-C11)*D6</f>
        <v>100000</v>
      </c>
      <c r="F19" s="264" t="s">
        <v>301</v>
      </c>
      <c r="G19" s="107"/>
      <c r="H19" s="105">
        <f>(H11-G11)*F6</f>
        <v>-150000</v>
      </c>
      <c r="I19" s="105">
        <f>E19+H19</f>
        <v>-50000</v>
      </c>
    </row>
    <row r="20" spans="1:9" x14ac:dyDescent="0.3">
      <c r="A20" s="236" t="s">
        <v>39</v>
      </c>
      <c r="B20" s="102"/>
      <c r="C20" s="265" t="s">
        <v>300</v>
      </c>
      <c r="D20" s="102"/>
      <c r="E20" s="101">
        <f>(D12-C12)*D11</f>
        <v>150000</v>
      </c>
      <c r="F20" s="266" t="s">
        <v>302</v>
      </c>
      <c r="G20" s="102"/>
      <c r="H20" s="101">
        <f>(H12-G12)*H11</f>
        <v>-35000</v>
      </c>
      <c r="I20" s="231">
        <f>E20+H20</f>
        <v>115000</v>
      </c>
    </row>
    <row r="21" spans="1:9" x14ac:dyDescent="0.3">
      <c r="A21" s="225" t="s">
        <v>243</v>
      </c>
      <c r="B21" s="99"/>
      <c r="C21" s="99"/>
      <c r="D21" s="99"/>
      <c r="E21" s="99"/>
      <c r="F21" s="99"/>
      <c r="G21" s="99"/>
      <c r="H21" s="99"/>
      <c r="I21" s="232">
        <f>I19+I20</f>
        <v>65000</v>
      </c>
    </row>
    <row r="23" spans="1:9" x14ac:dyDescent="0.3">
      <c r="A23" s="124" t="s">
        <v>258</v>
      </c>
    </row>
  </sheetData>
  <mergeCells count="2">
    <mergeCell ref="C9:D9"/>
    <mergeCell ref="G9:H9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2"/>
  <sheetViews>
    <sheetView workbookViewId="0">
      <selection activeCell="C6" sqref="C6"/>
    </sheetView>
  </sheetViews>
  <sheetFormatPr baseColWidth="10" defaultRowHeight="13.2" x14ac:dyDescent="0.25"/>
  <sheetData>
    <row r="2" spans="1:1" x14ac:dyDescent="0.25">
      <c r="A2" s="237" t="s">
        <v>288</v>
      </c>
    </row>
  </sheetData>
  <phoneticPr fontId="22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2"/>
  <sheetViews>
    <sheetView workbookViewId="0">
      <selection activeCell="D12" sqref="D12"/>
    </sheetView>
  </sheetViews>
  <sheetFormatPr baseColWidth="10" defaultRowHeight="13.2" x14ac:dyDescent="0.25"/>
  <sheetData>
    <row r="2" spans="1:1" x14ac:dyDescent="0.25">
      <c r="A2" s="237" t="s">
        <v>289</v>
      </c>
    </row>
  </sheetData>
  <phoneticPr fontId="22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2"/>
  <sheetViews>
    <sheetView workbookViewId="0">
      <selection activeCell="D12" sqref="D12"/>
    </sheetView>
  </sheetViews>
  <sheetFormatPr baseColWidth="10" defaultRowHeight="13.2" x14ac:dyDescent="0.25"/>
  <sheetData>
    <row r="2" spans="1:1" x14ac:dyDescent="0.25">
      <c r="A2" s="237" t="s">
        <v>290</v>
      </c>
    </row>
  </sheetData>
  <phoneticPr fontId="22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pageSetUpPr fitToPage="1"/>
  </sheetPr>
  <dimension ref="A1:I131"/>
  <sheetViews>
    <sheetView workbookViewId="0">
      <selection activeCell="A130" sqref="A130"/>
    </sheetView>
  </sheetViews>
  <sheetFormatPr baseColWidth="10" defaultColWidth="11.44140625" defaultRowHeight="15.6" x14ac:dyDescent="0.3"/>
  <cols>
    <col min="1" max="1" width="5.44140625" style="1" customWidth="1"/>
    <col min="2" max="2" width="21.6640625" style="1" customWidth="1"/>
    <col min="3" max="3" width="16.6640625" style="1" customWidth="1"/>
    <col min="4" max="4" width="13.109375" style="1" customWidth="1"/>
    <col min="5" max="5" width="12.6640625" style="1" bestFit="1" customWidth="1"/>
    <col min="6" max="6" width="14.109375" style="1" bestFit="1" customWidth="1"/>
    <col min="7" max="7" width="12" style="1" customWidth="1"/>
    <col min="8" max="8" width="10.33203125" style="1" customWidth="1"/>
    <col min="9" max="9" width="20.109375" style="1" customWidth="1"/>
    <col min="10" max="10" width="23.109375" style="1" customWidth="1"/>
    <col min="11" max="11" width="19.88671875" style="1" customWidth="1"/>
    <col min="12" max="12" width="22.109375" style="1" customWidth="1"/>
    <col min="13" max="13" width="25.33203125" style="1" customWidth="1"/>
    <col min="14" max="16384" width="11.44140625" style="1"/>
  </cols>
  <sheetData>
    <row r="1" spans="1:9" x14ac:dyDescent="0.3">
      <c r="A1" s="1" t="s">
        <v>216</v>
      </c>
      <c r="B1" s="1" t="s">
        <v>33</v>
      </c>
      <c r="C1" s="2"/>
      <c r="D1" s="2"/>
      <c r="E1" s="2"/>
      <c r="F1" s="2"/>
      <c r="G1" s="2"/>
      <c r="H1" s="2"/>
    </row>
    <row r="2" spans="1:9" x14ac:dyDescent="0.3">
      <c r="B2" s="1" t="s">
        <v>34</v>
      </c>
      <c r="C2" s="2"/>
      <c r="D2" s="2"/>
      <c r="E2" s="2"/>
      <c r="F2" s="2"/>
      <c r="G2" s="2"/>
      <c r="H2" s="2"/>
    </row>
    <row r="4" spans="1:9" x14ac:dyDescent="0.3">
      <c r="A4" s="1" t="s">
        <v>218</v>
      </c>
      <c r="B4" s="1" t="s">
        <v>250</v>
      </c>
      <c r="D4" s="2">
        <v>1800</v>
      </c>
    </row>
    <row r="5" spans="1:9" x14ac:dyDescent="0.3">
      <c r="B5" s="1" t="s">
        <v>251</v>
      </c>
      <c r="D5" s="2">
        <v>1250</v>
      </c>
    </row>
    <row r="6" spans="1:9" ht="16.2" thickBot="1" x14ac:dyDescent="0.35">
      <c r="B6" s="1" t="s">
        <v>227</v>
      </c>
      <c r="D6" s="24">
        <f>D4-D5</f>
        <v>550</v>
      </c>
      <c r="E6" s="1" t="s">
        <v>252</v>
      </c>
    </row>
    <row r="7" spans="1:9" ht="16.2" thickTop="1" x14ac:dyDescent="0.3"/>
    <row r="8" spans="1:9" x14ac:dyDescent="0.3">
      <c r="A8" s="1" t="s">
        <v>222</v>
      </c>
      <c r="B8" s="8" t="s">
        <v>231</v>
      </c>
      <c r="C8" s="2"/>
      <c r="D8" s="2"/>
      <c r="E8" s="2"/>
      <c r="F8" s="2"/>
      <c r="G8" s="2"/>
      <c r="H8" s="2"/>
      <c r="I8" s="2"/>
    </row>
    <row r="9" spans="1:9" x14ac:dyDescent="0.3">
      <c r="B9" s="70"/>
      <c r="C9" s="70"/>
      <c r="D9" s="70"/>
      <c r="E9" s="70"/>
      <c r="F9" s="70"/>
      <c r="G9" s="70"/>
      <c r="H9" s="2"/>
      <c r="I9" s="2"/>
    </row>
    <row r="10" spans="1:9" x14ac:dyDescent="0.3">
      <c r="B10" s="8" t="s">
        <v>80</v>
      </c>
      <c r="G10" s="12"/>
      <c r="H10" s="2"/>
    </row>
    <row r="11" spans="1:9" x14ac:dyDescent="0.3">
      <c r="B11" s="76" t="s">
        <v>81</v>
      </c>
      <c r="C11" s="76" t="s">
        <v>279</v>
      </c>
      <c r="D11" s="76" t="s">
        <v>82</v>
      </c>
      <c r="E11" s="77" t="s">
        <v>232</v>
      </c>
      <c r="F11" s="77" t="s">
        <v>219</v>
      </c>
      <c r="G11" s="12"/>
      <c r="H11" s="2"/>
    </row>
    <row r="12" spans="1:9" x14ac:dyDescent="0.3">
      <c r="B12" s="78" t="s">
        <v>259</v>
      </c>
      <c r="C12" s="78" t="s">
        <v>260</v>
      </c>
      <c r="D12" s="78" t="s">
        <v>261</v>
      </c>
      <c r="E12" s="78" t="s">
        <v>262</v>
      </c>
      <c r="F12" s="78" t="s">
        <v>263</v>
      </c>
      <c r="G12" s="12"/>
      <c r="H12" s="2"/>
    </row>
    <row r="13" spans="1:9" x14ac:dyDescent="0.3">
      <c r="B13" s="71" t="s">
        <v>84</v>
      </c>
      <c r="C13" s="71" t="s">
        <v>85</v>
      </c>
      <c r="D13" s="71" t="s">
        <v>86</v>
      </c>
      <c r="E13" s="71"/>
      <c r="F13" s="71"/>
      <c r="G13" s="70"/>
    </row>
    <row r="14" spans="1:9" x14ac:dyDescent="0.3">
      <c r="B14" s="75">
        <f>150*D19</f>
        <v>690000</v>
      </c>
      <c r="C14" s="75">
        <f>150*4660</f>
        <v>699000</v>
      </c>
      <c r="D14" s="75">
        <v>696670</v>
      </c>
      <c r="E14" s="75">
        <f>B14-C14</f>
        <v>-9000</v>
      </c>
      <c r="F14" s="75">
        <f>C14-D14</f>
        <v>2330</v>
      </c>
      <c r="G14" s="12"/>
    </row>
    <row r="15" spans="1:9" x14ac:dyDescent="0.3">
      <c r="B15" s="72"/>
      <c r="C15" s="72"/>
      <c r="D15" s="72"/>
      <c r="E15" s="72"/>
      <c r="F15" s="72"/>
      <c r="G15" s="12"/>
    </row>
    <row r="16" spans="1:9" x14ac:dyDescent="0.3">
      <c r="B16" s="8" t="s">
        <v>253</v>
      </c>
      <c r="C16" s="2"/>
      <c r="D16" s="2"/>
      <c r="E16" s="2"/>
      <c r="F16" s="2"/>
      <c r="G16" s="2"/>
      <c r="H16" s="2"/>
    </row>
    <row r="17" spans="2:9" x14ac:dyDescent="0.3">
      <c r="B17" s="1" t="s">
        <v>254</v>
      </c>
      <c r="C17" s="2"/>
      <c r="D17" s="2">
        <f>1050*4</f>
        <v>4200</v>
      </c>
      <c r="E17" s="2"/>
      <c r="H17" s="2"/>
    </row>
    <row r="18" spans="2:9" x14ac:dyDescent="0.3">
      <c r="B18" s="1" t="s">
        <v>255</v>
      </c>
      <c r="C18" s="2"/>
      <c r="D18" s="2">
        <v>400</v>
      </c>
      <c r="E18" s="2"/>
      <c r="H18" s="2"/>
    </row>
    <row r="19" spans="2:9" x14ac:dyDescent="0.3">
      <c r="C19" s="2"/>
      <c r="D19" s="14">
        <f>SUM(D17:D18)</f>
        <v>4600</v>
      </c>
      <c r="E19" s="2" t="s">
        <v>237</v>
      </c>
      <c r="H19" s="2"/>
    </row>
    <row r="20" spans="2:9" x14ac:dyDescent="0.3">
      <c r="C20" s="2"/>
      <c r="D20" s="2"/>
      <c r="E20" s="2"/>
      <c r="F20" s="2"/>
      <c r="G20" s="2"/>
      <c r="H20" s="2"/>
    </row>
    <row r="21" spans="2:9" x14ac:dyDescent="0.3">
      <c r="B21" s="8" t="s">
        <v>256</v>
      </c>
      <c r="C21" s="2"/>
      <c r="D21" s="2"/>
      <c r="E21" s="2"/>
      <c r="F21" s="2"/>
      <c r="G21" s="2"/>
      <c r="H21" s="2"/>
    </row>
    <row r="22" spans="2:9" x14ac:dyDescent="0.3">
      <c r="C22" s="2"/>
      <c r="D22" s="2"/>
      <c r="E22" s="2"/>
      <c r="F22" s="2"/>
      <c r="G22" s="2"/>
      <c r="H22" s="2"/>
      <c r="I22" s="2"/>
    </row>
    <row r="23" spans="2:9" ht="18" x14ac:dyDescent="0.4">
      <c r="B23" s="1" t="s">
        <v>171</v>
      </c>
      <c r="C23" s="2">
        <f>542800/236</f>
        <v>2300</v>
      </c>
      <c r="D23" s="2" t="s">
        <v>230</v>
      </c>
      <c r="F23" s="2"/>
      <c r="G23" s="2"/>
      <c r="H23" s="2"/>
      <c r="I23" s="2"/>
    </row>
    <row r="24" spans="2:9" x14ac:dyDescent="0.3">
      <c r="G24" s="12"/>
      <c r="H24" s="2"/>
      <c r="I24" s="2"/>
    </row>
    <row r="25" spans="2:9" x14ac:dyDescent="0.3">
      <c r="B25" s="73" t="s">
        <v>87</v>
      </c>
      <c r="C25" s="74"/>
      <c r="D25" s="74"/>
      <c r="E25" s="74"/>
      <c r="F25" s="74"/>
      <c r="G25" s="12"/>
      <c r="H25" s="2"/>
      <c r="I25" s="2"/>
    </row>
    <row r="26" spans="2:9" x14ac:dyDescent="0.3">
      <c r="B26" s="76" t="s">
        <v>81</v>
      </c>
      <c r="C26" s="76" t="s">
        <v>279</v>
      </c>
      <c r="D26" s="80" t="s">
        <v>82</v>
      </c>
      <c r="E26" s="80" t="s">
        <v>221</v>
      </c>
      <c r="F26" s="79" t="s">
        <v>220</v>
      </c>
      <c r="G26" s="12"/>
      <c r="H26" s="2"/>
      <c r="I26" s="2"/>
    </row>
    <row r="27" spans="2:9" x14ac:dyDescent="0.3">
      <c r="B27" s="78" t="s">
        <v>259</v>
      </c>
      <c r="C27" s="78" t="s">
        <v>264</v>
      </c>
      <c r="D27" s="78" t="s">
        <v>261</v>
      </c>
      <c r="E27" s="78" t="s">
        <v>262</v>
      </c>
      <c r="F27" s="78" t="s">
        <v>263</v>
      </c>
      <c r="G27" s="70"/>
      <c r="H27" s="2"/>
      <c r="I27" s="2"/>
    </row>
    <row r="28" spans="2:9" x14ac:dyDescent="0.3">
      <c r="B28" s="71" t="s">
        <v>88</v>
      </c>
      <c r="C28" s="71" t="s">
        <v>89</v>
      </c>
      <c r="D28" s="71" t="s">
        <v>90</v>
      </c>
      <c r="E28" s="71"/>
      <c r="F28" s="71"/>
      <c r="G28" s="12"/>
      <c r="H28" s="2"/>
      <c r="I28" s="2"/>
    </row>
    <row r="29" spans="2:9" x14ac:dyDescent="0.3">
      <c r="B29" s="75">
        <f>240*D34</f>
        <v>528000</v>
      </c>
      <c r="C29" s="75">
        <f>240*C23</f>
        <v>552000</v>
      </c>
      <c r="D29" s="75">
        <v>542800</v>
      </c>
      <c r="E29" s="75">
        <f>B29-C29</f>
        <v>-24000</v>
      </c>
      <c r="F29" s="75">
        <f>C29-D29</f>
        <v>9200</v>
      </c>
      <c r="G29" s="12"/>
      <c r="H29" s="2"/>
      <c r="I29" s="2"/>
    </row>
    <row r="30" spans="2:9" x14ac:dyDescent="0.3">
      <c r="B30" s="127"/>
      <c r="C30" s="127"/>
      <c r="D30" s="127"/>
      <c r="E30" s="127"/>
      <c r="F30" s="127"/>
      <c r="G30" s="12"/>
      <c r="H30" s="2"/>
      <c r="I30" s="2"/>
    </row>
    <row r="31" spans="2:9" x14ac:dyDescent="0.3">
      <c r="B31" s="8" t="s">
        <v>149</v>
      </c>
      <c r="C31" s="2"/>
      <c r="E31" s="2"/>
      <c r="F31" s="2"/>
      <c r="G31" s="2"/>
      <c r="H31" s="2"/>
      <c r="I31" s="2"/>
    </row>
    <row r="32" spans="2:9" x14ac:dyDescent="0.3">
      <c r="B32" s="1" t="s">
        <v>150</v>
      </c>
      <c r="C32" s="2"/>
      <c r="D32" s="2">
        <f>1050*2</f>
        <v>2100</v>
      </c>
      <c r="E32" s="2"/>
      <c r="H32" s="2"/>
      <c r="I32" s="2"/>
    </row>
    <row r="33" spans="2:9" x14ac:dyDescent="0.3">
      <c r="B33" s="1" t="s">
        <v>151</v>
      </c>
      <c r="C33" s="2"/>
      <c r="D33" s="2">
        <v>100</v>
      </c>
      <c r="E33" s="2"/>
      <c r="H33" s="2"/>
      <c r="I33" s="2"/>
    </row>
    <row r="34" spans="2:9" x14ac:dyDescent="0.3">
      <c r="C34" s="2"/>
      <c r="D34" s="14">
        <f>SUM(D32:D33)</f>
        <v>2200</v>
      </c>
      <c r="E34" s="2" t="s">
        <v>230</v>
      </c>
      <c r="H34" s="2"/>
      <c r="I34" s="2"/>
    </row>
    <row r="35" spans="2:9" x14ac:dyDescent="0.3">
      <c r="C35" s="2"/>
      <c r="E35" s="2"/>
      <c r="F35" s="12"/>
      <c r="G35" s="2"/>
      <c r="H35" s="2"/>
      <c r="I35" s="2"/>
    </row>
    <row r="36" spans="2:9" x14ac:dyDescent="0.3">
      <c r="B36" s="1" t="s">
        <v>152</v>
      </c>
    </row>
    <row r="38" spans="2:9" x14ac:dyDescent="0.3">
      <c r="B38" s="8" t="s">
        <v>153</v>
      </c>
    </row>
    <row r="39" spans="2:9" x14ac:dyDescent="0.3">
      <c r="B39" s="1" t="s">
        <v>154</v>
      </c>
      <c r="D39" s="1">
        <v>600</v>
      </c>
    </row>
    <row r="40" spans="2:9" x14ac:dyDescent="0.3">
      <c r="B40" s="1" t="s">
        <v>155</v>
      </c>
      <c r="D40" s="1">
        <v>240</v>
      </c>
    </row>
    <row r="41" spans="2:9" x14ac:dyDescent="0.3">
      <c r="B41" s="1" t="s">
        <v>35</v>
      </c>
      <c r="D41" s="1">
        <v>35</v>
      </c>
    </row>
    <row r="42" spans="2:9" x14ac:dyDescent="0.3">
      <c r="B42" s="1" t="s">
        <v>225</v>
      </c>
      <c r="D42" s="10">
        <f>SUM(D39:D41)</f>
        <v>875</v>
      </c>
    </row>
    <row r="44" spans="2:9" x14ac:dyDescent="0.3">
      <c r="B44" s="60"/>
      <c r="C44" s="65"/>
      <c r="D44" s="254" t="s">
        <v>192</v>
      </c>
      <c r="E44" s="255"/>
      <c r="F44" s="256"/>
      <c r="G44" s="47" t="s">
        <v>193</v>
      </c>
      <c r="H44" s="47" t="s">
        <v>195</v>
      </c>
    </row>
    <row r="45" spans="2:9" x14ac:dyDescent="0.3">
      <c r="B45" s="51"/>
      <c r="C45" s="53"/>
      <c r="D45" s="47" t="s">
        <v>189</v>
      </c>
      <c r="E45" s="47" t="s">
        <v>190</v>
      </c>
      <c r="F45" s="58" t="s">
        <v>191</v>
      </c>
      <c r="G45" s="59" t="s">
        <v>194</v>
      </c>
      <c r="H45" s="59" t="s">
        <v>196</v>
      </c>
    </row>
    <row r="46" spans="2:9" x14ac:dyDescent="0.3">
      <c r="B46" s="60" t="s">
        <v>197</v>
      </c>
      <c r="C46" s="66"/>
      <c r="D46" s="47">
        <v>1100</v>
      </c>
      <c r="E46" s="47">
        <f>F46/D46</f>
        <v>1794</v>
      </c>
      <c r="F46" s="50">
        <v>1973400</v>
      </c>
      <c r="G46" s="50">
        <f>F46</f>
        <v>1973400</v>
      </c>
      <c r="H46" s="47"/>
    </row>
    <row r="47" spans="2:9" x14ac:dyDescent="0.3">
      <c r="B47" s="51"/>
      <c r="C47" s="52"/>
      <c r="D47" s="59"/>
      <c r="E47" s="59"/>
      <c r="F47" s="59"/>
      <c r="G47" s="59"/>
      <c r="H47" s="59"/>
    </row>
    <row r="48" spans="2:9" x14ac:dyDescent="0.3">
      <c r="B48" s="51" t="s">
        <v>187</v>
      </c>
      <c r="C48" s="52"/>
      <c r="D48" s="59">
        <f>D19</f>
        <v>4600</v>
      </c>
      <c r="E48" s="59">
        <v>150</v>
      </c>
      <c r="F48" s="64">
        <f>D48*E48</f>
        <v>690000</v>
      </c>
      <c r="G48" s="64">
        <v>696670</v>
      </c>
      <c r="H48" s="64">
        <f>F48-G48</f>
        <v>-6670</v>
      </c>
    </row>
    <row r="49" spans="2:8" x14ac:dyDescent="0.3">
      <c r="B49" s="51" t="s">
        <v>188</v>
      </c>
      <c r="C49" s="52"/>
      <c r="D49" s="59">
        <f>D34</f>
        <v>2200</v>
      </c>
      <c r="E49" s="59">
        <v>240</v>
      </c>
      <c r="F49" s="64">
        <f>D49*E49</f>
        <v>528000</v>
      </c>
      <c r="G49" s="64">
        <v>542800</v>
      </c>
      <c r="H49" s="55">
        <f>F49-G49</f>
        <v>-14800</v>
      </c>
    </row>
    <row r="50" spans="2:8" x14ac:dyDescent="0.3">
      <c r="B50" s="51"/>
      <c r="C50" s="52"/>
      <c r="D50" s="64"/>
      <c r="E50" s="64"/>
      <c r="F50" s="57"/>
      <c r="G50" s="64"/>
      <c r="H50" s="49">
        <f>SUM(H48:H49)</f>
        <v>-21470</v>
      </c>
    </row>
    <row r="51" spans="2:8" x14ac:dyDescent="0.3">
      <c r="B51" s="61" t="s">
        <v>205</v>
      </c>
      <c r="C51" s="52"/>
      <c r="D51" s="64"/>
      <c r="E51" s="64"/>
      <c r="F51" s="57"/>
      <c r="G51" s="64"/>
      <c r="H51" s="117" t="s">
        <v>36</v>
      </c>
    </row>
    <row r="52" spans="2:8" x14ac:dyDescent="0.3">
      <c r="B52" s="62"/>
      <c r="C52" s="52"/>
      <c r="D52" s="64"/>
      <c r="E52" s="64"/>
      <c r="F52" s="64"/>
      <c r="G52" s="64"/>
      <c r="H52" s="30"/>
    </row>
    <row r="53" spans="2:8" x14ac:dyDescent="0.3">
      <c r="B53" s="67" t="s">
        <v>198</v>
      </c>
      <c r="C53" s="96"/>
      <c r="D53" s="48">
        <f>D49</f>
        <v>2200</v>
      </c>
      <c r="E53" s="48">
        <v>35</v>
      </c>
      <c r="F53" s="55">
        <f>D53*E53</f>
        <v>77000</v>
      </c>
      <c r="G53" s="64">
        <v>83220</v>
      </c>
      <c r="H53" s="30">
        <f>F53-G53</f>
        <v>-6220</v>
      </c>
    </row>
    <row r="54" spans="2:8" x14ac:dyDescent="0.3">
      <c r="B54" s="51" t="s">
        <v>206</v>
      </c>
      <c r="C54" s="53"/>
      <c r="D54" s="64"/>
      <c r="E54" s="29"/>
      <c r="F54" s="94">
        <f>SUM(F48:F53)</f>
        <v>1295000</v>
      </c>
      <c r="G54" s="64"/>
      <c r="H54" s="30"/>
    </row>
    <row r="55" spans="2:8" x14ac:dyDescent="0.3">
      <c r="B55" s="56" t="s">
        <v>239</v>
      </c>
      <c r="C55" s="54"/>
      <c r="D55" s="48">
        <v>100</v>
      </c>
      <c r="E55" s="68">
        <f>D42</f>
        <v>875</v>
      </c>
      <c r="F55" s="95">
        <f>-D55*E55</f>
        <v>-87500</v>
      </c>
      <c r="G55" s="64">
        <f>F55</f>
        <v>-87500</v>
      </c>
      <c r="H55" s="30"/>
    </row>
    <row r="56" spans="2:8" x14ac:dyDescent="0.3">
      <c r="B56" s="51" t="s">
        <v>208</v>
      </c>
      <c r="C56" s="53"/>
      <c r="D56" s="64"/>
      <c r="E56" s="29"/>
      <c r="F56" s="94">
        <f>SUM(F54:F55)</f>
        <v>1207500</v>
      </c>
      <c r="G56" s="64"/>
      <c r="H56" s="30"/>
    </row>
    <row r="57" spans="2:8" x14ac:dyDescent="0.3">
      <c r="B57" s="56" t="s">
        <v>156</v>
      </c>
      <c r="C57" s="54"/>
      <c r="D57" s="48">
        <v>50</v>
      </c>
      <c r="E57" s="68">
        <v>1150</v>
      </c>
      <c r="F57" s="95">
        <f>D57*E57</f>
        <v>57500</v>
      </c>
      <c r="G57" s="64">
        <f>F57</f>
        <v>57500</v>
      </c>
      <c r="H57" s="30"/>
    </row>
    <row r="58" spans="2:8" x14ac:dyDescent="0.3">
      <c r="B58" s="51" t="s">
        <v>207</v>
      </c>
      <c r="C58" s="53"/>
      <c r="D58" s="64"/>
      <c r="E58" s="29"/>
      <c r="F58" s="94">
        <f>SUM(F56:F57)</f>
        <v>1265000</v>
      </c>
      <c r="G58" s="64"/>
      <c r="H58" s="30"/>
    </row>
    <row r="59" spans="2:8" x14ac:dyDescent="0.3">
      <c r="B59" s="56" t="s">
        <v>5</v>
      </c>
      <c r="C59" s="54"/>
      <c r="D59" s="48">
        <v>1100</v>
      </c>
      <c r="E59" s="68">
        <v>100</v>
      </c>
      <c r="F59" s="95">
        <f>D59*E59</f>
        <v>110000</v>
      </c>
      <c r="G59" s="64">
        <v>110000</v>
      </c>
      <c r="H59" s="30">
        <f>F59-G59</f>
        <v>0</v>
      </c>
    </row>
    <row r="60" spans="2:8" x14ac:dyDescent="0.3">
      <c r="B60" s="51" t="s">
        <v>209</v>
      </c>
      <c r="C60" s="53"/>
      <c r="D60" s="64"/>
      <c r="E60" s="29"/>
      <c r="F60" s="94">
        <f>SUM(F58:F59)</f>
        <v>1375000</v>
      </c>
      <c r="G60" s="64"/>
      <c r="H60" s="30"/>
    </row>
    <row r="61" spans="2:8" x14ac:dyDescent="0.3">
      <c r="B61" s="56"/>
      <c r="C61" s="54"/>
      <c r="D61" s="48"/>
      <c r="E61" s="68"/>
      <c r="F61" s="95"/>
      <c r="G61" s="64"/>
      <c r="H61" s="30"/>
    </row>
    <row r="62" spans="2:8" x14ac:dyDescent="0.3">
      <c r="B62" s="51" t="s">
        <v>211</v>
      </c>
      <c r="C62" s="53"/>
      <c r="D62" s="64"/>
      <c r="E62" s="29"/>
      <c r="F62" s="94">
        <f>F46-F60</f>
        <v>598400</v>
      </c>
      <c r="G62" s="64"/>
      <c r="H62" s="30"/>
    </row>
    <row r="63" spans="2:8" x14ac:dyDescent="0.3">
      <c r="B63" s="51" t="s">
        <v>202</v>
      </c>
      <c r="C63" s="53"/>
      <c r="D63" s="64"/>
      <c r="E63" s="29"/>
      <c r="F63" s="94">
        <f>H50</f>
        <v>-21470</v>
      </c>
      <c r="G63" s="64"/>
      <c r="H63" s="30"/>
    </row>
    <row r="64" spans="2:8" x14ac:dyDescent="0.3">
      <c r="B64" s="56" t="s">
        <v>203</v>
      </c>
      <c r="C64" s="54"/>
      <c r="D64" s="55"/>
      <c r="E64" s="63"/>
      <c r="F64" s="95">
        <f>H64</f>
        <v>-6220</v>
      </c>
      <c r="G64" s="64"/>
      <c r="H64" s="93">
        <f>SUM(H53:H59)</f>
        <v>-6220</v>
      </c>
    </row>
    <row r="65" spans="1:8" x14ac:dyDescent="0.3">
      <c r="B65" s="51" t="s">
        <v>213</v>
      </c>
      <c r="C65" s="53"/>
      <c r="D65" s="64"/>
      <c r="E65" s="29"/>
      <c r="F65" s="94">
        <f>SUM(F62:F64)</f>
        <v>570710</v>
      </c>
      <c r="G65" s="64">
        <f>G46-G48-G49-G53-G55-G57-G59</f>
        <v>570710</v>
      </c>
      <c r="H65" s="30"/>
    </row>
    <row r="66" spans="1:8" x14ac:dyDescent="0.3">
      <c r="B66" s="61" t="s">
        <v>212</v>
      </c>
      <c r="C66" s="53"/>
      <c r="D66" s="64"/>
      <c r="E66" s="29"/>
      <c r="F66" s="94"/>
      <c r="G66" s="64"/>
      <c r="H66" s="83" t="s">
        <v>215</v>
      </c>
    </row>
    <row r="67" spans="1:8" x14ac:dyDescent="0.3">
      <c r="B67" s="51"/>
      <c r="C67" s="53"/>
      <c r="D67" s="64"/>
      <c r="E67" s="29"/>
      <c r="F67" s="94"/>
      <c r="G67" s="64"/>
      <c r="H67" s="30"/>
    </row>
    <row r="68" spans="1:8" x14ac:dyDescent="0.3">
      <c r="B68" s="51" t="s">
        <v>198</v>
      </c>
      <c r="C68" s="53"/>
      <c r="D68" s="64"/>
      <c r="E68" s="29"/>
      <c r="F68" s="94">
        <v>280000</v>
      </c>
      <c r="G68" s="64">
        <v>283000</v>
      </c>
      <c r="H68" s="30">
        <f>F68-G68</f>
        <v>-3000</v>
      </c>
    </row>
    <row r="69" spans="1:8" x14ac:dyDescent="0.3">
      <c r="B69" s="51" t="s">
        <v>6</v>
      </c>
      <c r="C69" s="53"/>
      <c r="D69" s="64"/>
      <c r="E69" s="29"/>
      <c r="F69" s="94">
        <v>190000</v>
      </c>
      <c r="G69" s="64">
        <v>191000</v>
      </c>
      <c r="H69" s="30">
        <f>F69-G69</f>
        <v>-1000</v>
      </c>
    </row>
    <row r="70" spans="1:8" x14ac:dyDescent="0.3">
      <c r="B70" s="56" t="s">
        <v>214</v>
      </c>
      <c r="C70" s="54"/>
      <c r="D70" s="55"/>
      <c r="E70" s="63"/>
      <c r="F70" s="95">
        <f>H70</f>
        <v>-4000</v>
      </c>
      <c r="G70" s="55"/>
      <c r="H70" s="93">
        <f>SUM(H68:H69)</f>
        <v>-4000</v>
      </c>
    </row>
    <row r="71" spans="1:8" x14ac:dyDescent="0.3">
      <c r="B71" s="56" t="s">
        <v>204</v>
      </c>
      <c r="C71" s="54"/>
      <c r="D71" s="55"/>
      <c r="E71" s="63"/>
      <c r="F71" s="55">
        <f>F65-F68-F69+F70</f>
        <v>96710</v>
      </c>
      <c r="G71" s="63">
        <f>G65-G68-G69</f>
        <v>96710</v>
      </c>
      <c r="H71" s="55"/>
    </row>
    <row r="72" spans="1:8" x14ac:dyDescent="0.3">
      <c r="B72" s="1" t="s">
        <v>210</v>
      </c>
      <c r="C72" s="21"/>
      <c r="D72" s="21"/>
      <c r="E72" s="12"/>
      <c r="F72" s="21"/>
      <c r="G72" s="21"/>
      <c r="H72" s="12"/>
    </row>
    <row r="73" spans="1:8" x14ac:dyDescent="0.3">
      <c r="A73" s="1" t="s">
        <v>223</v>
      </c>
      <c r="B73" s="1" t="s">
        <v>91</v>
      </c>
      <c r="D73" s="21"/>
      <c r="E73" s="12"/>
      <c r="F73" s="21"/>
      <c r="G73" s="21"/>
      <c r="H73" s="12"/>
    </row>
    <row r="74" spans="1:8" x14ac:dyDescent="0.3">
      <c r="B74" s="21"/>
      <c r="C74" s="21"/>
      <c r="D74" s="21"/>
      <c r="E74" s="12"/>
      <c r="F74" s="21"/>
      <c r="G74" s="21"/>
      <c r="H74" s="12"/>
    </row>
    <row r="75" spans="1:8" x14ac:dyDescent="0.3">
      <c r="B75" s="21"/>
      <c r="C75" s="21"/>
      <c r="D75" s="21"/>
      <c r="E75" s="12"/>
      <c r="F75" s="21"/>
      <c r="G75" s="21"/>
      <c r="H75" s="12"/>
    </row>
    <row r="76" spans="1:8" ht="27.6" x14ac:dyDescent="0.3">
      <c r="D76" s="125" t="s">
        <v>265</v>
      </c>
      <c r="E76" s="126" t="s">
        <v>266</v>
      </c>
      <c r="F76" s="126" t="s">
        <v>267</v>
      </c>
      <c r="G76" s="126" t="s">
        <v>38</v>
      </c>
      <c r="H76" s="126" t="s">
        <v>37</v>
      </c>
    </row>
    <row r="77" spans="1:8" ht="17.399999999999999" x14ac:dyDescent="0.3">
      <c r="B77" s="9"/>
      <c r="C77" s="10"/>
      <c r="D77" s="90" t="s">
        <v>112</v>
      </c>
      <c r="E77" s="90" t="s">
        <v>113</v>
      </c>
      <c r="F77" s="90"/>
      <c r="G77" s="91" t="s">
        <v>114</v>
      </c>
      <c r="H77" s="91" t="s">
        <v>115</v>
      </c>
    </row>
    <row r="78" spans="1:8" x14ac:dyDescent="0.3">
      <c r="B78" s="9" t="s">
        <v>205</v>
      </c>
      <c r="C78" s="10"/>
      <c r="D78" s="3">
        <f>F82</f>
        <v>77000</v>
      </c>
      <c r="E78" s="3">
        <f>F83</f>
        <v>80500</v>
      </c>
      <c r="F78" s="3">
        <v>83220</v>
      </c>
      <c r="G78" s="3">
        <f>D78-E78</f>
        <v>-3500</v>
      </c>
      <c r="H78" s="3">
        <f>E78-F78</f>
        <v>-2720</v>
      </c>
    </row>
    <row r="79" spans="1:8" x14ac:dyDescent="0.3">
      <c r="B79" s="9" t="s">
        <v>157</v>
      </c>
      <c r="C79" s="10"/>
      <c r="D79" s="3">
        <f>F59</f>
        <v>110000</v>
      </c>
      <c r="E79" s="3">
        <v>110000</v>
      </c>
      <c r="F79" s="3">
        <f>G59</f>
        <v>110000</v>
      </c>
      <c r="G79" s="3">
        <f>D79-E79</f>
        <v>0</v>
      </c>
      <c r="H79" s="3">
        <f>E79-F79</f>
        <v>0</v>
      </c>
    </row>
    <row r="80" spans="1:8" x14ac:dyDescent="0.3">
      <c r="G80" s="1" t="s">
        <v>158</v>
      </c>
      <c r="H80" s="11">
        <f>SUM(G78:H79)</f>
        <v>-6220</v>
      </c>
    </row>
    <row r="81" spans="1:8" x14ac:dyDescent="0.3">
      <c r="B81" s="8" t="s">
        <v>268</v>
      </c>
      <c r="H81" s="12"/>
    </row>
    <row r="82" spans="1:8" x14ac:dyDescent="0.3">
      <c r="B82" s="1" t="s">
        <v>238</v>
      </c>
      <c r="D82" s="1" t="s">
        <v>159</v>
      </c>
      <c r="F82" s="2">
        <f>2200*35</f>
        <v>77000</v>
      </c>
    </row>
    <row r="83" spans="1:8" x14ac:dyDescent="0.3">
      <c r="B83" s="1" t="s">
        <v>269</v>
      </c>
      <c r="D83" s="1" t="s">
        <v>160</v>
      </c>
      <c r="F83" s="2">
        <f>2300*35</f>
        <v>80500</v>
      </c>
    </row>
    <row r="84" spans="1:8" x14ac:dyDescent="0.3">
      <c r="F84" s="2"/>
    </row>
    <row r="85" spans="1:8" x14ac:dyDescent="0.3">
      <c r="B85" s="8" t="s">
        <v>270</v>
      </c>
      <c r="F85" s="2"/>
    </row>
    <row r="86" spans="1:8" x14ac:dyDescent="0.3">
      <c r="B86" s="1" t="s">
        <v>271</v>
      </c>
      <c r="F86" s="2"/>
    </row>
    <row r="88" spans="1:8" x14ac:dyDescent="0.3">
      <c r="B88" s="1" t="s">
        <v>7</v>
      </c>
    </row>
    <row r="90" spans="1:8" x14ac:dyDescent="0.3">
      <c r="A90" s="1" t="s">
        <v>224</v>
      </c>
      <c r="B90" s="8" t="s">
        <v>161</v>
      </c>
    </row>
    <row r="91" spans="1:8" x14ac:dyDescent="0.3">
      <c r="B91" s="1" t="s">
        <v>162</v>
      </c>
      <c r="E91" s="2"/>
      <c r="F91" s="2">
        <f>1000*1800</f>
        <v>1800000</v>
      </c>
    </row>
    <row r="92" spans="1:8" x14ac:dyDescent="0.3">
      <c r="B92" s="1" t="s">
        <v>163</v>
      </c>
      <c r="E92" s="2">
        <f>1000*600</f>
        <v>600000</v>
      </c>
      <c r="F92" s="2"/>
    </row>
    <row r="93" spans="1:8" x14ac:dyDescent="0.3">
      <c r="B93" s="1" t="s">
        <v>164</v>
      </c>
      <c r="E93" s="2">
        <f>1000*480</f>
        <v>480000</v>
      </c>
      <c r="F93" s="2"/>
    </row>
    <row r="94" spans="1:8" x14ac:dyDescent="0.3">
      <c r="B94" s="1" t="s">
        <v>165</v>
      </c>
      <c r="E94" s="2">
        <f>1000*70</f>
        <v>70000</v>
      </c>
      <c r="F94" s="2"/>
    </row>
    <row r="95" spans="1:8" x14ac:dyDescent="0.3">
      <c r="B95" s="1" t="s">
        <v>166</v>
      </c>
      <c r="E95" s="2">
        <f>1000*100</f>
        <v>100000</v>
      </c>
      <c r="F95" s="2"/>
    </row>
    <row r="96" spans="1:8" x14ac:dyDescent="0.3">
      <c r="B96" s="1" t="s">
        <v>226</v>
      </c>
      <c r="E96" s="14">
        <f>SUM(E92:E95)</f>
        <v>1250000</v>
      </c>
      <c r="F96" s="20">
        <f>E96</f>
        <v>1250000</v>
      </c>
    </row>
    <row r="97" spans="1:9" x14ac:dyDescent="0.3">
      <c r="B97" s="1" t="s">
        <v>227</v>
      </c>
      <c r="E97" s="2"/>
      <c r="F97" s="2">
        <f>F91-F96</f>
        <v>550000</v>
      </c>
    </row>
    <row r="98" spans="1:9" x14ac:dyDescent="0.3">
      <c r="B98" s="1" t="s">
        <v>167</v>
      </c>
      <c r="E98" s="2"/>
      <c r="F98" s="2">
        <v>470000</v>
      </c>
    </row>
    <row r="99" spans="1:9" x14ac:dyDescent="0.3">
      <c r="B99" s="1" t="s">
        <v>229</v>
      </c>
      <c r="E99" s="2"/>
      <c r="F99" s="14">
        <f>F97-F98</f>
        <v>80000</v>
      </c>
    </row>
    <row r="101" spans="1:9" ht="16.2" x14ac:dyDescent="0.35">
      <c r="B101" s="23" t="s">
        <v>8</v>
      </c>
      <c r="F101" s="2"/>
    </row>
    <row r="102" spans="1:9" x14ac:dyDescent="0.3">
      <c r="F102" s="2"/>
    </row>
    <row r="103" spans="1:9" x14ac:dyDescent="0.3">
      <c r="B103" s="1" t="s">
        <v>168</v>
      </c>
      <c r="F103" s="2">
        <f>1000*550</f>
        <v>550000</v>
      </c>
    </row>
    <row r="104" spans="1:9" x14ac:dyDescent="0.3">
      <c r="B104" s="1" t="s">
        <v>228</v>
      </c>
      <c r="F104" s="2">
        <v>470000</v>
      </c>
    </row>
    <row r="105" spans="1:9" x14ac:dyDescent="0.3">
      <c r="B105" s="1" t="s">
        <v>229</v>
      </c>
      <c r="F105" s="14">
        <f>F103-F104</f>
        <v>80000</v>
      </c>
    </row>
    <row r="108" spans="1:9" x14ac:dyDescent="0.3">
      <c r="A108" s="1" t="s">
        <v>240</v>
      </c>
      <c r="B108" s="1" t="s">
        <v>169</v>
      </c>
    </row>
    <row r="110" spans="1:9" x14ac:dyDescent="0.3">
      <c r="B110" s="1" t="s">
        <v>229</v>
      </c>
      <c r="D110" s="2">
        <f>F105</f>
        <v>80000</v>
      </c>
      <c r="E110" s="2"/>
      <c r="G110" s="2"/>
      <c r="H110" s="2"/>
      <c r="I110" s="2"/>
    </row>
    <row r="111" spans="1:9" x14ac:dyDescent="0.3">
      <c r="B111" s="1" t="s">
        <v>219</v>
      </c>
      <c r="D111" s="2">
        <f>F14</f>
        <v>2330</v>
      </c>
      <c r="E111" s="2"/>
      <c r="G111" s="2"/>
      <c r="H111" s="2"/>
      <c r="I111" s="2"/>
    </row>
    <row r="112" spans="1:9" x14ac:dyDescent="0.3">
      <c r="B112" s="1" t="s">
        <v>232</v>
      </c>
      <c r="D112" s="2">
        <f>E14</f>
        <v>-9000</v>
      </c>
      <c r="E112" s="2"/>
      <c r="G112" s="2"/>
      <c r="H112" s="2"/>
      <c r="I112" s="2"/>
    </row>
    <row r="113" spans="1:9" x14ac:dyDescent="0.3">
      <c r="B113" s="1" t="s">
        <v>220</v>
      </c>
      <c r="D113" s="2">
        <f>F29</f>
        <v>9200</v>
      </c>
      <c r="E113" s="2"/>
      <c r="G113" s="2"/>
      <c r="H113" s="2"/>
      <c r="I113" s="2"/>
    </row>
    <row r="114" spans="1:9" x14ac:dyDescent="0.3">
      <c r="B114" s="1" t="s">
        <v>221</v>
      </c>
      <c r="D114" s="2">
        <f>E29</f>
        <v>-24000</v>
      </c>
      <c r="E114" s="2"/>
      <c r="G114" s="2"/>
      <c r="H114" s="2"/>
      <c r="I114" s="2"/>
    </row>
    <row r="115" spans="1:9" x14ac:dyDescent="0.3">
      <c r="B115" s="1" t="s">
        <v>233</v>
      </c>
      <c r="D115" s="2">
        <f>G78</f>
        <v>-3500</v>
      </c>
      <c r="E115" s="2"/>
      <c r="G115" s="2"/>
      <c r="H115" s="2"/>
      <c r="I115" s="2"/>
    </row>
    <row r="116" spans="1:9" x14ac:dyDescent="0.3">
      <c r="B116" s="69" t="s">
        <v>241</v>
      </c>
      <c r="D116" s="2">
        <f>H78</f>
        <v>-2720</v>
      </c>
      <c r="E116" s="2"/>
      <c r="G116" s="2"/>
      <c r="H116" s="2"/>
      <c r="I116" s="2"/>
    </row>
    <row r="117" spans="1:9" x14ac:dyDescent="0.3">
      <c r="B117" s="1" t="s">
        <v>214</v>
      </c>
      <c r="D117" s="2">
        <f>F70</f>
        <v>-4000</v>
      </c>
      <c r="E117" s="2"/>
      <c r="G117" s="2"/>
      <c r="H117" s="2"/>
      <c r="I117" s="2"/>
    </row>
    <row r="118" spans="1:9" x14ac:dyDescent="0.3">
      <c r="B118" s="1" t="s">
        <v>291</v>
      </c>
      <c r="D118" s="2">
        <f>C131</f>
        <v>55000</v>
      </c>
      <c r="E118" s="2" t="s">
        <v>272</v>
      </c>
      <c r="G118" s="2"/>
      <c r="H118" s="2"/>
      <c r="I118" s="2"/>
    </row>
    <row r="119" spans="1:9" x14ac:dyDescent="0.3">
      <c r="B119" s="1" t="s">
        <v>234</v>
      </c>
      <c r="D119" s="2">
        <f>C126</f>
        <v>-6600</v>
      </c>
      <c r="E119" s="2" t="str">
        <f>E118</f>
        <v>(se beregning nedenfor)</v>
      </c>
      <c r="G119" s="2"/>
      <c r="H119" s="2"/>
      <c r="I119" s="2"/>
    </row>
    <row r="120" spans="1:9" x14ac:dyDescent="0.3">
      <c r="D120" s="14">
        <f>SUM(D110:D119)</f>
        <v>96710</v>
      </c>
      <c r="E120" s="2"/>
      <c r="G120" s="2"/>
      <c r="H120" s="2"/>
      <c r="I120" s="2"/>
    </row>
    <row r="123" spans="1:9" x14ac:dyDescent="0.3">
      <c r="A123" s="8" t="s">
        <v>243</v>
      </c>
    </row>
    <row r="124" spans="1:9" ht="16.2" x14ac:dyDescent="0.35">
      <c r="A124" s="23" t="s">
        <v>92</v>
      </c>
    </row>
    <row r="125" spans="1:9" x14ac:dyDescent="0.3">
      <c r="A125" s="1" t="s">
        <v>9</v>
      </c>
    </row>
    <row r="126" spans="1:9" x14ac:dyDescent="0.3">
      <c r="A126" s="1" t="s">
        <v>93</v>
      </c>
      <c r="C126" s="128">
        <f>1100*-6</f>
        <v>-6600</v>
      </c>
    </row>
    <row r="127" spans="1:9" x14ac:dyDescent="0.3">
      <c r="A127" s="1" t="s">
        <v>244</v>
      </c>
      <c r="E127" s="2"/>
    </row>
    <row r="128" spans="1:9" x14ac:dyDescent="0.3">
      <c r="E128" s="2"/>
    </row>
    <row r="129" spans="1:5" ht="16.2" x14ac:dyDescent="0.35">
      <c r="A129" s="23" t="s">
        <v>292</v>
      </c>
      <c r="E129" s="2"/>
    </row>
    <row r="130" spans="1:5" x14ac:dyDescent="0.3">
      <c r="A130" s="1" t="s">
        <v>170</v>
      </c>
      <c r="E130" s="2"/>
    </row>
    <row r="131" spans="1:5" x14ac:dyDescent="0.3">
      <c r="A131" s="1" t="s">
        <v>94</v>
      </c>
      <c r="C131" s="128">
        <f>550*100</f>
        <v>55000</v>
      </c>
    </row>
  </sheetData>
  <mergeCells count="1">
    <mergeCell ref="D44:F44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6" fitToHeight="0" orientation="portrait" r:id="rId1"/>
  <headerFooter alignWithMargins="0">
    <oddHeader>&amp;A&amp;RSide &amp;P</oddHeader>
    <oddFooter>&amp;CLøsninger kapittel 6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pageSetUpPr fitToPage="1"/>
  </sheetPr>
  <dimension ref="A1:I49"/>
  <sheetViews>
    <sheetView workbookViewId="0">
      <selection activeCell="B47" sqref="B47"/>
    </sheetView>
  </sheetViews>
  <sheetFormatPr baseColWidth="10" defaultRowHeight="13.2" x14ac:dyDescent="0.25"/>
  <cols>
    <col min="1" max="1" width="2.88671875" customWidth="1"/>
    <col min="2" max="8" width="12.6640625" customWidth="1"/>
    <col min="257" max="257" width="2.88671875" customWidth="1"/>
    <col min="258" max="258" width="8.6640625" customWidth="1"/>
    <col min="259" max="259" width="13.33203125" customWidth="1"/>
    <col min="262" max="262" width="10.33203125" customWidth="1"/>
    <col min="263" max="263" width="10" customWidth="1"/>
    <col min="513" max="513" width="2.88671875" customWidth="1"/>
    <col min="514" max="514" width="8.6640625" customWidth="1"/>
    <col min="515" max="515" width="13.33203125" customWidth="1"/>
    <col min="518" max="518" width="10.33203125" customWidth="1"/>
    <col min="519" max="519" width="10" customWidth="1"/>
    <col min="769" max="769" width="2.88671875" customWidth="1"/>
    <col min="770" max="770" width="8.6640625" customWidth="1"/>
    <col min="771" max="771" width="13.33203125" customWidth="1"/>
    <col min="774" max="774" width="10.33203125" customWidth="1"/>
    <col min="775" max="775" width="10" customWidth="1"/>
    <col min="1025" max="1025" width="2.88671875" customWidth="1"/>
    <col min="1026" max="1026" width="8.6640625" customWidth="1"/>
    <col min="1027" max="1027" width="13.33203125" customWidth="1"/>
    <col min="1030" max="1030" width="10.33203125" customWidth="1"/>
    <col min="1031" max="1031" width="10" customWidth="1"/>
    <col min="1281" max="1281" width="2.88671875" customWidth="1"/>
    <col min="1282" max="1282" width="8.6640625" customWidth="1"/>
    <col min="1283" max="1283" width="13.33203125" customWidth="1"/>
    <col min="1286" max="1286" width="10.33203125" customWidth="1"/>
    <col min="1287" max="1287" width="10" customWidth="1"/>
    <col min="1537" max="1537" width="2.88671875" customWidth="1"/>
    <col min="1538" max="1538" width="8.6640625" customWidth="1"/>
    <col min="1539" max="1539" width="13.33203125" customWidth="1"/>
    <col min="1542" max="1542" width="10.33203125" customWidth="1"/>
    <col min="1543" max="1543" width="10" customWidth="1"/>
    <col min="1793" max="1793" width="2.88671875" customWidth="1"/>
    <col min="1794" max="1794" width="8.6640625" customWidth="1"/>
    <col min="1795" max="1795" width="13.33203125" customWidth="1"/>
    <col min="1798" max="1798" width="10.33203125" customWidth="1"/>
    <col min="1799" max="1799" width="10" customWidth="1"/>
    <col min="2049" max="2049" width="2.88671875" customWidth="1"/>
    <col min="2050" max="2050" width="8.6640625" customWidth="1"/>
    <col min="2051" max="2051" width="13.33203125" customWidth="1"/>
    <col min="2054" max="2054" width="10.33203125" customWidth="1"/>
    <col min="2055" max="2055" width="10" customWidth="1"/>
    <col min="2305" max="2305" width="2.88671875" customWidth="1"/>
    <col min="2306" max="2306" width="8.6640625" customWidth="1"/>
    <col min="2307" max="2307" width="13.33203125" customWidth="1"/>
    <col min="2310" max="2310" width="10.33203125" customWidth="1"/>
    <col min="2311" max="2311" width="10" customWidth="1"/>
    <col min="2561" max="2561" width="2.88671875" customWidth="1"/>
    <col min="2562" max="2562" width="8.6640625" customWidth="1"/>
    <col min="2563" max="2563" width="13.33203125" customWidth="1"/>
    <col min="2566" max="2566" width="10.33203125" customWidth="1"/>
    <col min="2567" max="2567" width="10" customWidth="1"/>
    <col min="2817" max="2817" width="2.88671875" customWidth="1"/>
    <col min="2818" max="2818" width="8.6640625" customWidth="1"/>
    <col min="2819" max="2819" width="13.33203125" customWidth="1"/>
    <col min="2822" max="2822" width="10.33203125" customWidth="1"/>
    <col min="2823" max="2823" width="10" customWidth="1"/>
    <col min="3073" max="3073" width="2.88671875" customWidth="1"/>
    <col min="3074" max="3074" width="8.6640625" customWidth="1"/>
    <col min="3075" max="3075" width="13.33203125" customWidth="1"/>
    <col min="3078" max="3078" width="10.33203125" customWidth="1"/>
    <col min="3079" max="3079" width="10" customWidth="1"/>
    <col min="3329" max="3329" width="2.88671875" customWidth="1"/>
    <col min="3330" max="3330" width="8.6640625" customWidth="1"/>
    <col min="3331" max="3331" width="13.33203125" customWidth="1"/>
    <col min="3334" max="3334" width="10.33203125" customWidth="1"/>
    <col min="3335" max="3335" width="10" customWidth="1"/>
    <col min="3585" max="3585" width="2.88671875" customWidth="1"/>
    <col min="3586" max="3586" width="8.6640625" customWidth="1"/>
    <col min="3587" max="3587" width="13.33203125" customWidth="1"/>
    <col min="3590" max="3590" width="10.33203125" customWidth="1"/>
    <col min="3591" max="3591" width="10" customWidth="1"/>
    <col min="3841" max="3841" width="2.88671875" customWidth="1"/>
    <col min="3842" max="3842" width="8.6640625" customWidth="1"/>
    <col min="3843" max="3843" width="13.33203125" customWidth="1"/>
    <col min="3846" max="3846" width="10.33203125" customWidth="1"/>
    <col min="3847" max="3847" width="10" customWidth="1"/>
    <col min="4097" max="4097" width="2.88671875" customWidth="1"/>
    <col min="4098" max="4098" width="8.6640625" customWidth="1"/>
    <col min="4099" max="4099" width="13.33203125" customWidth="1"/>
    <col min="4102" max="4102" width="10.33203125" customWidth="1"/>
    <col min="4103" max="4103" width="10" customWidth="1"/>
    <col min="4353" max="4353" width="2.88671875" customWidth="1"/>
    <col min="4354" max="4354" width="8.6640625" customWidth="1"/>
    <col min="4355" max="4355" width="13.33203125" customWidth="1"/>
    <col min="4358" max="4358" width="10.33203125" customWidth="1"/>
    <col min="4359" max="4359" width="10" customWidth="1"/>
    <col min="4609" max="4609" width="2.88671875" customWidth="1"/>
    <col min="4610" max="4610" width="8.6640625" customWidth="1"/>
    <col min="4611" max="4611" width="13.33203125" customWidth="1"/>
    <col min="4614" max="4614" width="10.33203125" customWidth="1"/>
    <col min="4615" max="4615" width="10" customWidth="1"/>
    <col min="4865" max="4865" width="2.88671875" customWidth="1"/>
    <col min="4866" max="4866" width="8.6640625" customWidth="1"/>
    <col min="4867" max="4867" width="13.33203125" customWidth="1"/>
    <col min="4870" max="4870" width="10.33203125" customWidth="1"/>
    <col min="4871" max="4871" width="10" customWidth="1"/>
    <col min="5121" max="5121" width="2.88671875" customWidth="1"/>
    <col min="5122" max="5122" width="8.6640625" customWidth="1"/>
    <col min="5123" max="5123" width="13.33203125" customWidth="1"/>
    <col min="5126" max="5126" width="10.33203125" customWidth="1"/>
    <col min="5127" max="5127" width="10" customWidth="1"/>
    <col min="5377" max="5377" width="2.88671875" customWidth="1"/>
    <col min="5378" max="5378" width="8.6640625" customWidth="1"/>
    <col min="5379" max="5379" width="13.33203125" customWidth="1"/>
    <col min="5382" max="5382" width="10.33203125" customWidth="1"/>
    <col min="5383" max="5383" width="10" customWidth="1"/>
    <col min="5633" max="5633" width="2.88671875" customWidth="1"/>
    <col min="5634" max="5634" width="8.6640625" customWidth="1"/>
    <col min="5635" max="5635" width="13.33203125" customWidth="1"/>
    <col min="5638" max="5638" width="10.33203125" customWidth="1"/>
    <col min="5639" max="5639" width="10" customWidth="1"/>
    <col min="5889" max="5889" width="2.88671875" customWidth="1"/>
    <col min="5890" max="5890" width="8.6640625" customWidth="1"/>
    <col min="5891" max="5891" width="13.33203125" customWidth="1"/>
    <col min="5894" max="5894" width="10.33203125" customWidth="1"/>
    <col min="5895" max="5895" width="10" customWidth="1"/>
    <col min="6145" max="6145" width="2.88671875" customWidth="1"/>
    <col min="6146" max="6146" width="8.6640625" customWidth="1"/>
    <col min="6147" max="6147" width="13.33203125" customWidth="1"/>
    <col min="6150" max="6150" width="10.33203125" customWidth="1"/>
    <col min="6151" max="6151" width="10" customWidth="1"/>
    <col min="6401" max="6401" width="2.88671875" customWidth="1"/>
    <col min="6402" max="6402" width="8.6640625" customWidth="1"/>
    <col min="6403" max="6403" width="13.33203125" customWidth="1"/>
    <col min="6406" max="6406" width="10.33203125" customWidth="1"/>
    <col min="6407" max="6407" width="10" customWidth="1"/>
    <col min="6657" max="6657" width="2.88671875" customWidth="1"/>
    <col min="6658" max="6658" width="8.6640625" customWidth="1"/>
    <col min="6659" max="6659" width="13.33203125" customWidth="1"/>
    <col min="6662" max="6662" width="10.33203125" customWidth="1"/>
    <col min="6663" max="6663" width="10" customWidth="1"/>
    <col min="6913" max="6913" width="2.88671875" customWidth="1"/>
    <col min="6914" max="6914" width="8.6640625" customWidth="1"/>
    <col min="6915" max="6915" width="13.33203125" customWidth="1"/>
    <col min="6918" max="6918" width="10.33203125" customWidth="1"/>
    <col min="6919" max="6919" width="10" customWidth="1"/>
    <col min="7169" max="7169" width="2.88671875" customWidth="1"/>
    <col min="7170" max="7170" width="8.6640625" customWidth="1"/>
    <col min="7171" max="7171" width="13.33203125" customWidth="1"/>
    <col min="7174" max="7174" width="10.33203125" customWidth="1"/>
    <col min="7175" max="7175" width="10" customWidth="1"/>
    <col min="7425" max="7425" width="2.88671875" customWidth="1"/>
    <col min="7426" max="7426" width="8.6640625" customWidth="1"/>
    <col min="7427" max="7427" width="13.33203125" customWidth="1"/>
    <col min="7430" max="7430" width="10.33203125" customWidth="1"/>
    <col min="7431" max="7431" width="10" customWidth="1"/>
    <col min="7681" max="7681" width="2.88671875" customWidth="1"/>
    <col min="7682" max="7682" width="8.6640625" customWidth="1"/>
    <col min="7683" max="7683" width="13.33203125" customWidth="1"/>
    <col min="7686" max="7686" width="10.33203125" customWidth="1"/>
    <col min="7687" max="7687" width="10" customWidth="1"/>
    <col min="7937" max="7937" width="2.88671875" customWidth="1"/>
    <col min="7938" max="7938" width="8.6640625" customWidth="1"/>
    <col min="7939" max="7939" width="13.33203125" customWidth="1"/>
    <col min="7942" max="7942" width="10.33203125" customWidth="1"/>
    <col min="7943" max="7943" width="10" customWidth="1"/>
    <col min="8193" max="8193" width="2.88671875" customWidth="1"/>
    <col min="8194" max="8194" width="8.6640625" customWidth="1"/>
    <col min="8195" max="8195" width="13.33203125" customWidth="1"/>
    <col min="8198" max="8198" width="10.33203125" customWidth="1"/>
    <col min="8199" max="8199" width="10" customWidth="1"/>
    <col min="8449" max="8449" width="2.88671875" customWidth="1"/>
    <col min="8450" max="8450" width="8.6640625" customWidth="1"/>
    <col min="8451" max="8451" width="13.33203125" customWidth="1"/>
    <col min="8454" max="8454" width="10.33203125" customWidth="1"/>
    <col min="8455" max="8455" width="10" customWidth="1"/>
    <col min="8705" max="8705" width="2.88671875" customWidth="1"/>
    <col min="8706" max="8706" width="8.6640625" customWidth="1"/>
    <col min="8707" max="8707" width="13.33203125" customWidth="1"/>
    <col min="8710" max="8710" width="10.33203125" customWidth="1"/>
    <col min="8711" max="8711" width="10" customWidth="1"/>
    <col min="8961" max="8961" width="2.88671875" customWidth="1"/>
    <col min="8962" max="8962" width="8.6640625" customWidth="1"/>
    <col min="8963" max="8963" width="13.33203125" customWidth="1"/>
    <col min="8966" max="8966" width="10.33203125" customWidth="1"/>
    <col min="8967" max="8967" width="10" customWidth="1"/>
    <col min="9217" max="9217" width="2.88671875" customWidth="1"/>
    <col min="9218" max="9218" width="8.6640625" customWidth="1"/>
    <col min="9219" max="9219" width="13.33203125" customWidth="1"/>
    <col min="9222" max="9222" width="10.33203125" customWidth="1"/>
    <col min="9223" max="9223" width="10" customWidth="1"/>
    <col min="9473" max="9473" width="2.88671875" customWidth="1"/>
    <col min="9474" max="9474" width="8.6640625" customWidth="1"/>
    <col min="9475" max="9475" width="13.33203125" customWidth="1"/>
    <col min="9478" max="9478" width="10.33203125" customWidth="1"/>
    <col min="9479" max="9479" width="10" customWidth="1"/>
    <col min="9729" max="9729" width="2.88671875" customWidth="1"/>
    <col min="9730" max="9730" width="8.6640625" customWidth="1"/>
    <col min="9731" max="9731" width="13.33203125" customWidth="1"/>
    <col min="9734" max="9734" width="10.33203125" customWidth="1"/>
    <col min="9735" max="9735" width="10" customWidth="1"/>
    <col min="9985" max="9985" width="2.88671875" customWidth="1"/>
    <col min="9986" max="9986" width="8.6640625" customWidth="1"/>
    <col min="9987" max="9987" width="13.33203125" customWidth="1"/>
    <col min="9990" max="9990" width="10.33203125" customWidth="1"/>
    <col min="9991" max="9991" width="10" customWidth="1"/>
    <col min="10241" max="10241" width="2.88671875" customWidth="1"/>
    <col min="10242" max="10242" width="8.6640625" customWidth="1"/>
    <col min="10243" max="10243" width="13.33203125" customWidth="1"/>
    <col min="10246" max="10246" width="10.33203125" customWidth="1"/>
    <col min="10247" max="10247" width="10" customWidth="1"/>
    <col min="10497" max="10497" width="2.88671875" customWidth="1"/>
    <col min="10498" max="10498" width="8.6640625" customWidth="1"/>
    <col min="10499" max="10499" width="13.33203125" customWidth="1"/>
    <col min="10502" max="10502" width="10.33203125" customWidth="1"/>
    <col min="10503" max="10503" width="10" customWidth="1"/>
    <col min="10753" max="10753" width="2.88671875" customWidth="1"/>
    <col min="10754" max="10754" width="8.6640625" customWidth="1"/>
    <col min="10755" max="10755" width="13.33203125" customWidth="1"/>
    <col min="10758" max="10758" width="10.33203125" customWidth="1"/>
    <col min="10759" max="10759" width="10" customWidth="1"/>
    <col min="11009" max="11009" width="2.88671875" customWidth="1"/>
    <col min="11010" max="11010" width="8.6640625" customWidth="1"/>
    <col min="11011" max="11011" width="13.33203125" customWidth="1"/>
    <col min="11014" max="11014" width="10.33203125" customWidth="1"/>
    <col min="11015" max="11015" width="10" customWidth="1"/>
    <col min="11265" max="11265" width="2.88671875" customWidth="1"/>
    <col min="11266" max="11266" width="8.6640625" customWidth="1"/>
    <col min="11267" max="11267" width="13.33203125" customWidth="1"/>
    <col min="11270" max="11270" width="10.33203125" customWidth="1"/>
    <col min="11271" max="11271" width="10" customWidth="1"/>
    <col min="11521" max="11521" width="2.88671875" customWidth="1"/>
    <col min="11522" max="11522" width="8.6640625" customWidth="1"/>
    <col min="11523" max="11523" width="13.33203125" customWidth="1"/>
    <col min="11526" max="11526" width="10.33203125" customWidth="1"/>
    <col min="11527" max="11527" width="10" customWidth="1"/>
    <col min="11777" max="11777" width="2.88671875" customWidth="1"/>
    <col min="11778" max="11778" width="8.6640625" customWidth="1"/>
    <col min="11779" max="11779" width="13.33203125" customWidth="1"/>
    <col min="11782" max="11782" width="10.33203125" customWidth="1"/>
    <col min="11783" max="11783" width="10" customWidth="1"/>
    <col min="12033" max="12033" width="2.88671875" customWidth="1"/>
    <col min="12034" max="12034" width="8.6640625" customWidth="1"/>
    <col min="12035" max="12035" width="13.33203125" customWidth="1"/>
    <col min="12038" max="12038" width="10.33203125" customWidth="1"/>
    <col min="12039" max="12039" width="10" customWidth="1"/>
    <col min="12289" max="12289" width="2.88671875" customWidth="1"/>
    <col min="12290" max="12290" width="8.6640625" customWidth="1"/>
    <col min="12291" max="12291" width="13.33203125" customWidth="1"/>
    <col min="12294" max="12294" width="10.33203125" customWidth="1"/>
    <col min="12295" max="12295" width="10" customWidth="1"/>
    <col min="12545" max="12545" width="2.88671875" customWidth="1"/>
    <col min="12546" max="12546" width="8.6640625" customWidth="1"/>
    <col min="12547" max="12547" width="13.33203125" customWidth="1"/>
    <col min="12550" max="12550" width="10.33203125" customWidth="1"/>
    <col min="12551" max="12551" width="10" customWidth="1"/>
    <col min="12801" max="12801" width="2.88671875" customWidth="1"/>
    <col min="12802" max="12802" width="8.6640625" customWidth="1"/>
    <col min="12803" max="12803" width="13.33203125" customWidth="1"/>
    <col min="12806" max="12806" width="10.33203125" customWidth="1"/>
    <col min="12807" max="12807" width="10" customWidth="1"/>
    <col min="13057" max="13057" width="2.88671875" customWidth="1"/>
    <col min="13058" max="13058" width="8.6640625" customWidth="1"/>
    <col min="13059" max="13059" width="13.33203125" customWidth="1"/>
    <col min="13062" max="13062" width="10.33203125" customWidth="1"/>
    <col min="13063" max="13063" width="10" customWidth="1"/>
    <col min="13313" max="13313" width="2.88671875" customWidth="1"/>
    <col min="13314" max="13314" width="8.6640625" customWidth="1"/>
    <col min="13315" max="13315" width="13.33203125" customWidth="1"/>
    <col min="13318" max="13318" width="10.33203125" customWidth="1"/>
    <col min="13319" max="13319" width="10" customWidth="1"/>
    <col min="13569" max="13569" width="2.88671875" customWidth="1"/>
    <col min="13570" max="13570" width="8.6640625" customWidth="1"/>
    <col min="13571" max="13571" width="13.33203125" customWidth="1"/>
    <col min="13574" max="13574" width="10.33203125" customWidth="1"/>
    <col min="13575" max="13575" width="10" customWidth="1"/>
    <col min="13825" max="13825" width="2.88671875" customWidth="1"/>
    <col min="13826" max="13826" width="8.6640625" customWidth="1"/>
    <col min="13827" max="13827" width="13.33203125" customWidth="1"/>
    <col min="13830" max="13830" width="10.33203125" customWidth="1"/>
    <col min="13831" max="13831" width="10" customWidth="1"/>
    <col min="14081" max="14081" width="2.88671875" customWidth="1"/>
    <col min="14082" max="14082" width="8.6640625" customWidth="1"/>
    <col min="14083" max="14083" width="13.33203125" customWidth="1"/>
    <col min="14086" max="14086" width="10.33203125" customWidth="1"/>
    <col min="14087" max="14087" width="10" customWidth="1"/>
    <col min="14337" max="14337" width="2.88671875" customWidth="1"/>
    <col min="14338" max="14338" width="8.6640625" customWidth="1"/>
    <col min="14339" max="14339" width="13.33203125" customWidth="1"/>
    <col min="14342" max="14342" width="10.33203125" customWidth="1"/>
    <col min="14343" max="14343" width="10" customWidth="1"/>
    <col min="14593" max="14593" width="2.88671875" customWidth="1"/>
    <col min="14594" max="14594" width="8.6640625" customWidth="1"/>
    <col min="14595" max="14595" width="13.33203125" customWidth="1"/>
    <col min="14598" max="14598" width="10.33203125" customWidth="1"/>
    <col min="14599" max="14599" width="10" customWidth="1"/>
    <col min="14849" max="14849" width="2.88671875" customWidth="1"/>
    <col min="14850" max="14850" width="8.6640625" customWidth="1"/>
    <col min="14851" max="14851" width="13.33203125" customWidth="1"/>
    <col min="14854" max="14854" width="10.33203125" customWidth="1"/>
    <col min="14855" max="14855" width="10" customWidth="1"/>
    <col min="15105" max="15105" width="2.88671875" customWidth="1"/>
    <col min="15106" max="15106" width="8.6640625" customWidth="1"/>
    <col min="15107" max="15107" width="13.33203125" customWidth="1"/>
    <col min="15110" max="15110" width="10.33203125" customWidth="1"/>
    <col min="15111" max="15111" width="10" customWidth="1"/>
    <col min="15361" max="15361" width="2.88671875" customWidth="1"/>
    <col min="15362" max="15362" width="8.6640625" customWidth="1"/>
    <col min="15363" max="15363" width="13.33203125" customWidth="1"/>
    <col min="15366" max="15366" width="10.33203125" customWidth="1"/>
    <col min="15367" max="15367" width="10" customWidth="1"/>
    <col min="15617" max="15617" width="2.88671875" customWidth="1"/>
    <col min="15618" max="15618" width="8.6640625" customWidth="1"/>
    <col min="15619" max="15619" width="13.33203125" customWidth="1"/>
    <col min="15622" max="15622" width="10.33203125" customWidth="1"/>
    <col min="15623" max="15623" width="10" customWidth="1"/>
    <col min="15873" max="15873" width="2.88671875" customWidth="1"/>
    <col min="15874" max="15874" width="8.6640625" customWidth="1"/>
    <col min="15875" max="15875" width="13.33203125" customWidth="1"/>
    <col min="15878" max="15878" width="10.33203125" customWidth="1"/>
    <col min="15879" max="15879" width="10" customWidth="1"/>
    <col min="16129" max="16129" width="2.88671875" customWidth="1"/>
    <col min="16130" max="16130" width="8.6640625" customWidth="1"/>
    <col min="16131" max="16131" width="13.33203125" customWidth="1"/>
    <col min="16134" max="16134" width="10.33203125" customWidth="1"/>
    <col min="16135" max="16135" width="10" customWidth="1"/>
  </cols>
  <sheetData>
    <row r="1" spans="1:6" s="84" customFormat="1" ht="13.8" x14ac:dyDescent="0.25"/>
    <row r="2" spans="1:6" s="84" customFormat="1" ht="13.8" x14ac:dyDescent="0.25">
      <c r="A2" s="84" t="s">
        <v>101</v>
      </c>
      <c r="B2" s="84" t="s">
        <v>10</v>
      </c>
      <c r="D2" s="84">
        <v>180</v>
      </c>
    </row>
    <row r="3" spans="1:6" s="84" customFormat="1" ht="13.8" x14ac:dyDescent="0.25">
      <c r="B3" s="84" t="s">
        <v>12</v>
      </c>
      <c r="D3" s="84">
        <f>5*170</f>
        <v>850</v>
      </c>
    </row>
    <row r="4" spans="1:6" s="84" customFormat="1" ht="13.8" x14ac:dyDescent="0.25">
      <c r="B4" s="84" t="s">
        <v>13</v>
      </c>
      <c r="D4" s="84">
        <f>5*75</f>
        <v>375</v>
      </c>
    </row>
    <row r="5" spans="1:6" s="84" customFormat="1" ht="13.8" x14ac:dyDescent="0.25">
      <c r="B5" s="84" t="s">
        <v>11</v>
      </c>
      <c r="D5" s="84">
        <f>SUM(D2:D4)</f>
        <v>1405</v>
      </c>
    </row>
    <row r="6" spans="1:6" s="84" customFormat="1" ht="13.8" x14ac:dyDescent="0.25"/>
    <row r="7" spans="1:6" s="84" customFormat="1" ht="13.8" x14ac:dyDescent="0.25">
      <c r="B7" s="84" t="s">
        <v>14</v>
      </c>
      <c r="D7" s="84">
        <f>1850-1405</f>
        <v>445</v>
      </c>
    </row>
    <row r="8" spans="1:6" s="84" customFormat="1" ht="13.8" x14ac:dyDescent="0.25"/>
    <row r="9" spans="1:6" s="84" customFormat="1" ht="13.8" x14ac:dyDescent="0.25">
      <c r="A9" s="84" t="s">
        <v>102</v>
      </c>
      <c r="B9" s="84" t="s">
        <v>15</v>
      </c>
      <c r="D9" s="84">
        <f>445*6000</f>
        <v>2670000</v>
      </c>
    </row>
    <row r="10" spans="1:6" s="84" customFormat="1" ht="13.8" x14ac:dyDescent="0.25">
      <c r="B10" s="84" t="s">
        <v>16</v>
      </c>
      <c r="D10" s="84">
        <v>2000000</v>
      </c>
    </row>
    <row r="11" spans="1:6" s="84" customFormat="1" ht="14.4" thickBot="1" x14ac:dyDescent="0.3">
      <c r="B11" s="85" t="s">
        <v>103</v>
      </c>
      <c r="C11" s="85"/>
      <c r="D11" s="85">
        <f>D9-D10</f>
        <v>670000</v>
      </c>
    </row>
    <row r="12" spans="1:6" s="84" customFormat="1" ht="14.4" thickTop="1" x14ac:dyDescent="0.25"/>
    <row r="13" spans="1:6" s="84" customFormat="1" ht="13.8" x14ac:dyDescent="0.25"/>
    <row r="14" spans="1:6" s="84" customFormat="1" ht="13.8" x14ac:dyDescent="0.25">
      <c r="A14" s="84" t="s">
        <v>104</v>
      </c>
      <c r="B14" s="84" t="s">
        <v>17</v>
      </c>
    </row>
    <row r="15" spans="1:6" s="84" customFormat="1" ht="13.8" x14ac:dyDescent="0.25"/>
    <row r="16" spans="1:6" s="84" customFormat="1" ht="15.6" x14ac:dyDescent="0.3">
      <c r="B16" s="8" t="s">
        <v>80</v>
      </c>
      <c r="C16" s="1"/>
      <c r="D16" s="1"/>
      <c r="E16" s="1"/>
      <c r="F16" s="1"/>
    </row>
    <row r="17" spans="2:8" s="84" customFormat="1" ht="15.6" x14ac:dyDescent="0.3">
      <c r="B17" s="76" t="s">
        <v>18</v>
      </c>
      <c r="C17" s="76" t="s">
        <v>280</v>
      </c>
      <c r="D17" s="76" t="s">
        <v>82</v>
      </c>
      <c r="E17" s="77" t="s">
        <v>232</v>
      </c>
      <c r="F17" s="77" t="s">
        <v>219</v>
      </c>
    </row>
    <row r="18" spans="2:8" s="84" customFormat="1" ht="15.6" x14ac:dyDescent="0.3">
      <c r="B18" s="78" t="s">
        <v>196</v>
      </c>
      <c r="C18" s="78" t="s">
        <v>83</v>
      </c>
      <c r="D18" s="78" t="s">
        <v>196</v>
      </c>
      <c r="E18" s="78"/>
      <c r="F18" s="78"/>
    </row>
    <row r="19" spans="2:8" s="84" customFormat="1" ht="15.6" x14ac:dyDescent="0.3">
      <c r="B19" s="71" t="s">
        <v>281</v>
      </c>
      <c r="C19" s="71" t="s">
        <v>282</v>
      </c>
      <c r="D19" s="71" t="s">
        <v>283</v>
      </c>
      <c r="E19" s="71" t="s">
        <v>262</v>
      </c>
      <c r="F19" s="71" t="s">
        <v>263</v>
      </c>
    </row>
    <row r="20" spans="2:8" s="84" customFormat="1" ht="15.6" x14ac:dyDescent="0.3">
      <c r="B20" s="86">
        <v>1260000</v>
      </c>
      <c r="C20" s="86">
        <v>1500000</v>
      </c>
      <c r="D20" s="86">
        <v>1550000</v>
      </c>
      <c r="E20" s="4">
        <f>B20-C20</f>
        <v>-240000</v>
      </c>
      <c r="F20" s="4">
        <f>C20-D20</f>
        <v>-50000</v>
      </c>
    </row>
    <row r="21" spans="2:8" s="84" customFormat="1" ht="13.8" x14ac:dyDescent="0.25">
      <c r="C21" s="84" t="s">
        <v>105</v>
      </c>
    </row>
    <row r="22" spans="2:8" s="84" customFormat="1" ht="13.8" x14ac:dyDescent="0.25"/>
    <row r="23" spans="2:8" s="84" customFormat="1" ht="15.6" x14ac:dyDescent="0.3">
      <c r="B23" s="73" t="s">
        <v>87</v>
      </c>
      <c r="C23" s="72"/>
      <c r="D23" s="72"/>
      <c r="E23" s="72"/>
      <c r="F23" s="72"/>
    </row>
    <row r="24" spans="2:8" s="84" customFormat="1" ht="15.6" x14ac:dyDescent="0.3">
      <c r="B24" s="76" t="s">
        <v>18</v>
      </c>
      <c r="C24" s="76" t="str">
        <f>C17</f>
        <v>Virkelig forbr.</v>
      </c>
      <c r="D24" s="82" t="s">
        <v>82</v>
      </c>
      <c r="E24" s="82" t="s">
        <v>221</v>
      </c>
      <c r="F24" s="76" t="s">
        <v>53</v>
      </c>
    </row>
    <row r="25" spans="2:8" s="84" customFormat="1" ht="15.6" x14ac:dyDescent="0.3">
      <c r="B25" s="78" t="s">
        <v>196</v>
      </c>
      <c r="C25" s="78" t="s">
        <v>111</v>
      </c>
      <c r="D25" s="78" t="s">
        <v>196</v>
      </c>
      <c r="E25" s="81"/>
      <c r="F25" s="78" t="s">
        <v>54</v>
      </c>
    </row>
    <row r="26" spans="2:8" s="84" customFormat="1" ht="15.6" x14ac:dyDescent="0.3">
      <c r="B26" s="13" t="s">
        <v>284</v>
      </c>
      <c r="C26" s="13" t="s">
        <v>285</v>
      </c>
      <c r="D26" s="13" t="s">
        <v>286</v>
      </c>
      <c r="E26" s="71" t="s">
        <v>262</v>
      </c>
      <c r="F26" s="71" t="s">
        <v>263</v>
      </c>
    </row>
    <row r="27" spans="2:8" s="84" customFormat="1" ht="15.6" x14ac:dyDescent="0.3">
      <c r="B27" s="86">
        <v>5950000</v>
      </c>
      <c r="C27" s="86">
        <v>6162500</v>
      </c>
      <c r="D27" s="86">
        <v>6235000</v>
      </c>
      <c r="E27" s="4">
        <f>B27-C27</f>
        <v>-212500</v>
      </c>
      <c r="F27" s="4">
        <f>C27-D27</f>
        <v>-72500</v>
      </c>
    </row>
    <row r="28" spans="2:8" s="84" customFormat="1" ht="13.8" x14ac:dyDescent="0.25">
      <c r="C28" s="84" t="s">
        <v>106</v>
      </c>
    </row>
    <row r="29" spans="2:8" s="84" customFormat="1" ht="13.8" x14ac:dyDescent="0.25"/>
    <row r="30" spans="2:8" s="84" customFormat="1" ht="27.6" x14ac:dyDescent="0.3">
      <c r="B30" s="1"/>
      <c r="C30" s="1"/>
      <c r="D30" s="125" t="s">
        <v>265</v>
      </c>
      <c r="E30" s="126" t="s">
        <v>266</v>
      </c>
      <c r="F30" s="126" t="s">
        <v>267</v>
      </c>
      <c r="G30" s="126" t="s">
        <v>19</v>
      </c>
      <c r="H30" s="126" t="s">
        <v>20</v>
      </c>
    </row>
    <row r="31" spans="2:8" s="84" customFormat="1" ht="17.399999999999999" x14ac:dyDescent="0.3">
      <c r="B31" s="9"/>
      <c r="C31" s="10"/>
      <c r="D31" s="90" t="s">
        <v>112</v>
      </c>
      <c r="E31" s="90" t="s">
        <v>113</v>
      </c>
      <c r="F31" s="90" t="s">
        <v>193</v>
      </c>
      <c r="G31" s="71" t="s">
        <v>262</v>
      </c>
      <c r="H31" s="71" t="s">
        <v>263</v>
      </c>
    </row>
    <row r="32" spans="2:8" s="84" customFormat="1" ht="15.6" x14ac:dyDescent="0.3">
      <c r="B32" s="9" t="s">
        <v>205</v>
      </c>
      <c r="C32" s="10"/>
      <c r="D32" s="86">
        <v>2625000</v>
      </c>
      <c r="E32" s="86">
        <f>F34</f>
        <v>2718750</v>
      </c>
      <c r="F32" s="86">
        <v>2537500</v>
      </c>
      <c r="G32" s="86">
        <f>D32-E32</f>
        <v>-93750</v>
      </c>
      <c r="H32" s="86">
        <f>E32-F32</f>
        <v>181250</v>
      </c>
    </row>
    <row r="33" spans="2:9" s="84" customFormat="1" ht="13.8" x14ac:dyDescent="0.25"/>
    <row r="34" spans="2:9" s="116" customFormat="1" ht="17.399999999999999" x14ac:dyDescent="0.35">
      <c r="B34" s="89" t="s">
        <v>273</v>
      </c>
      <c r="C34" s="84"/>
      <c r="D34" s="84"/>
      <c r="F34" s="84">
        <f>36250*75</f>
        <v>2718750</v>
      </c>
      <c r="H34" s="84"/>
      <c r="I34" s="88"/>
    </row>
    <row r="35" spans="2:9" s="116" customFormat="1" ht="13.8" x14ac:dyDescent="0.25">
      <c r="B35" s="87"/>
      <c r="C35" s="87"/>
      <c r="D35" s="87"/>
      <c r="E35" s="87"/>
      <c r="F35" s="87"/>
      <c r="G35" s="87"/>
      <c r="H35" s="87"/>
    </row>
    <row r="36" spans="2:9" s="116" customFormat="1" ht="13.8" x14ac:dyDescent="0.25">
      <c r="B36" s="87"/>
      <c r="C36" s="87"/>
      <c r="D36" s="87"/>
      <c r="E36" s="87"/>
      <c r="F36" s="87"/>
      <c r="G36" s="87"/>
      <c r="H36" s="87"/>
    </row>
    <row r="37" spans="2:9" s="116" customFormat="1" ht="13.8" x14ac:dyDescent="0.25">
      <c r="B37" s="87" t="s">
        <v>229</v>
      </c>
      <c r="C37" s="84"/>
      <c r="D37" s="84"/>
      <c r="E37" s="84">
        <f>D11</f>
        <v>670000</v>
      </c>
      <c r="F37" s="84"/>
      <c r="G37" s="84"/>
      <c r="H37" s="87"/>
    </row>
    <row r="38" spans="2:9" s="116" customFormat="1" ht="13.8" x14ac:dyDescent="0.25">
      <c r="B38" s="87" t="s">
        <v>242</v>
      </c>
      <c r="C38" s="84"/>
      <c r="D38" s="84"/>
      <c r="E38" s="84">
        <v>-50000</v>
      </c>
      <c r="F38" s="84"/>
      <c r="G38" s="84"/>
      <c r="H38" s="87"/>
    </row>
    <row r="39" spans="2:9" s="116" customFormat="1" ht="13.8" x14ac:dyDescent="0.25">
      <c r="B39" s="87" t="s">
        <v>232</v>
      </c>
      <c r="C39" s="84"/>
      <c r="D39" s="84"/>
      <c r="E39" s="84">
        <v>-240000</v>
      </c>
      <c r="F39" s="84"/>
      <c r="G39" s="84"/>
      <c r="H39" s="87"/>
    </row>
    <row r="40" spans="2:9" s="116" customFormat="1" ht="13.8" x14ac:dyDescent="0.25">
      <c r="B40" s="87" t="s">
        <v>220</v>
      </c>
      <c r="C40" s="84"/>
      <c r="D40" s="84"/>
      <c r="E40" s="84">
        <v>-72500</v>
      </c>
      <c r="F40" s="84"/>
      <c r="G40" s="84"/>
      <c r="H40" s="87"/>
    </row>
    <row r="41" spans="2:9" s="116" customFormat="1" ht="13.8" x14ac:dyDescent="0.25">
      <c r="B41" s="87" t="s">
        <v>221</v>
      </c>
      <c r="C41" s="84"/>
      <c r="D41" s="84"/>
      <c r="E41" s="84">
        <v>-212500</v>
      </c>
      <c r="F41" s="84"/>
      <c r="G41" s="84"/>
      <c r="H41" s="87"/>
    </row>
    <row r="42" spans="2:9" s="116" customFormat="1" ht="13.8" x14ac:dyDescent="0.25">
      <c r="B42" s="87" t="s">
        <v>107</v>
      </c>
      <c r="C42" s="84"/>
      <c r="D42" s="84"/>
      <c r="E42" s="84">
        <v>181250</v>
      </c>
      <c r="F42" s="84"/>
      <c r="G42" s="84"/>
      <c r="H42" s="87"/>
    </row>
    <row r="43" spans="2:9" s="116" customFormat="1" ht="13.8" x14ac:dyDescent="0.25">
      <c r="B43" s="89" t="s">
        <v>108</v>
      </c>
      <c r="C43" s="84"/>
      <c r="D43" s="84"/>
      <c r="E43" s="84">
        <v>-93750</v>
      </c>
      <c r="F43" s="84"/>
      <c r="G43" s="84"/>
      <c r="H43" s="87"/>
    </row>
    <row r="44" spans="2:9" s="116" customFormat="1" ht="13.8" x14ac:dyDescent="0.25">
      <c r="B44" s="87" t="s">
        <v>109</v>
      </c>
      <c r="C44" s="84"/>
      <c r="D44" s="84"/>
      <c r="E44" s="84">
        <v>-50000</v>
      </c>
      <c r="F44" s="84"/>
      <c r="G44" s="84"/>
      <c r="H44" s="87"/>
    </row>
    <row r="45" spans="2:9" s="116" customFormat="1" ht="13.8" x14ac:dyDescent="0.25">
      <c r="B45" s="87" t="s">
        <v>234</v>
      </c>
      <c r="C45" s="84"/>
      <c r="D45" s="84"/>
      <c r="E45" s="84">
        <v>-350000</v>
      </c>
      <c r="F45" s="84" t="s">
        <v>22</v>
      </c>
      <c r="G45" s="84"/>
      <c r="H45" s="87"/>
    </row>
    <row r="46" spans="2:9" s="116" customFormat="1" ht="13.8" x14ac:dyDescent="0.25">
      <c r="B46" s="87" t="s">
        <v>293</v>
      </c>
      <c r="C46" s="84"/>
      <c r="D46" s="84"/>
      <c r="E46" s="84">
        <v>445000</v>
      </c>
      <c r="F46" s="84" t="s">
        <v>21</v>
      </c>
      <c r="G46" s="84"/>
      <c r="H46" s="87"/>
    </row>
    <row r="47" spans="2:9" s="116" customFormat="1" ht="14.4" thickBot="1" x14ac:dyDescent="0.3">
      <c r="B47" s="87" t="s">
        <v>110</v>
      </c>
      <c r="C47" s="84"/>
      <c r="D47" s="84"/>
      <c r="E47" s="85">
        <f>SUM(E37:E46)</f>
        <v>227500</v>
      </c>
      <c r="F47" s="84"/>
      <c r="G47" s="84"/>
      <c r="H47" s="87"/>
    </row>
    <row r="48" spans="2:9" s="116" customFormat="1" ht="14.4" thickTop="1" x14ac:dyDescent="0.25"/>
    <row r="49" spans="2:2" ht="13.8" x14ac:dyDescent="0.25">
      <c r="B49" s="123" t="s">
        <v>23</v>
      </c>
    </row>
  </sheetData>
  <phoneticPr fontId="22" type="noConversion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N112"/>
  <sheetViews>
    <sheetView zoomScale="96" zoomScaleNormal="96" zoomScalePageLayoutView="150" workbookViewId="0">
      <selection activeCell="L30" sqref="L30"/>
    </sheetView>
  </sheetViews>
  <sheetFormatPr baseColWidth="10" defaultColWidth="11.44140625" defaultRowHeight="13.8" x14ac:dyDescent="0.25"/>
  <cols>
    <col min="1" max="1" width="5.109375" style="129" customWidth="1"/>
    <col min="2" max="2" width="17.44140625" style="129" customWidth="1"/>
    <col min="3" max="3" width="22.44140625" style="129" customWidth="1"/>
    <col min="4" max="4" width="15.44140625" style="129" customWidth="1"/>
    <col min="5" max="5" width="16.88671875" style="129" bestFit="1" customWidth="1"/>
    <col min="6" max="6" width="16.6640625" style="129" customWidth="1"/>
    <col min="7" max="7" width="14.44140625" style="129" customWidth="1"/>
    <col min="8" max="8" width="11.44140625" style="129" customWidth="1"/>
    <col min="9" max="9" width="10.33203125" style="129" customWidth="1"/>
    <col min="10" max="10" width="8.6640625" style="129" customWidth="1"/>
    <col min="11" max="14" width="9.6640625" style="129" customWidth="1"/>
    <col min="15" max="15" width="11.44140625" style="129"/>
    <col min="16" max="16" width="16.44140625" style="129" customWidth="1"/>
    <col min="17" max="17" width="20" style="129" customWidth="1"/>
    <col min="18" max="18" width="19.33203125" style="129" customWidth="1"/>
    <col min="19" max="19" width="19.44140625" style="129" customWidth="1"/>
    <col min="20" max="20" width="22.44140625" style="129" customWidth="1"/>
    <col min="21" max="16384" width="11.44140625" style="129"/>
  </cols>
  <sheetData>
    <row r="1" spans="1:9" x14ac:dyDescent="0.25">
      <c r="A1" s="129" t="s">
        <v>216</v>
      </c>
      <c r="B1" s="130"/>
      <c r="C1" s="131"/>
      <c r="D1" s="131"/>
      <c r="E1" s="131"/>
      <c r="F1" s="132" t="s">
        <v>56</v>
      </c>
      <c r="G1" s="131"/>
      <c r="H1" s="131"/>
      <c r="I1" s="132" t="s">
        <v>55</v>
      </c>
    </row>
    <row r="2" spans="1:9" x14ac:dyDescent="0.25">
      <c r="B2" s="133" t="s">
        <v>187</v>
      </c>
      <c r="C2" s="134"/>
      <c r="D2" s="134"/>
      <c r="E2" s="134" t="s">
        <v>57</v>
      </c>
      <c r="F2" s="135">
        <v>80</v>
      </c>
      <c r="G2" s="133" t="s">
        <v>58</v>
      </c>
      <c r="H2" s="134"/>
      <c r="I2" s="136">
        <v>40</v>
      </c>
    </row>
    <row r="3" spans="1:9" x14ac:dyDescent="0.25">
      <c r="B3" s="137" t="s">
        <v>188</v>
      </c>
      <c r="C3" s="138"/>
      <c r="D3" s="138"/>
      <c r="E3" s="138" t="s">
        <v>172</v>
      </c>
      <c r="F3" s="139">
        <f>225/3</f>
        <v>75</v>
      </c>
      <c r="G3" s="137" t="s">
        <v>95</v>
      </c>
      <c r="H3" s="138"/>
      <c r="I3" s="139">
        <f>225*2/3</f>
        <v>150</v>
      </c>
    </row>
    <row r="4" spans="1:9" x14ac:dyDescent="0.25">
      <c r="B4" s="137" t="s">
        <v>59</v>
      </c>
      <c r="C4" s="138"/>
      <c r="D4" s="138"/>
      <c r="E4" s="138" t="s">
        <v>173</v>
      </c>
      <c r="F4" s="135">
        <f>45/3</f>
        <v>15</v>
      </c>
      <c r="G4" s="137" t="s">
        <v>96</v>
      </c>
      <c r="H4" s="138"/>
      <c r="I4" s="135">
        <f>45*2/3</f>
        <v>30</v>
      </c>
    </row>
    <row r="5" spans="1:9" x14ac:dyDescent="0.25">
      <c r="B5" s="137" t="s">
        <v>174</v>
      </c>
      <c r="C5" s="138"/>
      <c r="D5" s="138"/>
      <c r="E5" s="138"/>
      <c r="F5" s="140">
        <f>SUM(F2:F4)</f>
        <v>170</v>
      </c>
      <c r="G5" s="137"/>
      <c r="H5" s="138"/>
      <c r="I5" s="140">
        <f>SUM(I2:I4)</f>
        <v>220</v>
      </c>
    </row>
    <row r="6" spans="1:9" x14ac:dyDescent="0.25">
      <c r="B6" s="137"/>
      <c r="C6" s="138"/>
      <c r="D6" s="138"/>
      <c r="E6" s="138"/>
      <c r="F6" s="135"/>
      <c r="G6" s="137"/>
      <c r="H6" s="138"/>
      <c r="I6" s="135"/>
    </row>
    <row r="7" spans="1:9" x14ac:dyDescent="0.25">
      <c r="B7" s="137" t="s">
        <v>175</v>
      </c>
      <c r="C7" s="138"/>
      <c r="D7" s="138"/>
      <c r="E7" s="138"/>
      <c r="F7" s="139">
        <v>300</v>
      </c>
      <c r="G7" s="137"/>
      <c r="H7" s="138"/>
      <c r="I7" s="139">
        <v>400</v>
      </c>
    </row>
    <row r="8" spans="1:9" x14ac:dyDescent="0.25">
      <c r="B8" s="137"/>
      <c r="C8" s="138"/>
      <c r="D8" s="138"/>
      <c r="E8" s="138"/>
      <c r="F8" s="139"/>
      <c r="G8" s="137"/>
      <c r="H8" s="138"/>
      <c r="I8" s="139"/>
    </row>
    <row r="9" spans="1:9" x14ac:dyDescent="0.25">
      <c r="B9" s="141" t="s">
        <v>227</v>
      </c>
      <c r="C9" s="142"/>
      <c r="D9" s="142"/>
      <c r="E9" s="142"/>
      <c r="F9" s="143">
        <f>F7-F5</f>
        <v>130</v>
      </c>
      <c r="G9" s="141"/>
      <c r="H9" s="142"/>
      <c r="I9" s="143">
        <f>I7-I5</f>
        <v>180</v>
      </c>
    </row>
    <row r="11" spans="1:9" x14ac:dyDescent="0.25">
      <c r="B11" s="129" t="s">
        <v>176</v>
      </c>
      <c r="G11" s="222">
        <f>540000/12000</f>
        <v>45</v>
      </c>
    </row>
    <row r="13" spans="1:9" ht="14.4" thickBot="1" x14ac:dyDescent="0.3">
      <c r="A13" s="129" t="s">
        <v>218</v>
      </c>
      <c r="B13" s="144" t="s">
        <v>177</v>
      </c>
    </row>
    <row r="14" spans="1:9" ht="14.4" thickBot="1" x14ac:dyDescent="0.3">
      <c r="B14" s="145"/>
      <c r="C14" s="146"/>
      <c r="D14" s="146"/>
      <c r="E14" s="257" t="s">
        <v>62</v>
      </c>
      <c r="F14" s="258"/>
      <c r="G14" s="257" t="s">
        <v>63</v>
      </c>
      <c r="H14" s="258"/>
      <c r="I14" s="147" t="s">
        <v>64</v>
      </c>
    </row>
    <row r="15" spans="1:9" x14ac:dyDescent="0.25">
      <c r="B15" s="148" t="s">
        <v>60</v>
      </c>
      <c r="C15" s="149"/>
      <c r="D15" s="149"/>
      <c r="E15" s="238"/>
      <c r="F15" s="239">
        <f>1500*300</f>
        <v>450000</v>
      </c>
      <c r="G15" s="238"/>
      <c r="H15" s="239"/>
      <c r="I15" s="150">
        <f>SUM(F15)</f>
        <v>450000</v>
      </c>
    </row>
    <row r="16" spans="1:9" x14ac:dyDescent="0.25">
      <c r="B16" s="151" t="s">
        <v>61</v>
      </c>
      <c r="C16" s="131"/>
      <c r="D16" s="131"/>
      <c r="E16" s="152"/>
      <c r="F16" s="153"/>
      <c r="G16" s="152"/>
      <c r="H16" s="153">
        <f>500*400</f>
        <v>200000</v>
      </c>
      <c r="I16" s="154">
        <f>SUM(H16)</f>
        <v>200000</v>
      </c>
    </row>
    <row r="17" spans="1:14" x14ac:dyDescent="0.25">
      <c r="B17" s="151" t="s">
        <v>187</v>
      </c>
      <c r="C17" s="131"/>
      <c r="D17" s="131"/>
      <c r="E17" s="152">
        <f>2000*F2</f>
        <v>160000</v>
      </c>
      <c r="F17" s="153"/>
      <c r="G17" s="152">
        <f>500*I2</f>
        <v>20000</v>
      </c>
      <c r="H17" s="153"/>
      <c r="I17" s="154"/>
    </row>
    <row r="18" spans="1:14" x14ac:dyDescent="0.25">
      <c r="B18" s="151" t="s">
        <v>188</v>
      </c>
      <c r="C18" s="131"/>
      <c r="D18" s="131"/>
      <c r="E18" s="152">
        <f>2000*F3</f>
        <v>150000</v>
      </c>
      <c r="F18" s="153"/>
      <c r="G18" s="152">
        <f>500*I3</f>
        <v>75000</v>
      </c>
      <c r="H18" s="153"/>
      <c r="I18" s="154"/>
    </row>
    <row r="19" spans="1:14" x14ac:dyDescent="0.25">
      <c r="B19" s="151" t="s">
        <v>65</v>
      </c>
      <c r="C19" s="131"/>
      <c r="D19" s="131"/>
      <c r="E19" s="152">
        <f>2000*F4</f>
        <v>30000</v>
      </c>
      <c r="F19" s="153"/>
      <c r="G19" s="152">
        <f>500*I4</f>
        <v>15000</v>
      </c>
      <c r="H19" s="153"/>
      <c r="I19" s="154"/>
    </row>
    <row r="20" spans="1:14" x14ac:dyDescent="0.25">
      <c r="B20" s="151" t="s">
        <v>178</v>
      </c>
      <c r="C20" s="131"/>
      <c r="D20" s="131"/>
      <c r="E20" s="152">
        <f>SUM(E17:E19)</f>
        <v>340000</v>
      </c>
      <c r="F20" s="153"/>
      <c r="G20" s="152">
        <f>SUM(G17:G19)</f>
        <v>110000</v>
      </c>
      <c r="H20" s="153"/>
      <c r="I20" s="154"/>
    </row>
    <row r="21" spans="1:14" x14ac:dyDescent="0.25">
      <c r="B21" s="151" t="s">
        <v>179</v>
      </c>
      <c r="C21" s="131"/>
      <c r="D21" s="131"/>
      <c r="E21" s="152">
        <f>-500*170</f>
        <v>-85000</v>
      </c>
      <c r="F21" s="153"/>
      <c r="G21" s="152"/>
      <c r="H21" s="153"/>
      <c r="I21" s="154"/>
    </row>
    <row r="22" spans="1:14" x14ac:dyDescent="0.25">
      <c r="B22" s="151" t="s">
        <v>207</v>
      </c>
      <c r="C22" s="131"/>
      <c r="D22" s="131"/>
      <c r="E22" s="152">
        <f>SUM(E20:E21)</f>
        <v>255000</v>
      </c>
      <c r="F22" s="153">
        <f>E22</f>
        <v>255000</v>
      </c>
      <c r="G22" s="152">
        <f>SUM(G20)</f>
        <v>110000</v>
      </c>
      <c r="H22" s="153">
        <f>G22</f>
        <v>110000</v>
      </c>
      <c r="I22" s="154">
        <f>F22+H22</f>
        <v>365000</v>
      </c>
    </row>
    <row r="23" spans="1:14" ht="14.4" thickBot="1" x14ac:dyDescent="0.3">
      <c r="B23" s="155" t="s">
        <v>227</v>
      </c>
      <c r="C23" s="156"/>
      <c r="D23" s="156"/>
      <c r="E23" s="157"/>
      <c r="F23" s="158">
        <f>F15-F22</f>
        <v>195000</v>
      </c>
      <c r="G23" s="157"/>
      <c r="H23" s="158">
        <f>H16-H22</f>
        <v>90000</v>
      </c>
      <c r="I23" s="154">
        <f>SUM(F23:H23)</f>
        <v>285000</v>
      </c>
    </row>
    <row r="24" spans="1:14" x14ac:dyDescent="0.25">
      <c r="B24" s="159"/>
      <c r="C24" s="160"/>
      <c r="D24" s="160"/>
      <c r="E24" s="161"/>
      <c r="F24" s="161"/>
      <c r="G24" s="161"/>
      <c r="H24" s="240"/>
      <c r="I24" s="154"/>
    </row>
    <row r="25" spans="1:14" x14ac:dyDescent="0.25">
      <c r="B25" s="151" t="s">
        <v>228</v>
      </c>
      <c r="C25" s="131" t="s">
        <v>198</v>
      </c>
      <c r="D25" s="162" t="s">
        <v>180</v>
      </c>
      <c r="E25" s="162"/>
      <c r="F25" s="162"/>
      <c r="G25" s="162"/>
      <c r="H25" s="241"/>
      <c r="I25" s="154">
        <f>1500000/12</f>
        <v>125000</v>
      </c>
    </row>
    <row r="26" spans="1:14" x14ac:dyDescent="0.25">
      <c r="B26" s="163"/>
      <c r="C26" s="164" t="s">
        <v>200</v>
      </c>
      <c r="D26" s="165" t="s">
        <v>181</v>
      </c>
      <c r="E26" s="162"/>
      <c r="F26" s="165"/>
      <c r="G26" s="165"/>
      <c r="H26" s="242"/>
      <c r="I26" s="154">
        <v>120000</v>
      </c>
    </row>
    <row r="27" spans="1:14" ht="14.4" thickBot="1" x14ac:dyDescent="0.3">
      <c r="B27" s="166" t="s">
        <v>182</v>
      </c>
      <c r="C27" s="167"/>
      <c r="D27" s="167"/>
      <c r="E27" s="168"/>
      <c r="F27" s="168"/>
      <c r="G27" s="168"/>
      <c r="H27" s="243"/>
      <c r="I27" s="169">
        <f>I23-I25-I26</f>
        <v>40000</v>
      </c>
    </row>
    <row r="28" spans="1:14" x14ac:dyDescent="0.25">
      <c r="B28" s="160"/>
      <c r="C28" s="160"/>
      <c r="D28" s="160"/>
      <c r="E28" s="161"/>
      <c r="F28" s="161"/>
      <c r="G28" s="161"/>
      <c r="H28" s="161"/>
      <c r="I28" s="161"/>
    </row>
    <row r="29" spans="1:14" x14ac:dyDescent="0.25">
      <c r="A29" s="129" t="s">
        <v>222</v>
      </c>
      <c r="B29" s="144" t="s">
        <v>80</v>
      </c>
    </row>
    <row r="30" spans="1:14" x14ac:dyDescent="0.25">
      <c r="B30" s="170" t="s">
        <v>66</v>
      </c>
      <c r="C30" s="170" t="s">
        <v>279</v>
      </c>
      <c r="D30" s="170" t="s">
        <v>82</v>
      </c>
      <c r="E30" s="171" t="s">
        <v>232</v>
      </c>
      <c r="F30" s="171" t="s">
        <v>219</v>
      </c>
      <c r="K30" s="172"/>
      <c r="L30" s="172"/>
      <c r="M30" s="172"/>
      <c r="N30" s="172"/>
    </row>
    <row r="31" spans="1:14" x14ac:dyDescent="0.25">
      <c r="B31" s="173" t="s">
        <v>259</v>
      </c>
      <c r="C31" s="173" t="s">
        <v>260</v>
      </c>
      <c r="D31" s="173" t="s">
        <v>261</v>
      </c>
      <c r="E31" s="173"/>
      <c r="F31" s="173"/>
      <c r="K31" s="161"/>
      <c r="L31" s="161"/>
      <c r="M31" s="161"/>
      <c r="N31" s="161"/>
    </row>
    <row r="32" spans="1:14" x14ac:dyDescent="0.25">
      <c r="B32" s="174" t="s">
        <v>84</v>
      </c>
      <c r="C32" s="174" t="s">
        <v>85</v>
      </c>
      <c r="D32" s="174" t="s">
        <v>86</v>
      </c>
      <c r="E32" s="174" t="s">
        <v>262</v>
      </c>
      <c r="F32" s="174" t="s">
        <v>263</v>
      </c>
      <c r="K32" s="161"/>
      <c r="L32" s="161"/>
      <c r="M32" s="161"/>
      <c r="N32" s="161"/>
    </row>
    <row r="33" spans="2:14" x14ac:dyDescent="0.25">
      <c r="B33" s="175">
        <v>180000</v>
      </c>
      <c r="C33" s="175">
        <v>182400</v>
      </c>
      <c r="D33" s="175">
        <v>185820</v>
      </c>
      <c r="E33" s="175">
        <v>-2400</v>
      </c>
      <c r="F33" s="175">
        <v>-3420</v>
      </c>
      <c r="K33" s="172"/>
      <c r="L33" s="172"/>
      <c r="M33" s="172"/>
      <c r="N33" s="172"/>
    </row>
    <row r="34" spans="2:14" x14ac:dyDescent="0.25">
      <c r="B34" s="176"/>
      <c r="C34" s="176"/>
      <c r="D34" s="176"/>
      <c r="E34" s="176"/>
      <c r="F34" s="176"/>
      <c r="K34" s="172"/>
      <c r="L34" s="172"/>
      <c r="M34" s="172"/>
      <c r="N34" s="172"/>
    </row>
    <row r="35" spans="2:14" x14ac:dyDescent="0.25">
      <c r="B35" s="178" t="s">
        <v>87</v>
      </c>
      <c r="C35" s="177"/>
      <c r="D35" s="177"/>
      <c r="E35" s="177"/>
      <c r="F35" s="177"/>
      <c r="K35" s="161"/>
      <c r="L35" s="161"/>
      <c r="M35" s="161"/>
      <c r="N35" s="161"/>
    </row>
    <row r="36" spans="2:14" x14ac:dyDescent="0.25">
      <c r="B36" s="170" t="s">
        <v>66</v>
      </c>
      <c r="C36" s="170" t="s">
        <v>279</v>
      </c>
      <c r="D36" s="179" t="s">
        <v>82</v>
      </c>
      <c r="E36" s="179" t="s">
        <v>221</v>
      </c>
      <c r="F36" s="170" t="s">
        <v>220</v>
      </c>
      <c r="K36" s="172"/>
      <c r="L36" s="172"/>
      <c r="M36" s="172"/>
      <c r="N36" s="172"/>
    </row>
    <row r="37" spans="2:14" x14ac:dyDescent="0.25">
      <c r="B37" s="173" t="s">
        <v>259</v>
      </c>
      <c r="C37" s="173" t="s">
        <v>264</v>
      </c>
      <c r="D37" s="173" t="s">
        <v>261</v>
      </c>
      <c r="E37" s="180"/>
      <c r="F37" s="180"/>
      <c r="K37" s="161"/>
      <c r="L37" s="161"/>
      <c r="M37" s="161"/>
      <c r="N37" s="161"/>
    </row>
    <row r="38" spans="2:14" x14ac:dyDescent="0.25">
      <c r="B38" s="174" t="s">
        <v>88</v>
      </c>
      <c r="C38" s="174" t="s">
        <v>89</v>
      </c>
      <c r="D38" s="174" t="s">
        <v>90</v>
      </c>
      <c r="E38" s="174" t="s">
        <v>262</v>
      </c>
      <c r="F38" s="174" t="s">
        <v>263</v>
      </c>
      <c r="K38" s="161"/>
      <c r="L38" s="161"/>
      <c r="M38" s="161"/>
      <c r="N38" s="161"/>
    </row>
    <row r="39" spans="2:14" x14ac:dyDescent="0.25">
      <c r="B39" s="175">
        <v>225000</v>
      </c>
      <c r="C39" s="175">
        <v>236250</v>
      </c>
      <c r="D39" s="175">
        <v>232050</v>
      </c>
      <c r="E39" s="175">
        <v>-11250</v>
      </c>
      <c r="F39" s="175">
        <v>4200</v>
      </c>
      <c r="K39" s="88"/>
      <c r="L39" s="161"/>
      <c r="M39" s="88"/>
      <c r="N39" s="161"/>
    </row>
    <row r="40" spans="2:14" x14ac:dyDescent="0.25">
      <c r="B40" s="160"/>
      <c r="C40" s="160"/>
      <c r="D40" s="160"/>
      <c r="E40" s="160"/>
      <c r="F40" s="160"/>
    </row>
    <row r="41" spans="2:14" ht="16.2" x14ac:dyDescent="0.35">
      <c r="B41" s="144" t="s">
        <v>274</v>
      </c>
      <c r="D41" s="88"/>
      <c r="E41" s="88"/>
      <c r="F41" s="88"/>
      <c r="G41" s="88"/>
    </row>
    <row r="42" spans="2:14" x14ac:dyDescent="0.25">
      <c r="B42" s="129" t="s">
        <v>67</v>
      </c>
      <c r="D42" s="88">
        <f>2000*2</f>
        <v>4000</v>
      </c>
      <c r="E42" s="88"/>
    </row>
    <row r="43" spans="2:14" x14ac:dyDescent="0.25">
      <c r="B43" s="160" t="s">
        <v>68</v>
      </c>
      <c r="C43" s="160"/>
      <c r="D43" s="161">
        <v>500</v>
      </c>
      <c r="E43" s="88"/>
    </row>
    <row r="44" spans="2:14" x14ac:dyDescent="0.25">
      <c r="B44" s="160"/>
      <c r="C44" s="160"/>
      <c r="D44" s="162">
        <f>SUM(D42:D43)</f>
        <v>4500</v>
      </c>
      <c r="E44" s="88" t="s">
        <v>184</v>
      </c>
    </row>
    <row r="45" spans="2:14" ht="16.2" x14ac:dyDescent="0.35">
      <c r="B45" s="144" t="s">
        <v>275</v>
      </c>
      <c r="D45" s="88"/>
      <c r="E45" s="88"/>
      <c r="H45" s="161"/>
    </row>
    <row r="46" spans="2:14" x14ac:dyDescent="0.25">
      <c r="B46" s="129" t="s">
        <v>183</v>
      </c>
      <c r="D46" s="88">
        <f>2000/3</f>
        <v>666.66666666666663</v>
      </c>
      <c r="E46" s="88"/>
    </row>
    <row r="47" spans="2:14" x14ac:dyDescent="0.25">
      <c r="B47" s="160" t="s">
        <v>97</v>
      </c>
      <c r="D47" s="88">
        <f>500*2/3</f>
        <v>333.33333333333331</v>
      </c>
      <c r="E47" s="88"/>
    </row>
    <row r="48" spans="2:14" x14ac:dyDescent="0.25">
      <c r="B48" s="160"/>
      <c r="D48" s="162">
        <f>SUM(D46:D47)</f>
        <v>1000</v>
      </c>
      <c r="E48" s="88" t="s">
        <v>230</v>
      </c>
    </row>
    <row r="49" spans="2:12" x14ac:dyDescent="0.25">
      <c r="B49" s="160"/>
      <c r="J49" s="160"/>
      <c r="K49" s="160"/>
      <c r="L49" s="160"/>
    </row>
    <row r="50" spans="2:12" x14ac:dyDescent="0.25">
      <c r="J50" s="160"/>
      <c r="K50" s="246"/>
      <c r="L50" s="160"/>
    </row>
    <row r="51" spans="2:12" x14ac:dyDescent="0.25">
      <c r="B51" s="181"/>
      <c r="C51" s="182"/>
      <c r="D51" s="259" t="s">
        <v>185</v>
      </c>
      <c r="E51" s="260"/>
      <c r="F51" s="261"/>
      <c r="G51" s="259" t="s">
        <v>186</v>
      </c>
      <c r="H51" s="260"/>
      <c r="I51" s="261"/>
      <c r="K51" s="244"/>
      <c r="L51" s="245"/>
    </row>
    <row r="52" spans="2:12" x14ac:dyDescent="0.25">
      <c r="B52" s="181"/>
      <c r="C52" s="182"/>
      <c r="D52" s="130"/>
      <c r="E52" s="183" t="s">
        <v>192</v>
      </c>
      <c r="F52" s="183"/>
      <c r="G52" s="130"/>
      <c r="H52" s="183" t="s">
        <v>192</v>
      </c>
      <c r="I52" s="184"/>
      <c r="J52" s="186" t="s">
        <v>192</v>
      </c>
      <c r="K52" s="186" t="s">
        <v>193</v>
      </c>
      <c r="L52" s="185" t="s">
        <v>195</v>
      </c>
    </row>
    <row r="53" spans="2:12" x14ac:dyDescent="0.25">
      <c r="B53" s="187"/>
      <c r="C53" s="188"/>
      <c r="D53" s="247" t="s">
        <v>189</v>
      </c>
      <c r="E53" s="247" t="s">
        <v>190</v>
      </c>
      <c r="F53" s="247" t="s">
        <v>191</v>
      </c>
      <c r="G53" s="190" t="s">
        <v>189</v>
      </c>
      <c r="H53" s="190" t="s">
        <v>190</v>
      </c>
      <c r="I53" s="248" t="s">
        <v>191</v>
      </c>
      <c r="J53" s="190" t="s">
        <v>194</v>
      </c>
      <c r="K53" s="191" t="s">
        <v>194</v>
      </c>
      <c r="L53" s="190" t="s">
        <v>196</v>
      </c>
    </row>
    <row r="54" spans="2:12" x14ac:dyDescent="0.25">
      <c r="B54" s="181" t="s">
        <v>197</v>
      </c>
      <c r="C54" s="182"/>
      <c r="D54" s="192">
        <v>1700</v>
      </c>
      <c r="E54" s="192">
        <v>300</v>
      </c>
      <c r="F54" s="192">
        <f>D54*E54</f>
        <v>510000</v>
      </c>
      <c r="G54" s="192">
        <v>500</v>
      </c>
      <c r="H54" s="192">
        <v>396</v>
      </c>
      <c r="I54" s="192">
        <f>G54*H54</f>
        <v>198000</v>
      </c>
      <c r="J54" s="192">
        <f>F54+I54</f>
        <v>708000</v>
      </c>
      <c r="K54" s="192">
        <f>J54</f>
        <v>708000</v>
      </c>
      <c r="L54" s="185"/>
    </row>
    <row r="55" spans="2:12" x14ac:dyDescent="0.25">
      <c r="B55" s="187"/>
      <c r="C55" s="188"/>
      <c r="D55" s="193"/>
      <c r="E55" s="193"/>
      <c r="F55" s="193"/>
      <c r="G55" s="193"/>
      <c r="H55" s="193"/>
      <c r="I55" s="193"/>
      <c r="J55" s="193"/>
      <c r="K55" s="193"/>
      <c r="L55" s="190"/>
    </row>
    <row r="56" spans="2:12" x14ac:dyDescent="0.25">
      <c r="B56" s="187" t="s">
        <v>187</v>
      </c>
      <c r="C56" s="188"/>
      <c r="D56" s="193">
        <f>D42</f>
        <v>4000</v>
      </c>
      <c r="E56" s="193">
        <v>40</v>
      </c>
      <c r="F56" s="193">
        <f>D56*E56</f>
        <v>160000</v>
      </c>
      <c r="G56" s="193">
        <f>D43</f>
        <v>500</v>
      </c>
      <c r="H56" s="193">
        <v>40</v>
      </c>
      <c r="I56" s="193">
        <f>G56*H56</f>
        <v>20000</v>
      </c>
      <c r="J56" s="193">
        <f>F56+I56</f>
        <v>180000</v>
      </c>
      <c r="K56" s="193">
        <v>185820</v>
      </c>
      <c r="L56" s="194">
        <f>J56-K56</f>
        <v>-5820</v>
      </c>
    </row>
    <row r="57" spans="2:12" x14ac:dyDescent="0.25">
      <c r="B57" s="187" t="s">
        <v>188</v>
      </c>
      <c r="C57" s="188"/>
      <c r="D57" s="195">
        <f>D46</f>
        <v>666.66666666666663</v>
      </c>
      <c r="E57" s="193">
        <v>225</v>
      </c>
      <c r="F57" s="193">
        <f>D57*E57</f>
        <v>150000</v>
      </c>
      <c r="G57" s="195">
        <f>D47</f>
        <v>333.33333333333331</v>
      </c>
      <c r="H57" s="193">
        <v>225</v>
      </c>
      <c r="I57" s="193">
        <f>G57*H57</f>
        <v>75000</v>
      </c>
      <c r="J57" s="193">
        <f>I57+F57</f>
        <v>225000</v>
      </c>
      <c r="K57" s="193">
        <v>232050</v>
      </c>
      <c r="L57" s="196">
        <f>J57-K57</f>
        <v>-7050</v>
      </c>
    </row>
    <row r="58" spans="2:12" x14ac:dyDescent="0.25">
      <c r="B58" s="187"/>
      <c r="C58" s="188"/>
      <c r="D58" s="193"/>
      <c r="E58" s="193"/>
      <c r="F58" s="193"/>
      <c r="G58" s="193"/>
      <c r="H58" s="193"/>
      <c r="I58" s="193"/>
      <c r="J58" s="193"/>
      <c r="K58" s="193"/>
      <c r="L58" s="197">
        <f>SUM(L56:L57)</f>
        <v>-12870</v>
      </c>
    </row>
    <row r="59" spans="2:12" x14ac:dyDescent="0.25">
      <c r="B59" s="198" t="s">
        <v>245</v>
      </c>
      <c r="C59" s="188"/>
      <c r="D59" s="199"/>
      <c r="E59" s="199"/>
      <c r="F59" s="199"/>
      <c r="G59" s="193"/>
      <c r="H59" s="193"/>
      <c r="I59" s="193"/>
      <c r="J59" s="193"/>
      <c r="K59" s="193"/>
      <c r="L59" s="184" t="s">
        <v>24</v>
      </c>
    </row>
    <row r="60" spans="2:12" x14ac:dyDescent="0.25">
      <c r="B60" s="200" t="s">
        <v>198</v>
      </c>
      <c r="C60" s="201"/>
      <c r="D60" s="202">
        <f>D57</f>
        <v>666.66666666666663</v>
      </c>
      <c r="E60" s="203">
        <v>45</v>
      </c>
      <c r="F60" s="203">
        <f>D60*E60</f>
        <v>30000</v>
      </c>
      <c r="G60" s="202">
        <f>G57</f>
        <v>333.33333333333331</v>
      </c>
      <c r="H60" s="203">
        <v>45</v>
      </c>
      <c r="I60" s="203">
        <f>G60*H60</f>
        <v>15000</v>
      </c>
      <c r="J60" s="203">
        <f>F60+I60</f>
        <v>45000</v>
      </c>
      <c r="K60" s="193">
        <v>47950</v>
      </c>
      <c r="L60" s="204">
        <f>J60-K60</f>
        <v>-2950</v>
      </c>
    </row>
    <row r="61" spans="2:12" x14ac:dyDescent="0.25">
      <c r="B61" s="187" t="s">
        <v>206</v>
      </c>
      <c r="C61" s="188"/>
      <c r="D61" s="193"/>
      <c r="E61" s="205"/>
      <c r="F61" s="193">
        <f>SUM(F56:F60)</f>
        <v>340000</v>
      </c>
      <c r="G61" s="205"/>
      <c r="H61" s="193"/>
      <c r="I61" s="205">
        <f>SUM(I56:I60)</f>
        <v>110000</v>
      </c>
      <c r="J61" s="206">
        <f>SUM(J56:J60)</f>
        <v>450000</v>
      </c>
      <c r="K61" s="193"/>
      <c r="L61" s="204"/>
    </row>
    <row r="62" spans="2:12" x14ac:dyDescent="0.25">
      <c r="B62" s="207" t="s">
        <v>199</v>
      </c>
      <c r="C62" s="201"/>
      <c r="D62" s="203"/>
      <c r="E62" s="208"/>
      <c r="F62" s="203"/>
      <c r="G62" s="208"/>
      <c r="H62" s="203"/>
      <c r="I62" s="208"/>
      <c r="J62" s="209"/>
      <c r="K62" s="193"/>
      <c r="L62" s="204"/>
    </row>
    <row r="63" spans="2:12" x14ac:dyDescent="0.25">
      <c r="B63" s="187" t="s">
        <v>246</v>
      </c>
      <c r="C63" s="188"/>
      <c r="D63" s="193"/>
      <c r="E63" s="205"/>
      <c r="F63" s="193">
        <f>SUM(F61)</f>
        <v>340000</v>
      </c>
      <c r="G63" s="205"/>
      <c r="H63" s="193"/>
      <c r="I63" s="205">
        <f>SUM(I61)</f>
        <v>110000</v>
      </c>
      <c r="J63" s="206">
        <f>SUM(J61)</f>
        <v>450000</v>
      </c>
      <c r="K63" s="193"/>
      <c r="L63" s="204"/>
    </row>
    <row r="64" spans="2:12" x14ac:dyDescent="0.25">
      <c r="B64" s="207" t="s">
        <v>217</v>
      </c>
      <c r="C64" s="201"/>
      <c r="D64" s="203">
        <v>300</v>
      </c>
      <c r="E64" s="208">
        <v>170</v>
      </c>
      <c r="F64" s="203">
        <f>-D64*E64</f>
        <v>-51000</v>
      </c>
      <c r="G64" s="208"/>
      <c r="H64" s="203"/>
      <c r="I64" s="208"/>
      <c r="J64" s="209">
        <f>F64</f>
        <v>-51000</v>
      </c>
      <c r="K64" s="193">
        <f>J64</f>
        <v>-51000</v>
      </c>
      <c r="L64" s="204"/>
    </row>
    <row r="65" spans="1:13" x14ac:dyDescent="0.25">
      <c r="B65" s="187" t="s">
        <v>247</v>
      </c>
      <c r="C65" s="188"/>
      <c r="D65" s="193"/>
      <c r="E65" s="205"/>
      <c r="F65" s="193">
        <f>SUM(F63:F64)</f>
        <v>289000</v>
      </c>
      <c r="G65" s="205"/>
      <c r="H65" s="193"/>
      <c r="I65" s="205">
        <f>SUM(I63)</f>
        <v>110000</v>
      </c>
      <c r="J65" s="206">
        <f>SUM(J63:J64)</f>
        <v>399000</v>
      </c>
      <c r="K65" s="193"/>
      <c r="L65" s="204"/>
    </row>
    <row r="66" spans="1:13" x14ac:dyDescent="0.25">
      <c r="B66" s="210" t="s">
        <v>69</v>
      </c>
      <c r="C66" s="188"/>
      <c r="D66" s="193"/>
      <c r="E66" s="205"/>
      <c r="F66" s="193"/>
      <c r="G66" s="205"/>
      <c r="H66" s="193"/>
      <c r="I66" s="205"/>
      <c r="J66" s="206"/>
      <c r="K66" s="193"/>
      <c r="L66" s="204"/>
    </row>
    <row r="67" spans="1:13" x14ac:dyDescent="0.25">
      <c r="B67" s="187" t="s">
        <v>209</v>
      </c>
      <c r="C67" s="188"/>
      <c r="D67" s="193"/>
      <c r="E67" s="205"/>
      <c r="F67" s="193">
        <f>SUM(F65)</f>
        <v>289000</v>
      </c>
      <c r="G67" s="205"/>
      <c r="H67" s="193"/>
      <c r="I67" s="205">
        <f>SUM(I65)</f>
        <v>110000</v>
      </c>
      <c r="J67" s="206">
        <f>SUM(J65)</f>
        <v>399000</v>
      </c>
      <c r="K67" s="193"/>
      <c r="L67" s="204"/>
    </row>
    <row r="68" spans="1:13" x14ac:dyDescent="0.25">
      <c r="B68" s="207"/>
      <c r="C68" s="201"/>
      <c r="D68" s="203"/>
      <c r="E68" s="208"/>
      <c r="F68" s="203"/>
      <c r="G68" s="208"/>
      <c r="H68" s="203"/>
      <c r="I68" s="208"/>
      <c r="J68" s="209"/>
      <c r="K68" s="193"/>
      <c r="L68" s="204"/>
    </row>
    <row r="69" spans="1:13" x14ac:dyDescent="0.25">
      <c r="B69" s="207" t="s">
        <v>211</v>
      </c>
      <c r="C69" s="201"/>
      <c r="D69" s="203"/>
      <c r="E69" s="208"/>
      <c r="F69" s="203">
        <f>F54-F67</f>
        <v>221000</v>
      </c>
      <c r="G69" s="208"/>
      <c r="H69" s="203"/>
      <c r="I69" s="208">
        <f>I54-I67</f>
        <v>88000</v>
      </c>
      <c r="J69" s="209">
        <f>J54-J67</f>
        <v>309000</v>
      </c>
      <c r="K69" s="203"/>
      <c r="L69" s="197"/>
    </row>
    <row r="70" spans="1:13" x14ac:dyDescent="0.25">
      <c r="B70" s="188"/>
      <c r="C70" s="188"/>
      <c r="D70" s="211"/>
      <c r="E70" s="211"/>
      <c r="F70" s="211"/>
      <c r="G70" s="181" t="s">
        <v>248</v>
      </c>
      <c r="H70" s="212"/>
      <c r="I70" s="213"/>
      <c r="J70" s="194">
        <f>L58</f>
        <v>-12870</v>
      </c>
      <c r="K70" s="188"/>
      <c r="L70" s="214"/>
    </row>
    <row r="71" spans="1:13" x14ac:dyDescent="0.25">
      <c r="B71" s="188"/>
      <c r="C71" s="188"/>
      <c r="D71" s="211"/>
      <c r="E71" s="211"/>
      <c r="F71" s="211"/>
      <c r="G71" s="207" t="s">
        <v>249</v>
      </c>
      <c r="H71" s="215"/>
      <c r="I71" s="197"/>
      <c r="J71" s="196">
        <f>L71</f>
        <v>-2950</v>
      </c>
      <c r="K71" s="211"/>
      <c r="L71" s="194">
        <f>SUM(L60:L70)</f>
        <v>-2950</v>
      </c>
    </row>
    <row r="72" spans="1:13" x14ac:dyDescent="0.25">
      <c r="B72" s="188"/>
      <c r="C72" s="188"/>
      <c r="D72" s="211"/>
      <c r="E72" s="211"/>
      <c r="F72" s="211"/>
      <c r="G72" s="187" t="s">
        <v>213</v>
      </c>
      <c r="H72" s="211"/>
      <c r="I72" s="204"/>
      <c r="J72" s="194">
        <f>SUM(J69:J71)</f>
        <v>293180</v>
      </c>
      <c r="K72" s="211">
        <f>K54-K56-K57-K60-K64</f>
        <v>293180</v>
      </c>
      <c r="L72" s="194"/>
    </row>
    <row r="73" spans="1:13" x14ac:dyDescent="0.25">
      <c r="B73" s="188"/>
      <c r="C73" s="188"/>
      <c r="D73" s="188"/>
      <c r="E73" s="188"/>
      <c r="F73" s="188"/>
      <c r="G73" s="198" t="s">
        <v>212</v>
      </c>
      <c r="H73" s="188"/>
      <c r="I73" s="189"/>
      <c r="J73" s="214"/>
      <c r="K73" s="188"/>
      <c r="L73" s="214"/>
    </row>
    <row r="74" spans="1:13" x14ac:dyDescent="0.25">
      <c r="B74" s="188"/>
      <c r="C74" s="188"/>
      <c r="D74" s="188"/>
      <c r="E74" s="188"/>
      <c r="F74" s="188"/>
      <c r="G74" s="187" t="s">
        <v>198</v>
      </c>
      <c r="H74" s="188"/>
      <c r="I74" s="189"/>
      <c r="J74" s="194">
        <v>125000</v>
      </c>
      <c r="K74" s="211">
        <v>123000</v>
      </c>
      <c r="L74" s="194">
        <f>J74-K74</f>
        <v>2000</v>
      </c>
    </row>
    <row r="75" spans="1:13" x14ac:dyDescent="0.25">
      <c r="B75" s="188"/>
      <c r="C75" s="188"/>
      <c r="D75" s="188"/>
      <c r="E75" s="188"/>
      <c r="F75" s="188"/>
      <c r="G75" s="187" t="s">
        <v>70</v>
      </c>
      <c r="H75" s="188"/>
      <c r="I75" s="189"/>
      <c r="J75" s="194">
        <v>120000</v>
      </c>
      <c r="K75" s="211">
        <v>128000</v>
      </c>
      <c r="L75" s="194">
        <f>J75-K75</f>
        <v>-8000</v>
      </c>
    </row>
    <row r="76" spans="1:13" x14ac:dyDescent="0.25">
      <c r="B76" s="188"/>
      <c r="C76" s="188"/>
      <c r="D76" s="188"/>
      <c r="E76" s="188"/>
      <c r="F76" s="188"/>
      <c r="G76" s="187" t="s">
        <v>214</v>
      </c>
      <c r="H76" s="188"/>
      <c r="I76" s="189"/>
      <c r="J76" s="194">
        <f>L76</f>
        <v>-6000</v>
      </c>
      <c r="K76" s="211"/>
      <c r="L76" s="216">
        <f>SUM(L74:L75)</f>
        <v>-6000</v>
      </c>
    </row>
    <row r="77" spans="1:13" x14ac:dyDescent="0.25">
      <c r="B77" s="188"/>
      <c r="C77" s="188"/>
      <c r="D77" s="188"/>
      <c r="E77" s="188"/>
      <c r="F77" s="188"/>
      <c r="G77" s="217" t="s">
        <v>204</v>
      </c>
      <c r="H77" s="218"/>
      <c r="I77" s="219"/>
      <c r="J77" s="220">
        <f>J72-J74-J75+J76</f>
        <v>42180</v>
      </c>
      <c r="K77" s="221">
        <f>K72-K74-K75</f>
        <v>42180</v>
      </c>
      <c r="L77" s="220"/>
    </row>
    <row r="78" spans="1:13" x14ac:dyDescent="0.25">
      <c r="A78" s="160"/>
      <c r="B78" s="164" t="s">
        <v>205</v>
      </c>
      <c r="C78" s="188"/>
      <c r="D78" s="188"/>
      <c r="E78" s="188"/>
      <c r="F78" s="188"/>
      <c r="G78" s="188"/>
      <c r="H78" s="188"/>
      <c r="I78" s="188"/>
      <c r="J78" s="188"/>
      <c r="K78" s="211"/>
      <c r="L78" s="211"/>
      <c r="M78" s="211"/>
    </row>
    <row r="79" spans="1:13" ht="27.6" x14ac:dyDescent="0.25">
      <c r="B79" s="249" t="s">
        <v>265</v>
      </c>
      <c r="C79" s="250" t="s">
        <v>266</v>
      </c>
      <c r="D79" s="250" t="s">
        <v>267</v>
      </c>
      <c r="E79" s="250" t="s">
        <v>71</v>
      </c>
      <c r="F79" s="250" t="s">
        <v>72</v>
      </c>
    </row>
    <row r="80" spans="1:13" ht="17.399999999999999" x14ac:dyDescent="0.25">
      <c r="B80" s="90" t="s">
        <v>112</v>
      </c>
      <c r="C80" s="90" t="s">
        <v>113</v>
      </c>
      <c r="D80" s="90" t="s">
        <v>277</v>
      </c>
      <c r="E80" s="91" t="s">
        <v>114</v>
      </c>
      <c r="F80" s="91" t="s">
        <v>115</v>
      </c>
    </row>
    <row r="81" spans="2:9" x14ac:dyDescent="0.25">
      <c r="B81" s="175">
        <f>J60</f>
        <v>45000</v>
      </c>
      <c r="C81" s="175">
        <f>D83</f>
        <v>47250</v>
      </c>
      <c r="D81" s="175">
        <v>47950</v>
      </c>
      <c r="E81" s="175">
        <f>B81-C81</f>
        <v>-2250</v>
      </c>
      <c r="F81" s="175">
        <f>C81-D81</f>
        <v>-700</v>
      </c>
    </row>
    <row r="82" spans="2:9" x14ac:dyDescent="0.25">
      <c r="B82" s="160"/>
      <c r="C82" s="160"/>
      <c r="D82" s="161"/>
      <c r="E82" s="161"/>
      <c r="F82" s="161"/>
      <c r="G82" s="161"/>
      <c r="H82" s="161"/>
      <c r="I82" s="161"/>
    </row>
    <row r="83" spans="2:9" ht="17.399999999999999" x14ac:dyDescent="0.25">
      <c r="B83" s="92" t="s">
        <v>117</v>
      </c>
      <c r="C83" s="222" t="s">
        <v>116</v>
      </c>
      <c r="D83" s="88">
        <f>1050*45</f>
        <v>47250</v>
      </c>
    </row>
    <row r="84" spans="2:9" x14ac:dyDescent="0.25">
      <c r="B84" s="223"/>
      <c r="F84" s="88"/>
    </row>
    <row r="85" spans="2:9" x14ac:dyDescent="0.25">
      <c r="B85" s="144" t="s">
        <v>243</v>
      </c>
    </row>
    <row r="86" spans="2:9" ht="14.4" x14ac:dyDescent="0.3">
      <c r="B86" s="224" t="s">
        <v>276</v>
      </c>
    </row>
    <row r="87" spans="2:9" x14ac:dyDescent="0.25">
      <c r="B87" s="129" t="s">
        <v>26</v>
      </c>
    </row>
    <row r="88" spans="2:9" x14ac:dyDescent="0.25">
      <c r="B88" s="129" t="s">
        <v>118</v>
      </c>
    </row>
    <row r="90" spans="2:9" x14ac:dyDescent="0.25">
      <c r="B90" s="129" t="s">
        <v>119</v>
      </c>
      <c r="C90" s="129" t="s">
        <v>98</v>
      </c>
      <c r="D90" s="88">
        <v>0</v>
      </c>
    </row>
    <row r="91" spans="2:9" x14ac:dyDescent="0.25">
      <c r="B91" s="129" t="s">
        <v>120</v>
      </c>
      <c r="C91" s="129" t="s">
        <v>121</v>
      </c>
      <c r="D91" s="88">
        <f>-500*4</f>
        <v>-2000</v>
      </c>
    </row>
    <row r="92" spans="2:9" x14ac:dyDescent="0.25">
      <c r="B92" s="162"/>
      <c r="C92" s="162"/>
      <c r="D92" s="162">
        <f>SUM(D90:D91)</f>
        <v>-2000</v>
      </c>
    </row>
    <row r="93" spans="2:9" x14ac:dyDescent="0.25">
      <c r="D93" s="161"/>
    </row>
    <row r="94" spans="2:9" x14ac:dyDescent="0.25">
      <c r="B94" s="129" t="s">
        <v>122</v>
      </c>
      <c r="F94" s="88"/>
    </row>
    <row r="95" spans="2:9" x14ac:dyDescent="0.25">
      <c r="F95" s="88"/>
    </row>
    <row r="96" spans="2:9" ht="14.4" x14ac:dyDescent="0.3">
      <c r="B96" s="224" t="s">
        <v>278</v>
      </c>
      <c r="F96" s="88"/>
    </row>
    <row r="97" spans="1:6" x14ac:dyDescent="0.25">
      <c r="F97" s="88"/>
    </row>
    <row r="98" spans="1:6" x14ac:dyDescent="0.25">
      <c r="B98" s="129" t="s">
        <v>185</v>
      </c>
      <c r="C98" s="129" t="s">
        <v>99</v>
      </c>
      <c r="D98" s="88">
        <f>130*200</f>
        <v>26000</v>
      </c>
    </row>
    <row r="99" spans="1:6" x14ac:dyDescent="0.25">
      <c r="B99" s="129" t="s">
        <v>186</v>
      </c>
      <c r="C99" s="129" t="s">
        <v>100</v>
      </c>
      <c r="D99" s="129">
        <v>0</v>
      </c>
    </row>
    <row r="100" spans="1:6" x14ac:dyDescent="0.25">
      <c r="B100" s="162"/>
      <c r="C100" s="162"/>
      <c r="D100" s="162">
        <f>SUM(D98:D99)</f>
        <v>26000</v>
      </c>
    </row>
    <row r="102" spans="1:6" x14ac:dyDescent="0.25">
      <c r="A102" s="129" t="s">
        <v>223</v>
      </c>
      <c r="B102" s="129" t="s">
        <v>229</v>
      </c>
      <c r="C102" s="88">
        <f>I27</f>
        <v>40000</v>
      </c>
    </row>
    <row r="103" spans="1:6" x14ac:dyDescent="0.25">
      <c r="B103" s="129" t="s">
        <v>219</v>
      </c>
      <c r="C103" s="88">
        <f>F33</f>
        <v>-3420</v>
      </c>
    </row>
    <row r="104" spans="1:6" x14ac:dyDescent="0.25">
      <c r="B104" s="129" t="s">
        <v>232</v>
      </c>
      <c r="C104" s="88">
        <f>E33</f>
        <v>-2400</v>
      </c>
    </row>
    <row r="105" spans="1:6" x14ac:dyDescent="0.25">
      <c r="B105" s="129" t="s">
        <v>220</v>
      </c>
      <c r="C105" s="88">
        <f>F39</f>
        <v>4200</v>
      </c>
    </row>
    <row r="106" spans="1:6" x14ac:dyDescent="0.25">
      <c r="B106" s="129" t="s">
        <v>221</v>
      </c>
      <c r="C106" s="88">
        <f>E39</f>
        <v>-11250</v>
      </c>
    </row>
    <row r="107" spans="1:6" x14ac:dyDescent="0.25">
      <c r="B107" s="129" t="s">
        <v>233</v>
      </c>
      <c r="C107" s="88">
        <f>E81</f>
        <v>-2250</v>
      </c>
    </row>
    <row r="108" spans="1:6" x14ac:dyDescent="0.25">
      <c r="B108" s="223" t="s">
        <v>241</v>
      </c>
      <c r="C108" s="88">
        <f>F81</f>
        <v>-700</v>
      </c>
    </row>
    <row r="109" spans="1:6" x14ac:dyDescent="0.25">
      <c r="B109" s="129" t="s">
        <v>294</v>
      </c>
      <c r="C109" s="88">
        <f>L76</f>
        <v>-6000</v>
      </c>
    </row>
    <row r="110" spans="1:6" x14ac:dyDescent="0.25">
      <c r="B110" s="129" t="s">
        <v>291</v>
      </c>
      <c r="C110" s="88">
        <f>D100</f>
        <v>26000</v>
      </c>
    </row>
    <row r="111" spans="1:6" x14ac:dyDescent="0.25">
      <c r="B111" s="129" t="s">
        <v>234</v>
      </c>
      <c r="C111" s="88">
        <f>D92</f>
        <v>-2000</v>
      </c>
    </row>
    <row r="112" spans="1:6" x14ac:dyDescent="0.25">
      <c r="B112" s="162" t="s">
        <v>204</v>
      </c>
      <c r="C112" s="162">
        <f>SUM(C102:C111)</f>
        <v>42180</v>
      </c>
    </row>
  </sheetData>
  <mergeCells count="4">
    <mergeCell ref="E14:F14"/>
    <mergeCell ref="G14:H14"/>
    <mergeCell ref="D51:F51"/>
    <mergeCell ref="G51:I51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scale="80" orientation="landscape" horizontalDpi="4294967292" verticalDpi="4294967292" r:id="rId1"/>
  <headerFooter alignWithMargins="0"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/>
  <dimension ref="A2:R87"/>
  <sheetViews>
    <sheetView workbookViewId="0">
      <selection activeCell="B81" sqref="B81"/>
    </sheetView>
  </sheetViews>
  <sheetFormatPr baseColWidth="10" defaultColWidth="11.44140625" defaultRowHeight="15.6" x14ac:dyDescent="0.3"/>
  <cols>
    <col min="1" max="1" width="6.33203125" style="1" customWidth="1"/>
    <col min="2" max="4" width="11.44140625" style="1"/>
    <col min="5" max="9" width="10.33203125" style="1" customWidth="1"/>
    <col min="10" max="16384" width="11.44140625" style="1"/>
  </cols>
  <sheetData>
    <row r="2" spans="1:13" s="5" customFormat="1" ht="21" x14ac:dyDescent="0.4">
      <c r="A2" s="1"/>
      <c r="B2" s="1"/>
      <c r="C2" s="1"/>
      <c r="D2" s="1"/>
      <c r="E2" s="31" t="s">
        <v>123</v>
      </c>
      <c r="F2" s="31" t="s">
        <v>124</v>
      </c>
      <c r="G2" s="1"/>
      <c r="H2" s="1"/>
      <c r="I2" s="1"/>
      <c r="J2" s="1"/>
      <c r="K2" s="1"/>
      <c r="L2" s="1"/>
    </row>
    <row r="3" spans="1:13" x14ac:dyDescent="0.3">
      <c r="B3" s="1" t="s">
        <v>187</v>
      </c>
      <c r="E3" s="18">
        <v>20</v>
      </c>
      <c r="F3" s="18">
        <v>20</v>
      </c>
    </row>
    <row r="4" spans="1:13" x14ac:dyDescent="0.3">
      <c r="B4" s="1" t="s">
        <v>188</v>
      </c>
      <c r="E4" s="18">
        <v>20</v>
      </c>
      <c r="F4" s="18">
        <v>15</v>
      </c>
    </row>
    <row r="5" spans="1:13" x14ac:dyDescent="0.3">
      <c r="B5" s="1" t="s">
        <v>236</v>
      </c>
      <c r="E5" s="18">
        <v>20</v>
      </c>
      <c r="F5" s="18">
        <v>15</v>
      </c>
    </row>
    <row r="6" spans="1:13" s="5" customFormat="1" ht="21" x14ac:dyDescent="0.4">
      <c r="A6" s="1"/>
      <c r="B6" s="1"/>
      <c r="C6" s="1"/>
      <c r="D6" s="1"/>
      <c r="E6" s="19">
        <f>SUM(E3:E5)</f>
        <v>60</v>
      </c>
      <c r="F6" s="19">
        <f>SUM(F3:F5)</f>
        <v>50</v>
      </c>
      <c r="G6" s="1"/>
      <c r="H6" s="1"/>
      <c r="I6" s="1"/>
      <c r="J6" s="1"/>
      <c r="K6" s="1"/>
      <c r="L6" s="1"/>
      <c r="M6" s="1"/>
    </row>
    <row r="7" spans="1:13" x14ac:dyDescent="0.3">
      <c r="E7" s="18"/>
      <c r="F7" s="18"/>
    </row>
    <row r="8" spans="1:13" x14ac:dyDescent="0.3">
      <c r="B8" s="1" t="s">
        <v>175</v>
      </c>
      <c r="E8" s="18">
        <v>100</v>
      </c>
      <c r="F8" s="18">
        <v>75</v>
      </c>
    </row>
    <row r="9" spans="1:13" x14ac:dyDescent="0.3">
      <c r="E9" s="18"/>
      <c r="F9" s="18"/>
    </row>
    <row r="10" spans="1:13" x14ac:dyDescent="0.3">
      <c r="B10" s="1" t="s">
        <v>227</v>
      </c>
      <c r="E10" s="18">
        <f>E8-E6</f>
        <v>40</v>
      </c>
      <c r="F10" s="18">
        <f>F8-F6</f>
        <v>25</v>
      </c>
    </row>
    <row r="11" spans="1:13" x14ac:dyDescent="0.3">
      <c r="E11" s="18"/>
      <c r="F11" s="18"/>
    </row>
    <row r="12" spans="1:13" x14ac:dyDescent="0.3">
      <c r="B12" s="1" t="s">
        <v>125</v>
      </c>
      <c r="E12" s="32">
        <f>E10/E8</f>
        <v>0.4</v>
      </c>
      <c r="F12" s="32">
        <f>F10/F8</f>
        <v>0.33333333333333331</v>
      </c>
    </row>
    <row r="15" spans="1:13" x14ac:dyDescent="0.3">
      <c r="B15" s="1" t="s">
        <v>126</v>
      </c>
      <c r="E15" s="4">
        <v>2000</v>
      </c>
      <c r="F15" s="4">
        <v>2000</v>
      </c>
    </row>
    <row r="16" spans="1:13" x14ac:dyDescent="0.3">
      <c r="B16" s="1" t="s">
        <v>127</v>
      </c>
      <c r="E16" s="4">
        <v>1800</v>
      </c>
      <c r="F16" s="4">
        <v>2100</v>
      </c>
    </row>
    <row r="18" spans="1:18" x14ac:dyDescent="0.3">
      <c r="B18" s="1" t="s">
        <v>128</v>
      </c>
      <c r="E18" s="3">
        <f>E15-E16</f>
        <v>200</v>
      </c>
      <c r="F18" s="7"/>
    </row>
    <row r="19" spans="1:18" x14ac:dyDescent="0.3">
      <c r="B19" s="1" t="s">
        <v>129</v>
      </c>
      <c r="E19" s="7"/>
      <c r="F19" s="3">
        <f>F16-F15</f>
        <v>100</v>
      </c>
    </row>
    <row r="22" spans="1:18" x14ac:dyDescent="0.3">
      <c r="A22" s="1" t="s">
        <v>216</v>
      </c>
      <c r="B22" s="8" t="s">
        <v>130</v>
      </c>
    </row>
    <row r="23" spans="1:18" s="5" customFormat="1" ht="21" x14ac:dyDescent="0.4">
      <c r="A23" s="33"/>
      <c r="B23" s="34"/>
      <c r="C23" s="35"/>
      <c r="D23" s="35"/>
      <c r="E23" s="262" t="s">
        <v>123</v>
      </c>
      <c r="F23" s="263"/>
      <c r="G23" s="262" t="s">
        <v>124</v>
      </c>
      <c r="H23" s="263"/>
      <c r="I23" s="36" t="s">
        <v>201</v>
      </c>
      <c r="J23" s="33"/>
      <c r="K23" s="33"/>
      <c r="L23" s="33"/>
      <c r="M23" s="33"/>
      <c r="N23" s="33"/>
      <c r="O23" s="1"/>
    </row>
    <row r="24" spans="1:18" x14ac:dyDescent="0.3">
      <c r="B24" s="37" t="s">
        <v>197</v>
      </c>
      <c r="C24" s="38"/>
      <c r="D24" s="38"/>
      <c r="E24" s="39"/>
      <c r="F24" s="39">
        <f>E16*E8</f>
        <v>180000</v>
      </c>
      <c r="G24" s="39"/>
      <c r="H24" s="39">
        <f>F16*F8</f>
        <v>157500</v>
      </c>
      <c r="I24" s="39">
        <f>SUM(F24:H24)</f>
        <v>337500</v>
      </c>
    </row>
    <row r="25" spans="1:18" x14ac:dyDescent="0.3">
      <c r="B25" s="25" t="s">
        <v>187</v>
      </c>
      <c r="C25" s="26"/>
      <c r="D25" s="26"/>
      <c r="E25" s="40">
        <f>E15*E3</f>
        <v>40000</v>
      </c>
      <c r="F25" s="40"/>
      <c r="G25" s="40">
        <f>$F$15*F3</f>
        <v>40000</v>
      </c>
      <c r="H25" s="40"/>
      <c r="I25" s="40"/>
    </row>
    <row r="26" spans="1:18" x14ac:dyDescent="0.3">
      <c r="B26" s="25" t="s">
        <v>188</v>
      </c>
      <c r="C26" s="26"/>
      <c r="D26" s="26"/>
      <c r="E26" s="40">
        <f>E15*E4</f>
        <v>40000</v>
      </c>
      <c r="F26" s="40"/>
      <c r="G26" s="40">
        <f>$F$15*F4</f>
        <v>30000</v>
      </c>
      <c r="H26" s="40"/>
      <c r="I26" s="40"/>
    </row>
    <row r="27" spans="1:18" x14ac:dyDescent="0.3">
      <c r="B27" s="25" t="s">
        <v>131</v>
      </c>
      <c r="C27" s="26"/>
      <c r="D27" s="26"/>
      <c r="E27" s="41">
        <f>E15*E5</f>
        <v>40000</v>
      </c>
      <c r="F27" s="40"/>
      <c r="G27" s="41">
        <f>$F$15*F5</f>
        <v>30000</v>
      </c>
      <c r="H27" s="40"/>
      <c r="I27" s="40"/>
    </row>
    <row r="28" spans="1:18" s="5" customFormat="1" ht="21" x14ac:dyDescent="0.4">
      <c r="A28" s="1"/>
      <c r="B28" s="25" t="s">
        <v>206</v>
      </c>
      <c r="C28" s="26"/>
      <c r="D28" s="26"/>
      <c r="E28" s="42">
        <f>SUM(E25:E27)</f>
        <v>120000</v>
      </c>
      <c r="F28" s="40"/>
      <c r="G28" s="42">
        <f>SUM(G25:G27)</f>
        <v>100000</v>
      </c>
      <c r="H28" s="40"/>
      <c r="I28" s="40"/>
      <c r="J28" s="1"/>
      <c r="K28" s="1"/>
      <c r="L28" s="1"/>
      <c r="M28" s="1"/>
      <c r="N28" s="1"/>
      <c r="O28" s="1"/>
      <c r="P28" s="1"/>
    </row>
    <row r="29" spans="1:18" x14ac:dyDescent="0.3">
      <c r="B29" s="25" t="s">
        <v>132</v>
      </c>
      <c r="C29" s="26"/>
      <c r="D29" s="26"/>
      <c r="E29" s="43">
        <f>-E18*E6</f>
        <v>-12000</v>
      </c>
      <c r="F29" s="40"/>
      <c r="G29" s="43">
        <f>F19*F6</f>
        <v>5000</v>
      </c>
      <c r="H29" s="40"/>
      <c r="I29" s="40"/>
    </row>
    <row r="30" spans="1:18" s="5" customFormat="1" ht="21" x14ac:dyDescent="0.4">
      <c r="A30" s="1"/>
      <c r="B30" s="25" t="s">
        <v>207</v>
      </c>
      <c r="C30" s="26"/>
      <c r="D30" s="26"/>
      <c r="E30" s="3">
        <f>SUM(E28:E29)</f>
        <v>108000</v>
      </c>
      <c r="F30" s="41">
        <f>E30</f>
        <v>108000</v>
      </c>
      <c r="G30" s="3">
        <f>SUM(G28:G29)</f>
        <v>105000</v>
      </c>
      <c r="H30" s="41">
        <f>G30</f>
        <v>105000</v>
      </c>
      <c r="I30" s="41">
        <f>F30+H30</f>
        <v>213000</v>
      </c>
      <c r="J30" s="1"/>
      <c r="K30" s="1"/>
      <c r="L30" s="1"/>
      <c r="M30" s="1"/>
      <c r="N30" s="1"/>
    </row>
    <row r="31" spans="1:18" s="5" customFormat="1" ht="21" x14ac:dyDescent="0.4">
      <c r="A31" s="1"/>
      <c r="B31" s="27" t="s">
        <v>227</v>
      </c>
      <c r="C31" s="28"/>
      <c r="D31" s="28"/>
      <c r="E31" s="11"/>
      <c r="F31" s="11">
        <f>F24-F30</f>
        <v>72000</v>
      </c>
      <c r="G31" s="11"/>
      <c r="H31" s="11">
        <f>H24-H30</f>
        <v>52500</v>
      </c>
      <c r="I31" s="11">
        <f>I24-I30</f>
        <v>124500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">
      <c r="B32" s="22"/>
      <c r="C32" s="21"/>
      <c r="D32" s="21"/>
      <c r="E32" s="12"/>
      <c r="F32" s="12"/>
      <c r="G32" s="12"/>
      <c r="H32" s="12"/>
      <c r="I32" s="6"/>
    </row>
    <row r="33" spans="1:9" x14ac:dyDescent="0.3">
      <c r="B33" s="22" t="s">
        <v>228</v>
      </c>
      <c r="C33" s="21"/>
      <c r="D33" s="21"/>
      <c r="E33" s="12"/>
      <c r="F33" s="12"/>
      <c r="G33" s="12"/>
      <c r="H33" s="12"/>
      <c r="I33" s="44">
        <v>100000</v>
      </c>
    </row>
    <row r="34" spans="1:9" x14ac:dyDescent="0.3">
      <c r="B34" s="22"/>
      <c r="C34" s="21"/>
      <c r="D34" s="21"/>
      <c r="E34" s="12"/>
      <c r="F34" s="12"/>
      <c r="G34" s="12"/>
      <c r="H34" s="12"/>
      <c r="I34" s="44"/>
    </row>
    <row r="35" spans="1:9" x14ac:dyDescent="0.3">
      <c r="B35" s="16" t="s">
        <v>133</v>
      </c>
      <c r="C35" s="17"/>
      <c r="D35" s="17"/>
      <c r="E35" s="20"/>
      <c r="F35" s="20"/>
      <c r="G35" s="20"/>
      <c r="H35" s="20"/>
      <c r="I35" s="11">
        <f>I31-I33</f>
        <v>24500</v>
      </c>
    </row>
    <row r="38" spans="1:9" x14ac:dyDescent="0.3">
      <c r="A38" s="1" t="s">
        <v>218</v>
      </c>
      <c r="B38" s="1" t="s">
        <v>134</v>
      </c>
    </row>
    <row r="39" spans="1:9" x14ac:dyDescent="0.3">
      <c r="I39" s="32">
        <f>I31/I24</f>
        <v>0.36888888888888888</v>
      </c>
    </row>
    <row r="41" spans="1:9" x14ac:dyDescent="0.3">
      <c r="B41" s="1" t="s">
        <v>135</v>
      </c>
    </row>
    <row r="42" spans="1:9" x14ac:dyDescent="0.3">
      <c r="B42" s="1" t="s">
        <v>136</v>
      </c>
    </row>
    <row r="44" spans="1:9" x14ac:dyDescent="0.3">
      <c r="B44" s="1" t="s">
        <v>137</v>
      </c>
      <c r="E44" s="2">
        <f>I33/I39</f>
        <v>271084.3373493976</v>
      </c>
    </row>
    <row r="46" spans="1:9" x14ac:dyDescent="0.3">
      <c r="B46" s="1" t="s">
        <v>138</v>
      </c>
      <c r="H46" s="2">
        <f>I24-E44</f>
        <v>66415.662650602404</v>
      </c>
    </row>
    <row r="48" spans="1:9" x14ac:dyDescent="0.3">
      <c r="B48" s="1" t="s">
        <v>139</v>
      </c>
      <c r="H48" s="32">
        <f>H46/I24</f>
        <v>0.19678714859437749</v>
      </c>
    </row>
    <row r="50" spans="1:6" x14ac:dyDescent="0.3">
      <c r="B50" s="1" t="s">
        <v>140</v>
      </c>
    </row>
    <row r="52" spans="1:6" x14ac:dyDescent="0.3">
      <c r="B52" s="1" t="s">
        <v>141</v>
      </c>
    </row>
    <row r="53" spans="1:6" x14ac:dyDescent="0.3">
      <c r="B53" s="45">
        <v>1</v>
      </c>
      <c r="C53" s="1" t="s">
        <v>25</v>
      </c>
    </row>
    <row r="54" spans="1:6" x14ac:dyDescent="0.3">
      <c r="B54" s="45">
        <v>2</v>
      </c>
      <c r="C54" s="1" t="s">
        <v>142</v>
      </c>
    </row>
    <row r="55" spans="1:6" x14ac:dyDescent="0.3">
      <c r="C55" s="1" t="s">
        <v>143</v>
      </c>
    </row>
    <row r="56" spans="1:6" x14ac:dyDescent="0.3">
      <c r="C56" s="1" t="s">
        <v>0</v>
      </c>
    </row>
    <row r="57" spans="1:6" x14ac:dyDescent="0.3">
      <c r="C57" s="1" t="s">
        <v>1</v>
      </c>
    </row>
    <row r="59" spans="1:6" x14ac:dyDescent="0.3">
      <c r="C59" s="1" t="s">
        <v>144</v>
      </c>
    </row>
    <row r="60" spans="1:6" x14ac:dyDescent="0.3">
      <c r="C60" s="1" t="s">
        <v>145</v>
      </c>
    </row>
    <row r="61" spans="1:6" x14ac:dyDescent="0.3">
      <c r="C61" s="1" t="s">
        <v>146</v>
      </c>
    </row>
    <row r="64" spans="1:6" x14ac:dyDescent="0.3">
      <c r="A64" s="1" t="s">
        <v>222</v>
      </c>
      <c r="B64" s="2" t="s">
        <v>147</v>
      </c>
      <c r="C64" s="2"/>
      <c r="D64" s="2"/>
      <c r="E64" s="2"/>
      <c r="F64" s="2"/>
    </row>
    <row r="65" spans="2:6" ht="18" x14ac:dyDescent="0.4">
      <c r="B65" s="15" t="s">
        <v>2</v>
      </c>
      <c r="C65" s="15"/>
      <c r="D65" s="15"/>
      <c r="E65" s="2"/>
      <c r="F65" s="2"/>
    </row>
    <row r="66" spans="2:6" x14ac:dyDescent="0.3">
      <c r="B66" s="15"/>
      <c r="C66" s="15"/>
      <c r="D66" s="15"/>
      <c r="E66" s="2"/>
      <c r="F66" s="2"/>
    </row>
    <row r="67" spans="2:6" ht="18" x14ac:dyDescent="0.4">
      <c r="B67" s="15" t="s">
        <v>77</v>
      </c>
      <c r="C67" s="15"/>
      <c r="D67" s="15"/>
      <c r="E67" s="2"/>
      <c r="F67" s="2"/>
    </row>
    <row r="68" spans="2:6" x14ac:dyDescent="0.3">
      <c r="B68" s="2" t="s">
        <v>148</v>
      </c>
      <c r="C68" s="15"/>
      <c r="D68" s="15"/>
      <c r="E68" s="2"/>
      <c r="F68" s="2"/>
    </row>
    <row r="69" spans="2:6" s="21" customFormat="1" x14ac:dyDescent="0.3">
      <c r="B69" s="12" t="s">
        <v>3</v>
      </c>
      <c r="C69" s="46"/>
      <c r="D69" s="46"/>
      <c r="E69" s="12"/>
      <c r="F69" s="12"/>
    </row>
    <row r="70" spans="2:6" s="21" customFormat="1" x14ac:dyDescent="0.3">
      <c r="B70" s="12" t="s">
        <v>4</v>
      </c>
      <c r="C70" s="12"/>
      <c r="D70" s="12"/>
      <c r="E70" s="12"/>
      <c r="F70" s="12"/>
    </row>
    <row r="71" spans="2:6" s="21" customFormat="1" x14ac:dyDescent="0.3">
      <c r="B71" s="12" t="s">
        <v>73</v>
      </c>
      <c r="C71" s="12"/>
      <c r="D71" s="12"/>
      <c r="E71" s="12"/>
      <c r="F71" s="12"/>
    </row>
    <row r="72" spans="2:6" s="21" customFormat="1" x14ac:dyDescent="0.3">
      <c r="B72" s="12"/>
      <c r="C72" s="12"/>
      <c r="D72" s="12"/>
      <c r="E72" s="12"/>
      <c r="F72" s="12"/>
    </row>
    <row r="73" spans="2:6" s="21" customFormat="1" x14ac:dyDescent="0.3">
      <c r="B73" s="12" t="s">
        <v>78</v>
      </c>
      <c r="C73" s="12"/>
      <c r="D73" s="12"/>
      <c r="E73" s="12"/>
      <c r="F73" s="12">
        <f>1840*-2.5</f>
        <v>-4600</v>
      </c>
    </row>
    <row r="74" spans="2:6" x14ac:dyDescent="0.3">
      <c r="B74" s="1" t="s">
        <v>79</v>
      </c>
      <c r="F74" s="2">
        <f>2080*1</f>
        <v>2080</v>
      </c>
    </row>
    <row r="75" spans="2:6" x14ac:dyDescent="0.3">
      <c r="F75" s="2"/>
    </row>
    <row r="76" spans="2:6" x14ac:dyDescent="0.3">
      <c r="F76" s="2"/>
    </row>
    <row r="77" spans="2:6" ht="18" x14ac:dyDescent="0.4">
      <c r="B77" s="8" t="s">
        <v>295</v>
      </c>
      <c r="F77" s="2"/>
    </row>
    <row r="78" spans="2:6" x14ac:dyDescent="0.3">
      <c r="F78" s="2"/>
    </row>
    <row r="79" spans="2:6" x14ac:dyDescent="0.3">
      <c r="B79" s="1" t="s">
        <v>296</v>
      </c>
      <c r="F79" s="2">
        <f>40*40</f>
        <v>1600</v>
      </c>
    </row>
    <row r="80" spans="2:6" x14ac:dyDescent="0.3">
      <c r="B80" s="1" t="s">
        <v>297</v>
      </c>
      <c r="F80" s="2">
        <f>-20*25</f>
        <v>-500</v>
      </c>
    </row>
    <row r="81" spans="1:13" x14ac:dyDescent="0.3">
      <c r="F81" s="2"/>
    </row>
    <row r="82" spans="1:13" s="5" customFormat="1" ht="21" x14ac:dyDescent="0.4">
      <c r="A82" s="1"/>
      <c r="B82" s="1" t="s">
        <v>74</v>
      </c>
      <c r="C82" s="1"/>
      <c r="D82" s="1"/>
      <c r="E82" s="1"/>
      <c r="F82" s="14">
        <f>SUM(F73:F80)</f>
        <v>-1420</v>
      </c>
      <c r="G82" s="1"/>
      <c r="H82" s="1"/>
      <c r="I82" s="1"/>
      <c r="J82" s="1"/>
      <c r="K82" s="1"/>
      <c r="L82" s="1"/>
      <c r="M82" s="1"/>
    </row>
    <row r="83" spans="1:13" s="5" customFormat="1" ht="21" x14ac:dyDescent="0.4">
      <c r="A83" s="1"/>
      <c r="B83" s="1"/>
      <c r="C83" s="1"/>
      <c r="D83" s="1"/>
      <c r="E83" s="1"/>
      <c r="F83" s="12"/>
      <c r="G83" s="1"/>
      <c r="H83" s="1"/>
      <c r="I83" s="1"/>
      <c r="J83" s="1"/>
      <c r="K83" s="1"/>
      <c r="L83" s="1"/>
      <c r="M83" s="1"/>
    </row>
    <row r="85" spans="1:13" x14ac:dyDescent="0.3">
      <c r="A85" s="1" t="s">
        <v>223</v>
      </c>
      <c r="B85" s="1" t="s">
        <v>75</v>
      </c>
    </row>
    <row r="87" spans="1:13" x14ac:dyDescent="0.3">
      <c r="B87" s="1" t="s">
        <v>76</v>
      </c>
    </row>
  </sheetData>
  <mergeCells count="2">
    <mergeCell ref="E23:F23"/>
    <mergeCell ref="G23:H23"/>
  </mergeCells>
  <phoneticPr fontId="14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&amp;A&amp;RSide &amp;P</oddHeader>
    <oddFooter>&amp;CLøsninger kapittel 6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trw</dc:creator>
  <cp:lastModifiedBy>Trond Winther</cp:lastModifiedBy>
  <cp:lastPrinted>2011-03-11T11:47:27Z</cp:lastPrinted>
  <dcterms:created xsi:type="dcterms:W3CDTF">1997-01-16T18:32:43Z</dcterms:created>
  <dcterms:modified xsi:type="dcterms:W3CDTF">2020-02-11T09:00:27Z</dcterms:modified>
</cp:coreProperties>
</file>