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8_{8893B6F3-3416-48E0-AB3C-E2429DA5D9FE}" xr6:coauthVersionLast="47" xr6:coauthVersionMax="47" xr10:uidLastSave="{00000000-0000-0000-0000-000000000000}"/>
  <bookViews>
    <workbookView xWindow="-120" yWindow="-120" windowWidth="38640" windowHeight="21120" firstSheet="3" activeTab="3" xr2:uid="{00000000-000D-0000-FFFF-FFFF00000000}"/>
  </bookViews>
  <sheets>
    <sheet name="Oppgave 1" sheetId="3" r:id="rId1"/>
    <sheet name="Oppgave 2" sheetId="2" r:id="rId2"/>
    <sheet name="Oppgave 3" sheetId="4" r:id="rId3"/>
    <sheet name="Oppgave 4" sheetId="1" r:id="rId4"/>
  </sheets>
  <definedNames>
    <definedName name="solver_eng" localSheetId="3" hidden="1">1</definedName>
    <definedName name="solver_neg" localSheetId="3" hidden="1">1</definedName>
    <definedName name="solver_num" localSheetId="3" hidden="1">0</definedName>
    <definedName name="solver_opt" localSheetId="3" hidden="1">'Oppgave 4'!$B$3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3" l="1"/>
  <c r="B25" i="2"/>
  <c r="B8" i="1"/>
  <c r="B15" i="2"/>
  <c r="B17" i="2" s="1"/>
  <c r="B3" i="2"/>
  <c r="B12" i="2" s="1"/>
  <c r="B37" i="3"/>
  <c r="B32" i="3"/>
  <c r="B25" i="4"/>
  <c r="B15" i="4"/>
  <c r="B16" i="4" s="1"/>
  <c r="B17" i="4" s="1"/>
  <c r="B22" i="4" s="1"/>
  <c r="B6" i="4"/>
  <c r="B6" i="2" l="1"/>
  <c r="B8" i="2" s="1"/>
  <c r="B18" i="2" s="1"/>
  <c r="B20" i="2" s="1"/>
  <c r="B21" i="2" s="1"/>
  <c r="B11" i="2"/>
  <c r="D12" i="2"/>
  <c r="C12" i="2"/>
  <c r="D11" i="2" s="1"/>
  <c r="D13" i="2" s="1"/>
  <c r="B13" i="2"/>
  <c r="C11" i="2"/>
  <c r="B7" i="4"/>
  <c r="B8" i="4" s="1"/>
  <c r="B21" i="4" s="1"/>
  <c r="B30" i="4"/>
  <c r="B31" i="4" s="1"/>
  <c r="B29" i="4"/>
  <c r="B7" i="3"/>
  <c r="G15" i="3" s="1"/>
  <c r="B14" i="3"/>
  <c r="A14" i="3"/>
  <c r="E13" i="3"/>
  <c r="B29" i="3" s="1"/>
  <c r="B30" i="3" s="1"/>
  <c r="D12" i="3"/>
  <c r="E12" i="3"/>
  <c r="F12" i="3"/>
  <c r="G12" i="3"/>
  <c r="C12" i="3"/>
  <c r="D11" i="3"/>
  <c r="E11" i="3"/>
  <c r="F11" i="3"/>
  <c r="G11" i="3"/>
  <c r="C11" i="3"/>
  <c r="C16" i="3" s="1"/>
  <c r="B39" i="1"/>
  <c r="I38" i="1"/>
  <c r="B38" i="1"/>
  <c r="I37" i="1"/>
  <c r="B40" i="1" s="1"/>
  <c r="B37" i="1"/>
  <c r="B33" i="1"/>
  <c r="C33" i="1" s="1"/>
  <c r="D33" i="1" s="1"/>
  <c r="E33" i="1" s="1"/>
  <c r="F33" i="1" s="1"/>
  <c r="G33" i="1" s="1"/>
  <c r="H33" i="1" s="1"/>
  <c r="D32" i="1"/>
  <c r="E32" i="1"/>
  <c r="F32" i="1"/>
  <c r="G32" i="1"/>
  <c r="H32" i="1"/>
  <c r="I32" i="1"/>
  <c r="C32" i="1"/>
  <c r="C31" i="1"/>
  <c r="D31" i="1" s="1"/>
  <c r="E31" i="1" s="1"/>
  <c r="F31" i="1" s="1"/>
  <c r="G31" i="1" s="1"/>
  <c r="H31" i="1" s="1"/>
  <c r="I31" i="1" s="1"/>
  <c r="D30" i="1"/>
  <c r="E30" i="1"/>
  <c r="E34" i="1" s="1"/>
  <c r="F30" i="1"/>
  <c r="F34" i="1" s="1"/>
  <c r="G30" i="1"/>
  <c r="G34" i="1" s="1"/>
  <c r="H30" i="1"/>
  <c r="I30" i="1"/>
  <c r="I34" i="1" s="1"/>
  <c r="C30" i="1"/>
  <c r="C34" i="1" s="1"/>
  <c r="D16" i="3" l="1"/>
  <c r="B35" i="1"/>
  <c r="B36" i="1" s="1"/>
  <c r="E16" i="3"/>
  <c r="B35" i="4"/>
  <c r="B36" i="4" s="1"/>
  <c r="B39" i="4" s="1"/>
  <c r="B40" i="4" s="1"/>
  <c r="C13" i="2"/>
  <c r="B41" i="1"/>
  <c r="I35" i="1"/>
  <c r="I36" i="1" s="1"/>
  <c r="I41" i="1" s="1"/>
  <c r="G35" i="1"/>
  <c r="G36" i="1" s="1"/>
  <c r="G41" i="1" s="1"/>
  <c r="E35" i="1"/>
  <c r="E36" i="1" s="1"/>
  <c r="E41" i="1" s="1"/>
  <c r="G16" i="3"/>
  <c r="F16" i="3"/>
  <c r="B15" i="3"/>
  <c r="B16" i="3" s="1"/>
  <c r="H34" i="1"/>
  <c r="H35" i="1" s="1"/>
  <c r="D34" i="1"/>
  <c r="D35" i="1" s="1"/>
  <c r="C35" i="1"/>
  <c r="F35" i="1"/>
  <c r="B9" i="1"/>
  <c r="B38" i="4" l="1"/>
  <c r="B11" i="1"/>
  <c r="B20" i="3"/>
  <c r="B19" i="3"/>
  <c r="B18" i="3"/>
  <c r="D36" i="1"/>
  <c r="D41" i="1" s="1"/>
  <c r="F36" i="1"/>
  <c r="F41" i="1" s="1"/>
  <c r="C36" i="1"/>
  <c r="C41" i="1" s="1"/>
  <c r="H36" i="1"/>
  <c r="H41" i="1" s="1"/>
  <c r="B43" i="1" l="1"/>
  <c r="B22" i="3"/>
  <c r="B24" i="3" s="1"/>
  <c r="B25" i="3" s="1"/>
  <c r="B33" i="3"/>
  <c r="B34" i="3" s="1"/>
  <c r="B38" i="3" s="1"/>
  <c r="B40" i="3" s="1"/>
  <c r="B26" i="3" l="1"/>
  <c r="B27" i="3" s="1"/>
</calcChain>
</file>

<file path=xl/sharedStrings.xml><?xml version="1.0" encoding="utf-8"?>
<sst xmlns="http://schemas.openxmlformats.org/spreadsheetml/2006/main" count="114" uniqueCount="90">
  <si>
    <t>Salgspris</t>
  </si>
  <si>
    <t>Variable kostnader</t>
  </si>
  <si>
    <t>Salgsvolum</t>
  </si>
  <si>
    <t>Faste kostnader</t>
  </si>
  <si>
    <t>Vedlikehold år 3</t>
  </si>
  <si>
    <t>Anleggsmidler</t>
  </si>
  <si>
    <t>Arbeidskapital</t>
  </si>
  <si>
    <t>Avkastningskrav</t>
  </si>
  <si>
    <t>År</t>
  </si>
  <si>
    <t>Dekningsbidrag</t>
  </si>
  <si>
    <t>Vedlikehold</t>
  </si>
  <si>
    <t>Kontantstrøm</t>
  </si>
  <si>
    <t>Nåverdi</t>
  </si>
  <si>
    <t>Internrente</t>
  </si>
  <si>
    <t>Modir</t>
  </si>
  <si>
    <t>Nåverdiannuitet</t>
  </si>
  <si>
    <t>Kritisk endring pris</t>
  </si>
  <si>
    <t>Dvs. laveste pris</t>
  </si>
  <si>
    <t>Kritisk endring mengde</t>
  </si>
  <si>
    <t>Dvs. laveste mengde</t>
  </si>
  <si>
    <t>Nåverdi vedlikehold</t>
  </si>
  <si>
    <t>Tilsvarende årlig beløp 3 år</t>
  </si>
  <si>
    <t xml:space="preserve">Nåverdi </t>
  </si>
  <si>
    <t>Sum</t>
  </si>
  <si>
    <t>Nødvendig kontantstrøm år</t>
  </si>
  <si>
    <t>Dekningsbidrag må være</t>
  </si>
  <si>
    <t>Nødvendig antall enheter</t>
  </si>
  <si>
    <t>Lån</t>
  </si>
  <si>
    <t>Nominell årsrente</t>
  </si>
  <si>
    <t>Månedsrente</t>
  </si>
  <si>
    <t>Perioder</t>
  </si>
  <si>
    <t>Terminbeløp</t>
  </si>
  <si>
    <t>Gebyr</t>
  </si>
  <si>
    <t>Måned</t>
  </si>
  <si>
    <t>Rente</t>
  </si>
  <si>
    <t>Avdrag</t>
  </si>
  <si>
    <t>Gebyrer</t>
  </si>
  <si>
    <t>Utbetalt</t>
  </si>
  <si>
    <t>Ytelse</t>
  </si>
  <si>
    <t>Effektiv månedsrente</t>
  </si>
  <si>
    <t>Effektiv årsrente</t>
  </si>
  <si>
    <t>Inflasjon</t>
  </si>
  <si>
    <t>Realrente etter skatt</t>
  </si>
  <si>
    <t>Aksje X</t>
  </si>
  <si>
    <t>Avkastning</t>
  </si>
  <si>
    <t>Sannsynighet</t>
  </si>
  <si>
    <t>Forventet X</t>
  </si>
  <si>
    <t>Varians X</t>
  </si>
  <si>
    <t>Standardavvik X</t>
  </si>
  <si>
    <t>Aksje Y</t>
  </si>
  <si>
    <t>Forventet Y</t>
  </si>
  <si>
    <t>Varians Y</t>
  </si>
  <si>
    <t>Standardavvik Y</t>
  </si>
  <si>
    <t>Risikofri rente</t>
  </si>
  <si>
    <t>Sharpe X</t>
  </si>
  <si>
    <t>Sharpe Y</t>
  </si>
  <si>
    <t>Andel X</t>
  </si>
  <si>
    <t>Andel Y</t>
  </si>
  <si>
    <t>Korrelasjon</t>
  </si>
  <si>
    <t>Forventet portefølje</t>
  </si>
  <si>
    <t>Porteføljevarians</t>
  </si>
  <si>
    <t>Standardavvik</t>
  </si>
  <si>
    <t>Optimal andel X</t>
  </si>
  <si>
    <t>Optimal andel Y</t>
  </si>
  <si>
    <t>Markedsporteføljen</t>
  </si>
  <si>
    <t>Aksjebeta</t>
  </si>
  <si>
    <t>Skattesats</t>
  </si>
  <si>
    <t>Lånerente før skatt</t>
  </si>
  <si>
    <t>Egenkapitalandel</t>
  </si>
  <si>
    <t>Egenkapitalkostnad</t>
  </si>
  <si>
    <t>Gjeldsrente etter skatt</t>
  </si>
  <si>
    <t>WACC</t>
  </si>
  <si>
    <t>WACC avrundes til</t>
  </si>
  <si>
    <t>Volum dag</t>
  </si>
  <si>
    <t>Dager år</t>
  </si>
  <si>
    <t>Lønn år 1</t>
  </si>
  <si>
    <t>Øker med</t>
  </si>
  <si>
    <t>Markedskommunikasjon</t>
  </si>
  <si>
    <t>Leie</t>
  </si>
  <si>
    <t>Andre kostnader</t>
  </si>
  <si>
    <t>Restverdi</t>
  </si>
  <si>
    <t>Saldosats</t>
  </si>
  <si>
    <t>Omsetning</t>
  </si>
  <si>
    <t>Lønnskostnader</t>
  </si>
  <si>
    <t>Kontantstrøm drift før skatt</t>
  </si>
  <si>
    <t>Skatt</t>
  </si>
  <si>
    <t>NV spart skatt avskrivning</t>
  </si>
  <si>
    <t>NV økt skatt nedskrivning</t>
  </si>
  <si>
    <t>Beregningsgrunnlag</t>
  </si>
  <si>
    <t>Nåverdi etter skatt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</si>
</sst>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0.0\ %"/>
    <numFmt numFmtId="166" formatCode="_ * #,##0_ ;_ * \-#,##0_ ;_ * &quot;-&quot;??_ ;_ @_ "/>
    <numFmt numFmtId="167" formatCode="0.0000"/>
    <numFmt numFmtId="168" formatCode="0.000000"/>
    <numFmt numFmtId="169" formatCode="0.0000\ %"/>
    <numFmt numFmtId="170" formatCode="#,##0.00_ ;[Red]\-#,##0.00\ "/>
    <numFmt numFmtId="171" formatCode="0.000\ 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9" fontId="0" fillId="0" borderId="0" xfId="0" applyNumberFormat="1"/>
    <xf numFmtId="10" fontId="0" fillId="0" borderId="0" xfId="2" applyNumberFormat="1" applyFont="1"/>
    <xf numFmtId="3" fontId="0" fillId="0" borderId="0" xfId="0" applyNumberFormat="1"/>
    <xf numFmtId="0" fontId="0" fillId="4" borderId="0" xfId="0" applyFill="1"/>
    <xf numFmtId="0" fontId="0" fillId="4" borderId="1" xfId="0" applyFill="1" applyBorder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4" fontId="0" fillId="0" borderId="0" xfId="0" applyNumberFormat="1"/>
    <xf numFmtId="0" fontId="0" fillId="4" borderId="2" xfId="0" applyFill="1" applyBorder="1"/>
    <xf numFmtId="2" fontId="0" fillId="4" borderId="0" xfId="0" applyNumberFormat="1" applyFill="1"/>
    <xf numFmtId="3" fontId="0" fillId="0" borderId="4" xfId="0" applyNumberFormat="1" applyBorder="1"/>
    <xf numFmtId="3" fontId="0" fillId="0" borderId="5" xfId="0" applyNumberFormat="1" applyBorder="1"/>
    <xf numFmtId="3" fontId="0" fillId="4" borderId="5" xfId="0" applyNumberFormat="1" applyFill="1" applyBorder="1"/>
    <xf numFmtId="0" fontId="0" fillId="0" borderId="4" xfId="0" applyBorder="1"/>
    <xf numFmtId="0" fontId="0" fillId="0" borderId="5" xfId="0" applyBorder="1"/>
    <xf numFmtId="0" fontId="0" fillId="4" borderId="5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0" borderId="4" xfId="0" quotePrefix="1" applyBorder="1"/>
    <xf numFmtId="0" fontId="0" fillId="3" borderId="3" xfId="0" applyFill="1" applyBorder="1"/>
    <xf numFmtId="3" fontId="0" fillId="3" borderId="3" xfId="0" applyNumberFormat="1" applyFill="1" applyBorder="1"/>
    <xf numFmtId="0" fontId="2" fillId="2" borderId="3" xfId="0" applyFont="1" applyFill="1" applyBorder="1"/>
    <xf numFmtId="3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" fontId="0" fillId="0" borderId="4" xfId="0" applyNumberFormat="1" applyBorder="1"/>
    <xf numFmtId="4" fontId="0" fillId="0" borderId="5" xfId="0" applyNumberFormat="1" applyBorder="1"/>
    <xf numFmtId="3" fontId="0" fillId="6" borderId="6" xfId="0" applyNumberFormat="1" applyFill="1" applyBorder="1"/>
    <xf numFmtId="0" fontId="0" fillId="6" borderId="4" xfId="0" applyFill="1" applyBorder="1"/>
    <xf numFmtId="3" fontId="0" fillId="6" borderId="4" xfId="0" applyNumberFormat="1" applyFill="1" applyBorder="1"/>
    <xf numFmtId="166" fontId="0" fillId="6" borderId="4" xfId="1" applyNumberFormat="1" applyFont="1" applyFill="1" applyBorder="1"/>
    <xf numFmtId="9" fontId="0" fillId="6" borderId="5" xfId="0" applyNumberFormat="1" applyFill="1" applyBorder="1"/>
    <xf numFmtId="0" fontId="0" fillId="5" borderId="6" xfId="0" applyFill="1" applyBorder="1"/>
    <xf numFmtId="0" fontId="0" fillId="5" borderId="4" xfId="0" applyFill="1" applyBorder="1"/>
    <xf numFmtId="0" fontId="0" fillId="5" borderId="5" xfId="0" applyFill="1" applyBorder="1"/>
    <xf numFmtId="0" fontId="0" fillId="4" borderId="6" xfId="0" applyFill="1" applyBorder="1"/>
    <xf numFmtId="0" fontId="0" fillId="4" borderId="4" xfId="0" applyFill="1" applyBorder="1"/>
    <xf numFmtId="3" fontId="0" fillId="4" borderId="6" xfId="0" applyNumberFormat="1" applyFill="1" applyBorder="1"/>
    <xf numFmtId="165" fontId="0" fillId="4" borderId="4" xfId="2" applyNumberFormat="1" applyFont="1" applyFill="1" applyBorder="1"/>
    <xf numFmtId="165" fontId="0" fillId="4" borderId="5" xfId="2" applyNumberFormat="1" applyFont="1" applyFill="1" applyBorder="1"/>
    <xf numFmtId="0" fontId="0" fillId="7" borderId="3" xfId="0" applyFill="1" applyBorder="1"/>
    <xf numFmtId="3" fontId="0" fillId="7" borderId="3" xfId="0" applyNumberFormat="1" applyFill="1" applyBorder="1"/>
    <xf numFmtId="0" fontId="0" fillId="4" borderId="3" xfId="0" applyFill="1" applyBorder="1"/>
    <xf numFmtId="3" fontId="0" fillId="4" borderId="3" xfId="0" applyNumberFormat="1" applyFill="1" applyBorder="1"/>
    <xf numFmtId="3" fontId="0" fillId="0" borderId="6" xfId="0" applyNumberFormat="1" applyBorder="1"/>
    <xf numFmtId="3" fontId="0" fillId="4" borderId="4" xfId="0" applyNumberFormat="1" applyFill="1" applyBorder="1"/>
    <xf numFmtId="0" fontId="0" fillId="7" borderId="6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166" fontId="0" fillId="4" borderId="6" xfId="1" applyNumberFormat="1" applyFont="1" applyFill="1" applyBorder="1"/>
    <xf numFmtId="166" fontId="0" fillId="4" borderId="5" xfId="0" applyNumberFormat="1" applyFill="1" applyBorder="1"/>
    <xf numFmtId="166" fontId="0" fillId="4" borderId="3" xfId="1" applyNumberFormat="1" applyFont="1" applyFill="1" applyBorder="1"/>
    <xf numFmtId="169" fontId="0" fillId="6" borderId="4" xfId="0" applyNumberFormat="1" applyFill="1" applyBorder="1"/>
    <xf numFmtId="169" fontId="0" fillId="6" borderId="4" xfId="2" applyNumberFormat="1" applyFont="1" applyFill="1" applyBorder="1"/>
    <xf numFmtId="170" fontId="0" fillId="6" borderId="4" xfId="0" applyNumberFormat="1" applyFill="1" applyBorder="1"/>
    <xf numFmtId="2" fontId="0" fillId="6" borderId="5" xfId="0" applyNumberFormat="1" applyFill="1" applyBorder="1"/>
    <xf numFmtId="170" fontId="0" fillId="6" borderId="3" xfId="0" applyNumberFormat="1" applyFill="1" applyBorder="1"/>
    <xf numFmtId="0" fontId="0" fillId="6" borderId="3" xfId="0" applyFill="1" applyBorder="1"/>
    <xf numFmtId="4" fontId="0" fillId="6" borderId="3" xfId="0" applyNumberFormat="1" applyFill="1" applyBorder="1"/>
    <xf numFmtId="4" fontId="0" fillId="6" borderId="6" xfId="0" applyNumberFormat="1" applyFill="1" applyBorder="1"/>
    <xf numFmtId="4" fontId="0" fillId="6" borderId="5" xfId="0" applyNumberFormat="1" applyFill="1" applyBorder="1"/>
    <xf numFmtId="4" fontId="0" fillId="6" borderId="4" xfId="0" applyNumberFormat="1" applyFill="1" applyBorder="1"/>
    <xf numFmtId="10" fontId="0" fillId="6" borderId="3" xfId="2" applyNumberFormat="1" applyFont="1" applyFill="1" applyBorder="1"/>
    <xf numFmtId="10" fontId="0" fillId="6" borderId="3" xfId="0" applyNumberFormat="1" applyFill="1" applyBorder="1"/>
    <xf numFmtId="169" fontId="0" fillId="6" borderId="6" xfId="0" applyNumberFormat="1" applyFill="1" applyBorder="1"/>
    <xf numFmtId="10" fontId="0" fillId="6" borderId="5" xfId="2" applyNumberFormat="1" applyFont="1" applyFill="1" applyBorder="1"/>
    <xf numFmtId="9" fontId="0" fillId="6" borderId="6" xfId="2" applyFont="1" applyFill="1" applyBorder="1"/>
    <xf numFmtId="167" fontId="0" fillId="6" borderId="4" xfId="0" applyNumberFormat="1" applyFill="1" applyBorder="1"/>
    <xf numFmtId="171" fontId="0" fillId="6" borderId="5" xfId="2" applyNumberFormat="1" applyFont="1" applyFill="1" applyBorder="1"/>
    <xf numFmtId="9" fontId="0" fillId="6" borderId="6" xfId="0" applyNumberFormat="1" applyFill="1" applyBorder="1"/>
    <xf numFmtId="10" fontId="0" fillId="6" borderId="6" xfId="2" applyNumberFormat="1" applyFont="1" applyFill="1" applyBorder="1"/>
    <xf numFmtId="165" fontId="0" fillId="6" borderId="5" xfId="0" applyNumberFormat="1" applyFill="1" applyBorder="1"/>
    <xf numFmtId="168" fontId="0" fillId="6" borderId="4" xfId="0" applyNumberFormat="1" applyFill="1" applyBorder="1"/>
    <xf numFmtId="169" fontId="0" fillId="6" borderId="5" xfId="2" applyNumberFormat="1" applyFont="1" applyFill="1" applyBorder="1"/>
    <xf numFmtId="165" fontId="0" fillId="6" borderId="6" xfId="0" applyNumberFormat="1" applyFill="1" applyBorder="1"/>
    <xf numFmtId="0" fontId="0" fillId="8" borderId="6" xfId="0" applyFill="1" applyBorder="1"/>
    <xf numFmtId="0" fontId="0" fillId="8" borderId="4" xfId="0" applyFill="1" applyBorder="1"/>
    <xf numFmtId="0" fontId="0" fillId="8" borderId="5" xfId="0" applyFill="1" applyBorder="1"/>
    <xf numFmtId="10" fontId="0" fillId="6" borderId="6" xfId="0" applyNumberFormat="1" applyFill="1" applyBorder="1"/>
    <xf numFmtId="9" fontId="0" fillId="6" borderId="4" xfId="0" applyNumberFormat="1" applyFill="1" applyBorder="1"/>
    <xf numFmtId="10" fontId="0" fillId="6" borderId="4" xfId="0" applyNumberFormat="1" applyFill="1" applyBorder="1"/>
    <xf numFmtId="10" fontId="0" fillId="6" borderId="4" xfId="2" applyNumberFormat="1" applyFon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opLeftCell="A4" workbookViewId="0">
      <selection activeCell="I18" sqref="I18"/>
    </sheetView>
  </sheetViews>
  <sheetFormatPr baseColWidth="10" defaultColWidth="11.42578125" defaultRowHeight="15" x14ac:dyDescent="0.25"/>
  <cols>
    <col min="1" max="1" width="25.5703125" customWidth="1"/>
    <col min="2" max="2" width="12.85546875" bestFit="1" customWidth="1"/>
  </cols>
  <sheetData>
    <row r="1" spans="1:7" x14ac:dyDescent="0.25">
      <c r="A1" s="32" t="s">
        <v>0</v>
      </c>
      <c r="B1" s="27">
        <v>2400</v>
      </c>
    </row>
    <row r="2" spans="1:7" x14ac:dyDescent="0.25">
      <c r="A2" s="33" t="s">
        <v>1</v>
      </c>
      <c r="B2" s="28">
        <v>900</v>
      </c>
    </row>
    <row r="3" spans="1:7" x14ac:dyDescent="0.25">
      <c r="A3" s="33" t="s">
        <v>2</v>
      </c>
      <c r="B3" s="29">
        <v>1500</v>
      </c>
    </row>
    <row r="4" spans="1:7" x14ac:dyDescent="0.25">
      <c r="A4" s="33" t="s">
        <v>3</v>
      </c>
      <c r="B4" s="29">
        <v>500000</v>
      </c>
    </row>
    <row r="5" spans="1:7" x14ac:dyDescent="0.25">
      <c r="A5" s="33" t="s">
        <v>4</v>
      </c>
      <c r="B5" s="29">
        <v>400000</v>
      </c>
    </row>
    <row r="6" spans="1:7" x14ac:dyDescent="0.25">
      <c r="A6" s="33" t="s">
        <v>5</v>
      </c>
      <c r="B6" s="29">
        <v>5000000</v>
      </c>
    </row>
    <row r="7" spans="1:7" x14ac:dyDescent="0.25">
      <c r="A7" s="33" t="s">
        <v>6</v>
      </c>
      <c r="B7" s="30">
        <f>1000000</f>
        <v>1000000</v>
      </c>
    </row>
    <row r="8" spans="1:7" x14ac:dyDescent="0.25">
      <c r="A8" s="34" t="s">
        <v>7</v>
      </c>
      <c r="B8" s="31">
        <v>0.1</v>
      </c>
    </row>
    <row r="10" spans="1:7" x14ac:dyDescent="0.25">
      <c r="A10" s="17" t="s">
        <v>8</v>
      </c>
      <c r="B10" s="18">
        <v>0</v>
      </c>
      <c r="C10" s="18">
        <v>1</v>
      </c>
      <c r="D10" s="18">
        <v>2</v>
      </c>
      <c r="E10" s="18">
        <v>3</v>
      </c>
      <c r="F10" s="18">
        <v>4</v>
      </c>
      <c r="G10" s="18">
        <v>5</v>
      </c>
    </row>
    <row r="11" spans="1:7" x14ac:dyDescent="0.25">
      <c r="A11" s="14" t="s">
        <v>9</v>
      </c>
      <c r="B11" s="11"/>
      <c r="C11" s="11">
        <f>($B$1-$B$2)*$B$3</f>
        <v>2250000</v>
      </c>
      <c r="D11" s="11">
        <f t="shared" ref="D11:G11" si="0">($B$1-$B$2)*$B$3</f>
        <v>2250000</v>
      </c>
      <c r="E11" s="11">
        <f t="shared" si="0"/>
        <v>2250000</v>
      </c>
      <c r="F11" s="11">
        <f t="shared" si="0"/>
        <v>2250000</v>
      </c>
      <c r="G11" s="11">
        <f t="shared" si="0"/>
        <v>2250000</v>
      </c>
    </row>
    <row r="12" spans="1:7" x14ac:dyDescent="0.25">
      <c r="A12" s="14" t="s">
        <v>3</v>
      </c>
      <c r="B12" s="11"/>
      <c r="C12" s="11">
        <f>-$B$4</f>
        <v>-500000</v>
      </c>
      <c r="D12" s="11">
        <f t="shared" ref="D12:G12" si="1">-$B$4</f>
        <v>-500000</v>
      </c>
      <c r="E12" s="11">
        <f t="shared" si="1"/>
        <v>-500000</v>
      </c>
      <c r="F12" s="11">
        <f t="shared" si="1"/>
        <v>-500000</v>
      </c>
      <c r="G12" s="11">
        <f t="shared" si="1"/>
        <v>-500000</v>
      </c>
    </row>
    <row r="13" spans="1:7" x14ac:dyDescent="0.25">
      <c r="A13" s="14" t="s">
        <v>10</v>
      </c>
      <c r="B13" s="11"/>
      <c r="C13" s="11"/>
      <c r="D13" s="11"/>
      <c r="E13" s="11">
        <f>-B5</f>
        <v>-400000</v>
      </c>
      <c r="F13" s="11"/>
      <c r="G13" s="11"/>
    </row>
    <row r="14" spans="1:7" x14ac:dyDescent="0.25">
      <c r="A14" s="14" t="str">
        <f>A6</f>
        <v>Anleggsmidler</v>
      </c>
      <c r="B14" s="11">
        <f>-B6</f>
        <v>-5000000</v>
      </c>
      <c r="C14" s="11"/>
      <c r="D14" s="11"/>
      <c r="E14" s="11"/>
      <c r="F14" s="11"/>
      <c r="G14" s="11"/>
    </row>
    <row r="15" spans="1:7" x14ac:dyDescent="0.25">
      <c r="A15" s="15" t="s">
        <v>6</v>
      </c>
      <c r="B15" s="12">
        <f>-B7</f>
        <v>-1000000</v>
      </c>
      <c r="C15" s="12"/>
      <c r="D15" s="12"/>
      <c r="E15" s="12"/>
      <c r="F15" s="12"/>
      <c r="G15" s="12">
        <f>B7</f>
        <v>1000000</v>
      </c>
    </row>
    <row r="16" spans="1:7" x14ac:dyDescent="0.25">
      <c r="A16" s="16" t="s">
        <v>11</v>
      </c>
      <c r="B16" s="13">
        <f>SUM(B11:B15)</f>
        <v>-6000000</v>
      </c>
      <c r="C16" s="13">
        <f t="shared" ref="C16:G16" si="2">SUM(C11:C15)</f>
        <v>1750000</v>
      </c>
      <c r="D16" s="13">
        <f t="shared" si="2"/>
        <v>1750000</v>
      </c>
      <c r="E16" s="13">
        <f t="shared" si="2"/>
        <v>1350000</v>
      </c>
      <c r="F16" s="13">
        <f t="shared" si="2"/>
        <v>1750000</v>
      </c>
      <c r="G16" s="13">
        <f t="shared" si="2"/>
        <v>2750000</v>
      </c>
    </row>
    <row r="17" spans="1:7" x14ac:dyDescent="0.25">
      <c r="B17" s="3"/>
      <c r="C17" s="3"/>
      <c r="D17" s="3"/>
      <c r="E17" s="3"/>
      <c r="F17" s="3"/>
      <c r="G17" s="3"/>
    </row>
    <row r="18" spans="1:7" x14ac:dyDescent="0.25">
      <c r="A18" s="46" t="s">
        <v>12</v>
      </c>
      <c r="B18" s="37">
        <f>NPV(B8,C16:G16)+B16</f>
        <v>954272.24916330539</v>
      </c>
      <c r="C18" s="3"/>
      <c r="D18" s="3"/>
      <c r="E18" s="3"/>
      <c r="F18" s="3"/>
      <c r="G18" s="3"/>
    </row>
    <row r="19" spans="1:7" x14ac:dyDescent="0.25">
      <c r="A19" s="47" t="s">
        <v>13</v>
      </c>
      <c r="B19" s="38">
        <f>IRR(B16:G16)</f>
        <v>0.15662534005446016</v>
      </c>
      <c r="C19" s="3"/>
      <c r="D19" s="3"/>
      <c r="E19" s="3"/>
      <c r="F19" s="3"/>
      <c r="G19" s="3"/>
    </row>
    <row r="20" spans="1:7" x14ac:dyDescent="0.25">
      <c r="A20" s="48" t="s">
        <v>14</v>
      </c>
      <c r="B20" s="39">
        <f>MIRR(B16:G16,B8,B8)</f>
        <v>0.13295529324423505</v>
      </c>
      <c r="C20" s="3"/>
      <c r="D20" s="3"/>
      <c r="E20" s="3"/>
      <c r="F20" s="3"/>
      <c r="G20" s="3"/>
    </row>
    <row r="21" spans="1:7" x14ac:dyDescent="0.25">
      <c r="B21" s="3"/>
      <c r="C21" s="3"/>
      <c r="D21" s="3"/>
      <c r="E21" s="3"/>
      <c r="F21" s="3"/>
      <c r="G21" s="3"/>
    </row>
    <row r="22" spans="1:7" x14ac:dyDescent="0.25">
      <c r="A22" s="40" t="s">
        <v>15</v>
      </c>
      <c r="B22" s="43">
        <f>-PMT(B8,G10,B18)</f>
        <v>251734.61532161559</v>
      </c>
      <c r="C22" s="3"/>
      <c r="D22" s="3"/>
      <c r="E22" s="3"/>
      <c r="F22" s="3"/>
      <c r="G22" s="3"/>
    </row>
    <row r="23" spans="1:7" x14ac:dyDescent="0.25">
      <c r="B23" s="44"/>
      <c r="C23" s="3"/>
      <c r="D23" s="3"/>
      <c r="E23" s="3"/>
      <c r="F23" s="3"/>
      <c r="G23" s="3"/>
    </row>
    <row r="24" spans="1:7" x14ac:dyDescent="0.25">
      <c r="A24" s="49" t="s">
        <v>16</v>
      </c>
      <c r="B24" s="37">
        <f>B22/B3</f>
        <v>167.82307688107707</v>
      </c>
      <c r="C24" s="3"/>
      <c r="D24" s="3"/>
      <c r="E24" s="3"/>
      <c r="F24" s="3"/>
      <c r="G24" s="3"/>
    </row>
    <row r="25" spans="1:7" x14ac:dyDescent="0.25">
      <c r="A25" s="50" t="s">
        <v>17</v>
      </c>
      <c r="B25" s="45">
        <f>B1-B24</f>
        <v>2232.1769231189228</v>
      </c>
      <c r="C25" s="3"/>
      <c r="D25" s="3"/>
      <c r="E25" s="3"/>
      <c r="F25" s="3"/>
      <c r="G25" s="3"/>
    </row>
    <row r="26" spans="1:7" x14ac:dyDescent="0.25">
      <c r="A26" s="50" t="s">
        <v>18</v>
      </c>
      <c r="B26" s="45">
        <f>B22/(B1-B2)</f>
        <v>167.82307688107707</v>
      </c>
      <c r="C26" s="3"/>
      <c r="D26" s="3"/>
      <c r="E26" s="3"/>
      <c r="F26" s="3"/>
      <c r="G26" s="3"/>
    </row>
    <row r="27" spans="1:7" x14ac:dyDescent="0.25">
      <c r="A27" s="51" t="s">
        <v>19</v>
      </c>
      <c r="B27" s="13">
        <f>B3-B26</f>
        <v>1332.176923118923</v>
      </c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A29" s="46" t="s">
        <v>20</v>
      </c>
      <c r="B29" s="37">
        <f>-E13/(1+B8)^E10</f>
        <v>300525.92036063102</v>
      </c>
      <c r="C29" s="3"/>
      <c r="D29" s="3"/>
      <c r="E29" s="3"/>
      <c r="F29" s="3"/>
      <c r="G29" s="3"/>
    </row>
    <row r="30" spans="1:7" x14ac:dyDescent="0.25">
      <c r="A30" s="48" t="s">
        <v>21</v>
      </c>
      <c r="B30" s="13">
        <f>B5/B29+PMT(B8,3,-B29)</f>
        <v>120847.25245015108</v>
      </c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A32" s="46" t="s">
        <v>5</v>
      </c>
      <c r="B32" s="37">
        <f>B6</f>
        <v>5000000</v>
      </c>
    </row>
    <row r="33" spans="1:2" x14ac:dyDescent="0.25">
      <c r="A33" s="48" t="s">
        <v>22</v>
      </c>
      <c r="B33" s="13">
        <f>B18</f>
        <v>954272.24916330539</v>
      </c>
    </row>
    <row r="34" spans="1:2" x14ac:dyDescent="0.25">
      <c r="A34" s="48" t="s">
        <v>23</v>
      </c>
      <c r="B34" s="13">
        <f>SUM(B32:B33)</f>
        <v>5954272.2491633054</v>
      </c>
    </row>
    <row r="36" spans="1:2" x14ac:dyDescent="0.25">
      <c r="A36" s="46" t="s">
        <v>24</v>
      </c>
      <c r="B36" s="52">
        <f>PMT(B8,G10,-B34)</f>
        <v>1570722.0192953425</v>
      </c>
    </row>
    <row r="37" spans="1:2" x14ac:dyDescent="0.25">
      <c r="A37" s="48" t="s">
        <v>3</v>
      </c>
      <c r="B37" s="13">
        <f>B4</f>
        <v>500000</v>
      </c>
    </row>
    <row r="38" spans="1:2" x14ac:dyDescent="0.25">
      <c r="A38" s="48" t="s">
        <v>25</v>
      </c>
      <c r="B38" s="53">
        <f>SUM(B36:B37)</f>
        <v>2070722.0192953425</v>
      </c>
    </row>
    <row r="40" spans="1:2" x14ac:dyDescent="0.25">
      <c r="A40" s="40" t="s">
        <v>26</v>
      </c>
      <c r="B40" s="54">
        <f>B38/(B1-B2)</f>
        <v>1380.4813461968949</v>
      </c>
    </row>
  </sheetData>
  <pageMargins left="0.7" right="0.7" top="0.75" bottom="0.75" header="0.3" footer="0.3"/>
  <pageSetup paperSize="9" orientation="portrait" r:id="rId1"/>
  <ignoredErrors>
    <ignoredError sqref="B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topLeftCell="A4" workbookViewId="0">
      <selection activeCell="B25" sqref="B25"/>
    </sheetView>
  </sheetViews>
  <sheetFormatPr baseColWidth="10" defaultColWidth="11.42578125" defaultRowHeight="15" x14ac:dyDescent="0.25"/>
  <cols>
    <col min="1" max="1" width="20.28515625" bestFit="1" customWidth="1"/>
  </cols>
  <sheetData>
    <row r="1" spans="1:4" x14ac:dyDescent="0.25">
      <c r="A1" s="4" t="s">
        <v>27</v>
      </c>
      <c r="B1" s="27">
        <v>203683</v>
      </c>
    </row>
    <row r="2" spans="1:4" x14ac:dyDescent="0.25">
      <c r="A2" s="4" t="s">
        <v>28</v>
      </c>
      <c r="B2" s="55">
        <v>6.0999999999999999E-2</v>
      </c>
    </row>
    <row r="3" spans="1:4" x14ac:dyDescent="0.25">
      <c r="A3" s="4" t="s">
        <v>29</v>
      </c>
      <c r="B3" s="56">
        <f>B2/12</f>
        <v>5.0833333333333329E-3</v>
      </c>
    </row>
    <row r="4" spans="1:4" x14ac:dyDescent="0.25">
      <c r="A4" s="4" t="s">
        <v>30</v>
      </c>
      <c r="B4" s="28">
        <v>36</v>
      </c>
    </row>
    <row r="5" spans="1:4" x14ac:dyDescent="0.25">
      <c r="A5" s="4"/>
      <c r="B5" s="28"/>
    </row>
    <row r="6" spans="1:4" x14ac:dyDescent="0.25">
      <c r="A6" s="4" t="s">
        <v>31</v>
      </c>
      <c r="B6" s="57">
        <f>-PMT(B3,B4,B1)</f>
        <v>6205.6645872611334</v>
      </c>
    </row>
    <row r="7" spans="1:4" x14ac:dyDescent="0.25">
      <c r="A7" s="5" t="s">
        <v>32</v>
      </c>
      <c r="B7" s="58">
        <v>85</v>
      </c>
    </row>
    <row r="8" spans="1:4" x14ac:dyDescent="0.25">
      <c r="A8" s="9" t="s">
        <v>23</v>
      </c>
      <c r="B8" s="59">
        <f>SUM(B6:B7)</f>
        <v>6290.6645872611334</v>
      </c>
    </row>
    <row r="10" spans="1:4" x14ac:dyDescent="0.25">
      <c r="A10" s="17" t="s">
        <v>33</v>
      </c>
      <c r="B10" s="18">
        <v>1</v>
      </c>
      <c r="C10" s="18">
        <v>2</v>
      </c>
      <c r="D10" s="18">
        <v>3</v>
      </c>
    </row>
    <row r="11" spans="1:4" x14ac:dyDescent="0.25">
      <c r="A11" s="14" t="s">
        <v>34</v>
      </c>
      <c r="B11" s="25">
        <f>-IPMT($B$3,B10,1,$B$1)</f>
        <v>1035.3885833333331</v>
      </c>
      <c r="C11" s="25">
        <f>(B1-B12)*B3</f>
        <v>1009.1063469800335</v>
      </c>
      <c r="D11" s="25">
        <f>(B1-B12-C12)*B3</f>
        <v>982.69050925860461</v>
      </c>
    </row>
    <row r="12" spans="1:4" x14ac:dyDescent="0.25">
      <c r="A12" s="15" t="s">
        <v>35</v>
      </c>
      <c r="B12" s="26">
        <f>-PPMT($B$3,B10,36,$B$1)</f>
        <v>5170.2760039277991</v>
      </c>
      <c r="C12" s="26">
        <f t="shared" ref="C12:D12" si="0">-PPMT($B$3,C10,36,$B$1)</f>
        <v>5196.5582402810996</v>
      </c>
      <c r="D12" s="26">
        <f t="shared" si="0"/>
        <v>5222.9740780025286</v>
      </c>
    </row>
    <row r="13" spans="1:4" x14ac:dyDescent="0.25">
      <c r="A13" s="60" t="s">
        <v>23</v>
      </c>
      <c r="B13" s="61">
        <f>SUM(B11:B12)</f>
        <v>6205.6645872611325</v>
      </c>
      <c r="C13" s="61">
        <f>SUM(C11:C12)</f>
        <v>6205.6645872611334</v>
      </c>
      <c r="D13" s="61">
        <f>SUM(D11:D12)</f>
        <v>6205.6645872611334</v>
      </c>
    </row>
    <row r="14" spans="1:4" x14ac:dyDescent="0.25">
      <c r="B14" s="8"/>
      <c r="C14" s="8"/>
      <c r="D14" s="8"/>
    </row>
    <row r="15" spans="1:4" x14ac:dyDescent="0.25">
      <c r="A15" s="35" t="s">
        <v>27</v>
      </c>
      <c r="B15" s="62">
        <f>B1</f>
        <v>203683</v>
      </c>
      <c r="C15" s="8"/>
      <c r="D15" s="8"/>
    </row>
    <row r="16" spans="1:4" x14ac:dyDescent="0.25">
      <c r="A16" s="16" t="s">
        <v>36</v>
      </c>
      <c r="B16" s="63">
        <v>3683</v>
      </c>
      <c r="C16" s="8"/>
      <c r="D16" s="8"/>
    </row>
    <row r="17" spans="1:2" x14ac:dyDescent="0.25">
      <c r="A17" s="36" t="s">
        <v>37</v>
      </c>
      <c r="B17" s="64">
        <f>B15-B16</f>
        <v>200000</v>
      </c>
    </row>
    <row r="18" spans="1:2" x14ac:dyDescent="0.25">
      <c r="A18" s="16" t="s">
        <v>38</v>
      </c>
      <c r="B18" s="63">
        <f>-B8</f>
        <v>-6290.6645872611334</v>
      </c>
    </row>
    <row r="20" spans="1:2" x14ac:dyDescent="0.25">
      <c r="A20" s="35" t="s">
        <v>39</v>
      </c>
      <c r="B20" s="67">
        <f>RATE(B4,B18,B17)</f>
        <v>6.8777026577621532E-3</v>
      </c>
    </row>
    <row r="21" spans="1:2" x14ac:dyDescent="0.25">
      <c r="A21" s="16" t="s">
        <v>40</v>
      </c>
      <c r="B21" s="68">
        <f>(1+B20)^12-1</f>
        <v>8.572710976439879E-2</v>
      </c>
    </row>
    <row r="23" spans="1:2" x14ac:dyDescent="0.25">
      <c r="A23" s="42" t="s">
        <v>41</v>
      </c>
      <c r="B23" s="66">
        <v>2.5000000000000001E-2</v>
      </c>
    </row>
    <row r="25" spans="1:2" x14ac:dyDescent="0.25">
      <c r="A25" s="42" t="s">
        <v>42</v>
      </c>
      <c r="B25" s="65">
        <f>(B21*(1-0.22)-B23)/(1+B23)</f>
        <v>4.0845995723152249E-2</v>
      </c>
    </row>
  </sheetData>
  <pageMargins left="0.7" right="0.7" top="0.75" bottom="0.75" header="0.3" footer="0.3"/>
  <pageSetup paperSize="9" orientation="portrait" r:id="rId1"/>
  <ignoredErrors>
    <ignoredError sqref="C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0"/>
  <sheetViews>
    <sheetView topLeftCell="A10" workbookViewId="0">
      <selection activeCell="F22" sqref="F22"/>
    </sheetView>
  </sheetViews>
  <sheetFormatPr baseColWidth="10" defaultColWidth="11.42578125" defaultRowHeight="15" x14ac:dyDescent="0.25"/>
  <cols>
    <col min="1" max="1" width="19.28515625" bestFit="1" customWidth="1"/>
    <col min="3" max="3" width="12.85546875" bestFit="1" customWidth="1"/>
    <col min="8" max="8" width="14.28515625" customWidth="1"/>
  </cols>
  <sheetData>
    <row r="1" spans="1:3" x14ac:dyDescent="0.25">
      <c r="A1" s="5" t="s">
        <v>43</v>
      </c>
      <c r="B1" s="5" t="s">
        <v>44</v>
      </c>
      <c r="C1" s="5" t="s">
        <v>45</v>
      </c>
    </row>
    <row r="2" spans="1:3" x14ac:dyDescent="0.25">
      <c r="B2" s="7">
        <v>0.3</v>
      </c>
      <c r="C2" s="6">
        <v>0.3</v>
      </c>
    </row>
    <row r="3" spans="1:3" x14ac:dyDescent="0.25">
      <c r="B3" s="7">
        <v>0.25</v>
      </c>
      <c r="C3" s="6">
        <v>0.4</v>
      </c>
    </row>
    <row r="4" spans="1:3" x14ac:dyDescent="0.25">
      <c r="B4" s="7">
        <v>0.2</v>
      </c>
      <c r="C4" s="6">
        <v>0.3</v>
      </c>
    </row>
    <row r="6" spans="1:3" x14ac:dyDescent="0.25">
      <c r="A6" s="35" t="s">
        <v>46</v>
      </c>
      <c r="B6" s="69">
        <f>B2*C2+B3*C3+B4*C4</f>
        <v>0.25</v>
      </c>
    </row>
    <row r="7" spans="1:3" x14ac:dyDescent="0.25">
      <c r="A7" s="36" t="s">
        <v>47</v>
      </c>
      <c r="B7" s="70">
        <f>(B2-B6)^2*C2+(B3-B6)^2*C3+(B4-B6)^2*C4</f>
        <v>1.4999999999999992E-3</v>
      </c>
    </row>
    <row r="8" spans="1:3" x14ac:dyDescent="0.25">
      <c r="A8" s="16" t="s">
        <v>48</v>
      </c>
      <c r="B8" s="71">
        <f>B7^0.5</f>
        <v>3.8729833462074155E-2</v>
      </c>
    </row>
    <row r="10" spans="1:3" x14ac:dyDescent="0.25">
      <c r="A10" s="5" t="s">
        <v>49</v>
      </c>
      <c r="B10" s="5" t="s">
        <v>44</v>
      </c>
      <c r="C10" s="5" t="s">
        <v>45</v>
      </c>
    </row>
    <row r="11" spans="1:3" x14ac:dyDescent="0.25">
      <c r="B11" s="7">
        <v>0.5</v>
      </c>
      <c r="C11" s="6">
        <v>0.2</v>
      </c>
    </row>
    <row r="12" spans="1:3" x14ac:dyDescent="0.25">
      <c r="B12" s="7">
        <v>0.3</v>
      </c>
      <c r="C12" s="6">
        <v>0.6</v>
      </c>
    </row>
    <row r="13" spans="1:3" x14ac:dyDescent="0.25">
      <c r="B13" s="7">
        <v>0.1</v>
      </c>
      <c r="C13" s="6">
        <v>0.2</v>
      </c>
    </row>
    <row r="15" spans="1:3" x14ac:dyDescent="0.25">
      <c r="A15" s="35" t="s">
        <v>50</v>
      </c>
      <c r="B15" s="69">
        <f>B11*C11+B12*C12+B13*C13</f>
        <v>0.30000000000000004</v>
      </c>
    </row>
    <row r="16" spans="1:3" x14ac:dyDescent="0.25">
      <c r="A16" s="36" t="s">
        <v>51</v>
      </c>
      <c r="B16" s="70">
        <f>(B11-B15)^2*C11+(B12-B15)^2*C12+(B13-B15)^2*C13</f>
        <v>1.6E-2</v>
      </c>
    </row>
    <row r="17" spans="1:2" x14ac:dyDescent="0.25">
      <c r="A17" s="16" t="s">
        <v>52</v>
      </c>
      <c r="B17" s="68">
        <f>B16^0.5</f>
        <v>0.12649110640673517</v>
      </c>
    </row>
    <row r="19" spans="1:2" x14ac:dyDescent="0.25">
      <c r="A19" t="s">
        <v>53</v>
      </c>
      <c r="B19" s="1">
        <v>0.04</v>
      </c>
    </row>
    <row r="21" spans="1:2" x14ac:dyDescent="0.25">
      <c r="A21" s="4" t="s">
        <v>54</v>
      </c>
      <c r="B21" s="10">
        <f>(B6-B19)/B8</f>
        <v>5.4221766846903856</v>
      </c>
    </row>
    <row r="22" spans="1:2" x14ac:dyDescent="0.25">
      <c r="A22" s="4" t="s">
        <v>55</v>
      </c>
      <c r="B22" s="10">
        <f>(B15-B19)/B17</f>
        <v>2.0554804791094474</v>
      </c>
    </row>
    <row r="24" spans="1:2" x14ac:dyDescent="0.25">
      <c r="A24" s="35" t="s">
        <v>56</v>
      </c>
      <c r="B24" s="77">
        <v>0.6</v>
      </c>
    </row>
    <row r="25" spans="1:2" x14ac:dyDescent="0.25">
      <c r="A25" s="16" t="s">
        <v>57</v>
      </c>
      <c r="B25" s="74">
        <f>1-B24</f>
        <v>0.4</v>
      </c>
    </row>
    <row r="27" spans="1:2" x14ac:dyDescent="0.25">
      <c r="A27" s="42" t="s">
        <v>58</v>
      </c>
      <c r="B27" s="60">
        <v>0.15</v>
      </c>
    </row>
    <row r="29" spans="1:2" x14ac:dyDescent="0.25">
      <c r="A29" s="35" t="s">
        <v>59</v>
      </c>
      <c r="B29" s="72">
        <f>B6*B24+B15*B25</f>
        <v>0.27</v>
      </c>
    </row>
    <row r="30" spans="1:2" x14ac:dyDescent="0.25">
      <c r="A30" s="36" t="s">
        <v>60</v>
      </c>
      <c r="B30" s="28">
        <f>(B24^2*B7+B25^2*B16+2*B24*B25*B8*B17*B27)</f>
        <v>3.4527265229607777E-3</v>
      </c>
    </row>
    <row r="31" spans="1:2" x14ac:dyDescent="0.25">
      <c r="A31" s="16" t="s">
        <v>61</v>
      </c>
      <c r="B31" s="68">
        <f>B30^0.5</f>
        <v>5.8759905743293851E-2</v>
      </c>
    </row>
    <row r="32" spans="1:2" x14ac:dyDescent="0.25">
      <c r="B32" s="2"/>
    </row>
    <row r="33" spans="1:2" x14ac:dyDescent="0.25">
      <c r="A33" s="42" t="s">
        <v>58</v>
      </c>
      <c r="B33" s="60">
        <v>-1</v>
      </c>
    </row>
    <row r="35" spans="1:2" x14ac:dyDescent="0.25">
      <c r="A35" s="35" t="s">
        <v>62</v>
      </c>
      <c r="B35" s="73">
        <f>(B16-B33*B8*B17)/(B7+B16-2*B33*B8*B17)</f>
        <v>0.7655876216850791</v>
      </c>
    </row>
    <row r="36" spans="1:2" x14ac:dyDescent="0.25">
      <c r="A36" s="16" t="s">
        <v>63</v>
      </c>
      <c r="B36" s="74">
        <f>1-B35</f>
        <v>0.2344123783149209</v>
      </c>
    </row>
    <row r="38" spans="1:2" x14ac:dyDescent="0.25">
      <c r="A38" s="35" t="s">
        <v>59</v>
      </c>
      <c r="B38" s="72">
        <f>B6*B35+B15*B36</f>
        <v>0.26172061891574605</v>
      </c>
    </row>
    <row r="39" spans="1:2" x14ac:dyDescent="0.25">
      <c r="A39" s="36" t="s">
        <v>60</v>
      </c>
      <c r="B39" s="75">
        <f>(B35^2*B7+B36^2*B16+2*B35*B36*B33*B8*B17)</f>
        <v>4.3368086899420177E-19</v>
      </c>
    </row>
    <row r="40" spans="1:2" x14ac:dyDescent="0.25">
      <c r="A40" s="16" t="s">
        <v>61</v>
      </c>
      <c r="B40" s="76">
        <f>B39^0.5</f>
        <v>6.5854450798271929E-10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tabSelected="1" workbookViewId="0">
      <selection activeCell="G11" sqref="G11"/>
    </sheetView>
  </sheetViews>
  <sheetFormatPr baseColWidth="10" defaultColWidth="11.42578125" defaultRowHeight="15" x14ac:dyDescent="0.25"/>
  <cols>
    <col min="1" max="1" width="25.42578125" bestFit="1" customWidth="1"/>
  </cols>
  <sheetData>
    <row r="1" spans="1:2" x14ac:dyDescent="0.25">
      <c r="A1" s="78" t="s">
        <v>53</v>
      </c>
      <c r="B1" s="81">
        <v>4.3499999999999997E-2</v>
      </c>
    </row>
    <row r="2" spans="1:2" x14ac:dyDescent="0.25">
      <c r="A2" s="79" t="s">
        <v>64</v>
      </c>
      <c r="B2" s="82">
        <v>0.1</v>
      </c>
    </row>
    <row r="3" spans="1:2" x14ac:dyDescent="0.25">
      <c r="A3" s="79" t="s">
        <v>65</v>
      </c>
      <c r="B3" s="28">
        <v>1.38</v>
      </c>
    </row>
    <row r="4" spans="1:2" x14ac:dyDescent="0.25">
      <c r="A4" s="79" t="s">
        <v>66</v>
      </c>
      <c r="B4" s="82">
        <v>0.22</v>
      </c>
    </row>
    <row r="5" spans="1:2" x14ac:dyDescent="0.25">
      <c r="A5" s="79" t="s">
        <v>67</v>
      </c>
      <c r="B5" s="83">
        <v>4.9500000000000002E-2</v>
      </c>
    </row>
    <row r="6" spans="1:2" x14ac:dyDescent="0.25">
      <c r="A6" s="79" t="s">
        <v>68</v>
      </c>
      <c r="B6" s="82">
        <v>0.5</v>
      </c>
    </row>
    <row r="7" spans="1:2" x14ac:dyDescent="0.25">
      <c r="A7" s="79"/>
      <c r="B7" s="28"/>
    </row>
    <row r="8" spans="1:2" x14ac:dyDescent="0.25">
      <c r="A8" s="79" t="s">
        <v>69</v>
      </c>
      <c r="B8" s="55">
        <f>B1+(B2-B1)*B3</f>
        <v>0.12147000000000001</v>
      </c>
    </row>
    <row r="9" spans="1:2" x14ac:dyDescent="0.25">
      <c r="A9" s="79" t="s">
        <v>70</v>
      </c>
      <c r="B9" s="84">
        <f>B5*(1-B4)</f>
        <v>3.8610000000000005E-2</v>
      </c>
    </row>
    <row r="10" spans="1:2" x14ac:dyDescent="0.25">
      <c r="A10" s="79"/>
      <c r="B10" s="28"/>
    </row>
    <row r="11" spans="1:2" x14ac:dyDescent="0.25">
      <c r="A11" s="79" t="s">
        <v>71</v>
      </c>
      <c r="B11" s="83">
        <f>B8*B6+B9*B6</f>
        <v>8.004E-2</v>
      </c>
    </row>
    <row r="12" spans="1:2" x14ac:dyDescent="0.25">
      <c r="A12" s="79" t="s">
        <v>72</v>
      </c>
      <c r="B12" s="83">
        <v>0.08</v>
      </c>
    </row>
    <row r="13" spans="1:2" x14ac:dyDescent="0.25">
      <c r="A13" s="79" t="s">
        <v>0</v>
      </c>
      <c r="B13" s="28">
        <v>125</v>
      </c>
    </row>
    <row r="14" spans="1:2" x14ac:dyDescent="0.25">
      <c r="A14" s="79" t="s">
        <v>73</v>
      </c>
      <c r="B14" s="29">
        <v>900</v>
      </c>
    </row>
    <row r="15" spans="1:2" x14ac:dyDescent="0.25">
      <c r="A15" s="79" t="s">
        <v>74</v>
      </c>
      <c r="B15" s="28">
        <v>365</v>
      </c>
    </row>
    <row r="16" spans="1:2" x14ac:dyDescent="0.25">
      <c r="A16" s="79"/>
      <c r="B16" s="28"/>
    </row>
    <row r="17" spans="1:9" x14ac:dyDescent="0.25">
      <c r="A17" s="79" t="s">
        <v>75</v>
      </c>
      <c r="B17" s="29">
        <v>3500000</v>
      </c>
    </row>
    <row r="18" spans="1:9" x14ac:dyDescent="0.25">
      <c r="A18" s="79" t="s">
        <v>76</v>
      </c>
      <c r="B18" s="82">
        <v>0.04</v>
      </c>
    </row>
    <row r="19" spans="1:9" x14ac:dyDescent="0.25">
      <c r="A19" s="79" t="s">
        <v>77</v>
      </c>
      <c r="B19" s="29">
        <v>2500000</v>
      </c>
    </row>
    <row r="20" spans="1:9" x14ac:dyDescent="0.25">
      <c r="A20" s="79" t="s">
        <v>78</v>
      </c>
      <c r="B20" s="29">
        <v>2500000</v>
      </c>
    </row>
    <row r="21" spans="1:9" x14ac:dyDescent="0.25">
      <c r="A21" s="79" t="s">
        <v>76</v>
      </c>
      <c r="B21" s="82">
        <v>0.03</v>
      </c>
    </row>
    <row r="22" spans="1:9" x14ac:dyDescent="0.25">
      <c r="A22" s="79" t="s">
        <v>79</v>
      </c>
      <c r="B22" s="82">
        <v>0.55000000000000004</v>
      </c>
    </row>
    <row r="23" spans="1:9" x14ac:dyDescent="0.25">
      <c r="A23" s="79"/>
      <c r="B23" s="28"/>
    </row>
    <row r="24" spans="1:9" x14ac:dyDescent="0.25">
      <c r="A24" s="79" t="s">
        <v>5</v>
      </c>
      <c r="B24" s="29">
        <v>40000000</v>
      </c>
    </row>
    <row r="25" spans="1:9" x14ac:dyDescent="0.25">
      <c r="A25" s="79" t="s">
        <v>80</v>
      </c>
      <c r="B25" s="29">
        <v>6000000</v>
      </c>
    </row>
    <row r="26" spans="1:9" x14ac:dyDescent="0.25">
      <c r="A26" s="79" t="s">
        <v>6</v>
      </c>
      <c r="B26" s="29">
        <v>8000000</v>
      </c>
    </row>
    <row r="27" spans="1:9" x14ac:dyDescent="0.25">
      <c r="A27" s="80" t="s">
        <v>81</v>
      </c>
      <c r="B27" s="31">
        <v>0.2</v>
      </c>
    </row>
    <row r="29" spans="1:9" x14ac:dyDescent="0.25">
      <c r="A29" s="22" t="s">
        <v>8</v>
      </c>
      <c r="B29" s="23">
        <v>0</v>
      </c>
      <c r="C29" s="24">
        <v>1</v>
      </c>
      <c r="D29" s="24">
        <v>2</v>
      </c>
      <c r="E29" s="24">
        <v>3</v>
      </c>
      <c r="F29" s="24">
        <v>4</v>
      </c>
      <c r="G29" s="24">
        <v>5</v>
      </c>
      <c r="H29" s="24">
        <v>6</v>
      </c>
      <c r="I29" s="24">
        <v>7</v>
      </c>
    </row>
    <row r="30" spans="1:9" x14ac:dyDescent="0.25">
      <c r="A30" s="19" t="s">
        <v>82</v>
      </c>
      <c r="B30" s="11"/>
      <c r="C30" s="11">
        <f>$B$13*$B$14*$B$15</f>
        <v>41062500</v>
      </c>
      <c r="D30" s="11">
        <f t="shared" ref="D30:I30" si="0">$B$13*$B$14*$B$15</f>
        <v>41062500</v>
      </c>
      <c r="E30" s="11">
        <f t="shared" si="0"/>
        <v>41062500</v>
      </c>
      <c r="F30" s="11">
        <f t="shared" si="0"/>
        <v>41062500</v>
      </c>
      <c r="G30" s="11">
        <f t="shared" si="0"/>
        <v>41062500</v>
      </c>
      <c r="H30" s="11">
        <f t="shared" si="0"/>
        <v>41062500</v>
      </c>
      <c r="I30" s="11">
        <f t="shared" si="0"/>
        <v>41062500</v>
      </c>
    </row>
    <row r="31" spans="1:9" x14ac:dyDescent="0.25">
      <c r="A31" s="14" t="s">
        <v>83</v>
      </c>
      <c r="B31" s="11"/>
      <c r="C31" s="11">
        <f>-$B$17</f>
        <v>-3500000</v>
      </c>
      <c r="D31" s="11">
        <f>C31*(1+$B$18)</f>
        <v>-3640000</v>
      </c>
      <c r="E31" s="11">
        <f t="shared" ref="E31:I31" si="1">D31*(1+$B$18)</f>
        <v>-3785600</v>
      </c>
      <c r="F31" s="11">
        <f t="shared" si="1"/>
        <v>-3937024</v>
      </c>
      <c r="G31" s="11">
        <f t="shared" si="1"/>
        <v>-4094504.96</v>
      </c>
      <c r="H31" s="11">
        <f t="shared" si="1"/>
        <v>-4258285.1584000001</v>
      </c>
      <c r="I31" s="11">
        <f t="shared" si="1"/>
        <v>-4428616.5647360003</v>
      </c>
    </row>
    <row r="32" spans="1:9" x14ac:dyDescent="0.25">
      <c r="A32" s="14" t="s">
        <v>77</v>
      </c>
      <c r="B32" s="11"/>
      <c r="C32" s="11">
        <f>-$B$19</f>
        <v>-2500000</v>
      </c>
      <c r="D32" s="11">
        <f t="shared" ref="D32:I32" si="2">-$B$19</f>
        <v>-2500000</v>
      </c>
      <c r="E32" s="11">
        <f t="shared" si="2"/>
        <v>-2500000</v>
      </c>
      <c r="F32" s="11">
        <f t="shared" si="2"/>
        <v>-2500000</v>
      </c>
      <c r="G32" s="11">
        <f t="shared" si="2"/>
        <v>-2500000</v>
      </c>
      <c r="H32" s="11">
        <f t="shared" si="2"/>
        <v>-2500000</v>
      </c>
      <c r="I32" s="11">
        <f t="shared" si="2"/>
        <v>-2500000</v>
      </c>
    </row>
    <row r="33" spans="1:9" x14ac:dyDescent="0.25">
      <c r="A33" s="14" t="s">
        <v>78</v>
      </c>
      <c r="B33" s="11">
        <f>-B20</f>
        <v>-2500000</v>
      </c>
      <c r="C33" s="11">
        <f>B33*(1+$B$21)</f>
        <v>-2575000</v>
      </c>
      <c r="D33" s="11">
        <f t="shared" ref="D33:H33" si="3">C33*(1+$B$21)</f>
        <v>-2652250</v>
      </c>
      <c r="E33" s="11">
        <f t="shared" si="3"/>
        <v>-2731817.5</v>
      </c>
      <c r="F33" s="11">
        <f t="shared" si="3"/>
        <v>-2813772.0249999999</v>
      </c>
      <c r="G33" s="11">
        <f t="shared" si="3"/>
        <v>-2898185.1857500002</v>
      </c>
      <c r="H33" s="11">
        <f t="shared" si="3"/>
        <v>-2985130.7413225002</v>
      </c>
      <c r="I33" s="11"/>
    </row>
    <row r="34" spans="1:9" x14ac:dyDescent="0.25">
      <c r="A34" s="15" t="s">
        <v>79</v>
      </c>
      <c r="B34" s="12"/>
      <c r="C34" s="12">
        <f>-C30*$B$22</f>
        <v>-22584375</v>
      </c>
      <c r="D34" s="12">
        <f t="shared" ref="D34:I34" si="4">-D30*$B$22</f>
        <v>-22584375</v>
      </c>
      <c r="E34" s="12">
        <f t="shared" si="4"/>
        <v>-22584375</v>
      </c>
      <c r="F34" s="12">
        <f t="shared" si="4"/>
        <v>-22584375</v>
      </c>
      <c r="G34" s="12">
        <f t="shared" si="4"/>
        <v>-22584375</v>
      </c>
      <c r="H34" s="12">
        <f t="shared" si="4"/>
        <v>-22584375</v>
      </c>
      <c r="I34" s="12">
        <f t="shared" si="4"/>
        <v>-22584375</v>
      </c>
    </row>
    <row r="35" spans="1:9" x14ac:dyDescent="0.25">
      <c r="A35" s="14" t="s">
        <v>84</v>
      </c>
      <c r="B35" s="11">
        <f>SUM(B30:B34)</f>
        <v>-2500000</v>
      </c>
      <c r="C35" s="11">
        <f t="shared" ref="C35:I35" si="5">SUM(C30:C34)</f>
        <v>9903125</v>
      </c>
      <c r="D35" s="11">
        <f t="shared" si="5"/>
        <v>9685875</v>
      </c>
      <c r="E35" s="11">
        <f t="shared" si="5"/>
        <v>9460707.5</v>
      </c>
      <c r="F35" s="11">
        <f t="shared" si="5"/>
        <v>9227328.9750000015</v>
      </c>
      <c r="G35" s="11">
        <f t="shared" si="5"/>
        <v>8985434.8542499989</v>
      </c>
      <c r="H35" s="11">
        <f t="shared" si="5"/>
        <v>8734709.1002775021</v>
      </c>
      <c r="I35" s="11">
        <f t="shared" si="5"/>
        <v>11549508.435263999</v>
      </c>
    </row>
    <row r="36" spans="1:9" x14ac:dyDescent="0.25">
      <c r="A36" s="14" t="s">
        <v>85</v>
      </c>
      <c r="B36" s="11">
        <f>-$B$4*B35</f>
        <v>550000</v>
      </c>
      <c r="C36" s="11">
        <f t="shared" ref="C36:I36" si="6">-$B$4*C35</f>
        <v>-2178687.5</v>
      </c>
      <c r="D36" s="11">
        <f t="shared" si="6"/>
        <v>-2130892.5</v>
      </c>
      <c r="E36" s="11">
        <f t="shared" si="6"/>
        <v>-2081355.65</v>
      </c>
      <c r="F36" s="11">
        <f t="shared" si="6"/>
        <v>-2030012.3745000004</v>
      </c>
      <c r="G36" s="11">
        <f t="shared" si="6"/>
        <v>-1976795.6679349998</v>
      </c>
      <c r="H36" s="11">
        <f t="shared" si="6"/>
        <v>-1921636.0020610504</v>
      </c>
      <c r="I36" s="11">
        <f t="shared" si="6"/>
        <v>-2540891.8557580798</v>
      </c>
    </row>
    <row r="37" spans="1:9" x14ac:dyDescent="0.25">
      <c r="A37" s="14" t="s">
        <v>5</v>
      </c>
      <c r="B37" s="11">
        <f>-B24</f>
        <v>-40000000</v>
      </c>
      <c r="C37" s="11"/>
      <c r="D37" s="11"/>
      <c r="E37" s="11"/>
      <c r="F37" s="11"/>
      <c r="G37" s="11"/>
      <c r="H37" s="11"/>
      <c r="I37" s="11">
        <f>B25</f>
        <v>6000000</v>
      </c>
    </row>
    <row r="38" spans="1:9" x14ac:dyDescent="0.25">
      <c r="A38" s="14" t="s">
        <v>6</v>
      </c>
      <c r="B38" s="11">
        <f>-B26</f>
        <v>-8000000</v>
      </c>
      <c r="C38" s="11"/>
      <c r="D38" s="11"/>
      <c r="E38" s="11"/>
      <c r="F38" s="11"/>
      <c r="G38" s="11"/>
      <c r="H38" s="11"/>
      <c r="I38" s="11">
        <f>B26</f>
        <v>8000000</v>
      </c>
    </row>
    <row r="39" spans="1:9" x14ac:dyDescent="0.25">
      <c r="A39" s="14" t="s">
        <v>86</v>
      </c>
      <c r="B39" s="11">
        <f>B24*B27*B4/(B27+B12)</f>
        <v>6285714.2857142854</v>
      </c>
      <c r="C39" s="11"/>
      <c r="D39" s="11"/>
      <c r="E39" s="11"/>
      <c r="F39" s="11"/>
      <c r="G39" s="11"/>
      <c r="H39" s="11"/>
      <c r="I39" s="11"/>
    </row>
    <row r="40" spans="1:9" x14ac:dyDescent="0.25">
      <c r="A40" s="15" t="s">
        <v>87</v>
      </c>
      <c r="B40" s="12">
        <f>-I37*B27*B4/((1+B12)^I29*(B12+B27))</f>
        <v>-550148.08696144039</v>
      </c>
      <c r="C40" s="12"/>
      <c r="D40" s="12"/>
      <c r="E40" s="12"/>
      <c r="F40" s="12"/>
      <c r="G40" s="12"/>
      <c r="H40" s="12"/>
      <c r="I40" s="12"/>
    </row>
    <row r="41" spans="1:9" x14ac:dyDescent="0.25">
      <c r="A41" s="20" t="s">
        <v>88</v>
      </c>
      <c r="B41" s="21">
        <f>SUM(B35:B40)</f>
        <v>-44214433.801247157</v>
      </c>
      <c r="C41" s="21">
        <f t="shared" ref="C41:I41" si="7">SUM(C35:C40)</f>
        <v>7724437.5</v>
      </c>
      <c r="D41" s="21">
        <f t="shared" si="7"/>
        <v>7554982.5</v>
      </c>
      <c r="E41" s="21">
        <f t="shared" si="7"/>
        <v>7379351.8499999996</v>
      </c>
      <c r="F41" s="21">
        <f t="shared" si="7"/>
        <v>7197316.6005000006</v>
      </c>
      <c r="G41" s="21">
        <f t="shared" si="7"/>
        <v>7008639.1863149991</v>
      </c>
      <c r="H41" s="21">
        <f t="shared" si="7"/>
        <v>6813073.0982164517</v>
      </c>
      <c r="I41" s="21">
        <f t="shared" si="7"/>
        <v>23008616.57950592</v>
      </c>
    </row>
    <row r="42" spans="1:9" x14ac:dyDescent="0.25"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40" t="s">
        <v>89</v>
      </c>
      <c r="B43" s="41">
        <f>NPV(B12,C41:I41)+B41</f>
        <v>3051873.4838242009</v>
      </c>
      <c r="C43" s="3"/>
      <c r="D43" s="3"/>
      <c r="E43" s="3"/>
      <c r="F43" s="3"/>
      <c r="G43" s="3"/>
      <c r="H43" s="3"/>
      <c r="I43" s="3"/>
    </row>
    <row r="44" spans="1:9" x14ac:dyDescent="0.25">
      <c r="B44" s="3"/>
      <c r="C44" s="3"/>
      <c r="D44" s="3"/>
      <c r="E44" s="3"/>
      <c r="F44" s="3"/>
      <c r="G44" s="3"/>
      <c r="H44" s="3"/>
      <c r="I44" s="3"/>
    </row>
    <row r="45" spans="1:9" x14ac:dyDescent="0.25">
      <c r="B45" s="3"/>
      <c r="C45" s="3"/>
      <c r="D45" s="3"/>
      <c r="E45" s="3"/>
      <c r="F45" s="3"/>
      <c r="G45" s="3"/>
      <c r="H45" s="3"/>
      <c r="I45" s="3"/>
    </row>
    <row r="46" spans="1:9" x14ac:dyDescent="0.25">
      <c r="B46" s="3"/>
      <c r="C46" s="3"/>
      <c r="D46" s="3"/>
      <c r="E46" s="3"/>
      <c r="F46" s="3"/>
      <c r="G46" s="3"/>
      <c r="H46" s="3"/>
      <c r="I46" s="3"/>
    </row>
    <row r="47" spans="1:9" x14ac:dyDescent="0.25">
      <c r="B47" s="3"/>
      <c r="C47" s="3"/>
      <c r="D47" s="3"/>
      <c r="E47" s="3"/>
      <c r="F47" s="3"/>
      <c r="G47" s="3"/>
      <c r="H47" s="3"/>
      <c r="I47" s="3"/>
    </row>
    <row r="48" spans="1:9" x14ac:dyDescent="0.25">
      <c r="B48" s="3"/>
      <c r="C48" s="3"/>
      <c r="D48" s="3"/>
      <c r="E48" s="3"/>
      <c r="F48" s="3"/>
      <c r="G48" s="3"/>
      <c r="H48" s="3"/>
      <c r="I48" s="3"/>
    </row>
    <row r="49" spans="2:9" x14ac:dyDescent="0.25">
      <c r="B49" s="3"/>
      <c r="C49" s="3"/>
      <c r="D49" s="3"/>
      <c r="E49" s="3"/>
      <c r="F49" s="3"/>
      <c r="G49" s="3"/>
      <c r="H49" s="3"/>
      <c r="I49" s="3"/>
    </row>
    <row r="50" spans="2:9" x14ac:dyDescent="0.25">
      <c r="B50" s="3"/>
      <c r="C50" s="3"/>
      <c r="D50" s="3"/>
      <c r="E50" s="3"/>
      <c r="F50" s="3"/>
      <c r="G50" s="3"/>
      <c r="H50" s="3"/>
      <c r="I50" s="3"/>
    </row>
    <row r="51" spans="2:9" x14ac:dyDescent="0.25">
      <c r="B51" s="3"/>
      <c r="C51" s="3"/>
      <c r="D51" s="3"/>
      <c r="E51" s="3"/>
      <c r="F51" s="3"/>
      <c r="G51" s="3"/>
      <c r="H51" s="3"/>
      <c r="I51" s="3"/>
    </row>
    <row r="52" spans="2:9" x14ac:dyDescent="0.25">
      <c r="B52" s="3"/>
      <c r="C52" s="3"/>
      <c r="D52" s="3"/>
      <c r="E52" s="3"/>
      <c r="F52" s="3"/>
      <c r="G52" s="3"/>
      <c r="H52" s="3"/>
      <c r="I52" s="3"/>
    </row>
    <row r="53" spans="2:9" x14ac:dyDescent="0.25">
      <c r="B53" s="3"/>
      <c r="C53" s="3"/>
      <c r="D53" s="3"/>
      <c r="E53" s="3"/>
      <c r="F53" s="3"/>
      <c r="G53" s="3"/>
      <c r="H53" s="3"/>
      <c r="I53" s="3"/>
    </row>
    <row r="54" spans="2:9" x14ac:dyDescent="0.25">
      <c r="B54" s="3"/>
      <c r="C54" s="3"/>
      <c r="D54" s="3"/>
      <c r="E54" s="3"/>
      <c r="F54" s="3"/>
      <c r="G54" s="3"/>
      <c r="H54" s="3"/>
      <c r="I54" s="3"/>
    </row>
    <row r="55" spans="2:9" x14ac:dyDescent="0.25">
      <c r="B55" s="3"/>
      <c r="C55" s="3"/>
      <c r="D55" s="3"/>
      <c r="E55" s="3"/>
      <c r="F55" s="3"/>
      <c r="G55" s="3"/>
      <c r="H55" s="3"/>
      <c r="I55" s="3"/>
    </row>
    <row r="56" spans="2:9" x14ac:dyDescent="0.25">
      <c r="B56" s="3"/>
      <c r="C56" s="3"/>
      <c r="D56" s="3"/>
      <c r="E56" s="3"/>
      <c r="F56" s="3"/>
      <c r="G56" s="3"/>
      <c r="H56" s="3"/>
      <c r="I56" s="3"/>
    </row>
    <row r="57" spans="2:9" x14ac:dyDescent="0.25">
      <c r="B57" s="3"/>
      <c r="C57" s="3"/>
      <c r="D57" s="3"/>
      <c r="E57" s="3"/>
      <c r="F57" s="3"/>
      <c r="G57" s="3"/>
      <c r="H57" s="3"/>
      <c r="I57" s="3"/>
    </row>
    <row r="58" spans="2:9" x14ac:dyDescent="0.25">
      <c r="B58" s="3"/>
      <c r="C58" s="3"/>
      <c r="D58" s="3"/>
      <c r="E58" s="3"/>
      <c r="F58" s="3"/>
      <c r="G58" s="3"/>
      <c r="H58" s="3"/>
      <c r="I58" s="3"/>
    </row>
    <row r="59" spans="2:9" x14ac:dyDescent="0.25">
      <c r="B59" s="3"/>
      <c r="C59" s="3"/>
      <c r="D59" s="3"/>
      <c r="E59" s="3"/>
      <c r="F59" s="3"/>
      <c r="G59" s="3"/>
      <c r="H59" s="3"/>
      <c r="I5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1</vt:lpstr>
      <vt:lpstr>Oppgave 2</vt:lpstr>
      <vt:lpstr>Oppgave 3</vt:lpstr>
      <vt:lpstr>Oppgave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</dc:creator>
  <cp:keywords/>
  <dc:description/>
  <cp:lastModifiedBy>Ivar Bredesen</cp:lastModifiedBy>
  <cp:revision/>
  <dcterms:created xsi:type="dcterms:W3CDTF">2011-10-08T12:01:56Z</dcterms:created>
  <dcterms:modified xsi:type="dcterms:W3CDTF">2023-06-29T10:07:00Z</dcterms:modified>
  <cp:category/>
  <cp:contentStatus/>
</cp:coreProperties>
</file>